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Utente\Documents\LIUT\Blood Bowl\LBBL2022\Roster\"/>
    </mc:Choice>
  </mc:AlternateContent>
  <bookViews>
    <workbookView xWindow="0" yWindow="0" windowWidth="28800" windowHeight="12330" activeTab="1"/>
  </bookViews>
  <sheets>
    <sheet name="About" sheetId="1" r:id="rId1"/>
    <sheet name="Roster" sheetId="2" r:id="rId2"/>
    <sheet name="Games" sheetId="3" r:id="rId3"/>
    <sheet name="Dead &amp; Retired Players" sheetId="4" r:id="rId4"/>
    <sheet name="Team Cards" sheetId="5" r:id="rId5"/>
    <sheet name="Team Cards B&amp;W Print" sheetId="6" r:id="rId6"/>
    <sheet name="Teams" sheetId="7" state="hidden" r:id="rId7"/>
    <sheet name="StarPlayers" sheetId="8" state="hidden" r:id="rId8"/>
  </sheets>
  <definedNames>
    <definedName name="Amazon">Teams!$C$2:$C$7</definedName>
    <definedName name="BadlandsBrawl">StarPlayers!$E$57:$E$64</definedName>
    <definedName name="BadlandsBrawlOldWorldClassic">StarPlayers!$N$57:$N$72</definedName>
    <definedName name="BadlandsBrawlUnderworldChallenge">StarPlayers!$Q$57:$Q$66</definedName>
    <definedName name="BlackOrc">Teams!$C$8:$C$12</definedName>
    <definedName name="CARNE">Roster!$P$62:$P$70</definedName>
    <definedName name="CARTASDEJUEGO">Roster!$BC$102:$BC$108</definedName>
    <definedName name="ChaosChosen">Teams!$C$13:$C$19</definedName>
    <definedName name="ChaosDwarf">Teams!$C$20:$C$25</definedName>
    <definedName name="ChaosRenegades">Teams!$C$26:$C$37</definedName>
    <definedName name="DaemonsofKhorne">Teams!$C$38:$C$43</definedName>
    <definedName name="DarkElf">Teams!$C$44:$C$50</definedName>
    <definedName name="Dwarf">Teams!$C$51:$C$57</definedName>
    <definedName name="ElvenKingdomsLeague">StarPlayers!$J$57:$J$69</definedName>
    <definedName name="ElvenUnion">Teams!$C$58:$C$63</definedName>
    <definedName name="ENGLISH">Roster!$BM$3:$BM$31</definedName>
    <definedName name="Español">Roster!$BM$3:$BM$31</definedName>
    <definedName name="ESSS">Roster!$AZ$63:$AZ$72</definedName>
    <definedName name="FavouredOf">StarPlayers!$K$57:$K$65</definedName>
    <definedName name="FavouredOfWorldsEdgeSuperleagueBadlandsBrawl">StarPlayers!$S$57:$S$70</definedName>
    <definedName name="Goblin">Teams!$C$64:$C$73</definedName>
    <definedName name="Halfling">Teams!$C$74:$C$79</definedName>
    <definedName name="HalflingThimbleCup">StarPlayers!$G$57:$G$68</definedName>
    <definedName name="HalflingThimbleCupOldWorldClassic">StarPlayers!$P$57:$P$70</definedName>
    <definedName name="HighElf">Teams!$C$80:$C$85</definedName>
    <definedName name="Human">Teams!$C$86:$C$93</definedName>
    <definedName name="ImperialNobility">Teams!$C$94:$C$100</definedName>
    <definedName name="INCENTIVOS_DE_RAZA">Roster!$BA$102:$BA$108</definedName>
    <definedName name="INCENTIVOSDERAZA">Roster!$BA$102:$BA$108</definedName>
    <definedName name="INFAMOUSSTAFF">Roster!$AY$95:$AY$101</definedName>
    <definedName name="INJURIES">Roster!$BF$63:$BF$67</definedName>
    <definedName name="INJURY">Roster!$P$62:$P$70</definedName>
    <definedName name="INJURYs">Roster!$P$62:$P$70</definedName>
    <definedName name="LESION">Roster!$AZ$63:$AZ$72</definedName>
    <definedName name="LESIONes">Roster!$AZ$63:$AZ$72</definedName>
    <definedName name="LESIONESS">Roster!$BH$61:$BH$66</definedName>
    <definedName name="Lizardman">Teams!$C$101:$C$106</definedName>
    <definedName name="LustrianSuperleague">StarPlayers!$M$57:$M$66</definedName>
    <definedName name="LustrianSuperleagueOldWorldClassic">StarPlayers!$O$57:$O$71</definedName>
    <definedName name="Necromantic">Teams!$C$107:$C$114</definedName>
    <definedName name="Norse">Teams!$C$115:$C$122</definedName>
    <definedName name="Nurgle">Teams!$C$123:$C$128</definedName>
    <definedName name="Ogre">Teams!$C$129:$C$133</definedName>
    <definedName name="OldWorldAlliance">Teams!$C$134:$C$146</definedName>
    <definedName name="OldWorldClassic">StarPlayers!$H$57:$H$70</definedName>
    <definedName name="OldWorldClassicWorldsEdgeSuperleague">StarPlayers!$R$57:$R$71</definedName>
    <definedName name="Orc">Teams!$C$147:$C$154</definedName>
    <definedName name="PERSONAL_INFAME">Roster!$AY$102:$AY$108</definedName>
    <definedName name="PERSONALINFAME">Roster!$AY$102:$AY$108</definedName>
    <definedName name="RACIAL_INDUCEMENT">Roster!$BA$95:$BA$101</definedName>
    <definedName name="RACIALINDUCEMENT">Roster!$BA$95:$BA$101</definedName>
    <definedName name="ShamblingUndead">Teams!$C$155:$C$163</definedName>
    <definedName name="Skaven">Teams!$C$170:$C$176</definedName>
    <definedName name="Slann">Teams!$C$164:$C$169</definedName>
    <definedName name="Snotling">Teams!$C$183:$C$190</definedName>
    <definedName name="SPECIALPLAYCARDS">Roster!$BC$95:$BC$101</definedName>
    <definedName name="SylvanianSpotlight">StarPlayers!$L$57:$L$66</definedName>
    <definedName name="TombKing">Teams!$C$177:$C$182</definedName>
    <definedName name="UnderworldChallenge">StarPlayers!$F$57:$F$66</definedName>
    <definedName name="UnderworldDenizens">Teams!$C$191:$C$200</definedName>
    <definedName name="valorequipo">Roster!$AR$69:$AR$169</definedName>
    <definedName name="Vampire">Teams!$C$201:$C$204</definedName>
    <definedName name="WoodElf">Teams!$C$205:$C$211</definedName>
    <definedName name="WorldsEdgeSuperleague">StarPlayers!$I$57:$I$65</definedName>
    <definedName name="Z_000DFA95_C5ED_4E25_B049_8595AFF84C6A_.wvu.Cols" localSheetId="3">#REF!</definedName>
    <definedName name="Z_000DFA95_C5ED_4E25_B049_8595AFF84C6A_.wvu.Cols" localSheetId="2">Games!$AC:$XFD</definedName>
    <definedName name="Z_000DFA95_C5ED_4E25_B049_8595AFF84C6A_.wvu.PrintArea" localSheetId="3">'Dead &amp; Retired Players'!$A$2:$AK$32</definedName>
    <definedName name="Z_000DFA95_C5ED_4E25_B049_8595AFF84C6A_.wvu.PrintArea" localSheetId="1">Roster!$A$1:$AO$31</definedName>
    <definedName name="Z_000DFA95_C5ED_4E25_B049_8595AFF84C6A_.wvu.Rows" localSheetId="3">#REF!</definedName>
    <definedName name="Z_321F642C_C9F4_43AA_AD98_F704A19C5B24_.wvu.Cols" localSheetId="3">#REF!</definedName>
    <definedName name="Z_321F642C_C9F4_43AA_AD98_F704A19C5B24_.wvu.Cols" localSheetId="2">Games!$AC:$XFD</definedName>
    <definedName name="Z_321F642C_C9F4_43AA_AD98_F704A19C5B24_.wvu.PrintArea" localSheetId="3">'Dead &amp; Retired Players'!$A$2:$AK$32</definedName>
    <definedName name="Z_321F642C_C9F4_43AA_AD98_F704A19C5B24_.wvu.PrintArea" localSheetId="1">Roster!$A$1:$AO$31</definedName>
    <definedName name="Z_321F642C_C9F4_43AA_AD98_F704A19C5B24_.wvu.Rows" localSheetId="3">#REF!</definedName>
    <definedName name="Z_B1FCC566_F3B8_4120_9959_D3488490C2B3_.wvu.Cols" localSheetId="3">#REF!</definedName>
    <definedName name="Z_B1FCC566_F3B8_4120_9959_D3488490C2B3_.wvu.Cols" localSheetId="2">Games!$AC:$XFD</definedName>
    <definedName name="Z_B1FCC566_F3B8_4120_9959_D3488490C2B3_.wvu.PrintArea" localSheetId="3">'Dead &amp; Retired Players'!$A$2:$AK$32</definedName>
    <definedName name="Z_B1FCC566_F3B8_4120_9959_D3488490C2B3_.wvu.PrintArea" localSheetId="1">Roster!$A$1:$AO$31</definedName>
    <definedName name="Z_B1FCC566_F3B8_4120_9959_D3488490C2B3_.wvu.Rows" localSheetId="3">#REF!</definedName>
    <definedName name="Z_D9D0E8AE_A23E_48A5_872D_2FD66A335355_.wvu.Cols" localSheetId="3">#REF!</definedName>
    <definedName name="Z_D9D0E8AE_A23E_48A5_872D_2FD66A335355_.wvu.Cols" localSheetId="2">Games!$AC:$XFD</definedName>
    <definedName name="Z_D9D0E8AE_A23E_48A5_872D_2FD66A335355_.wvu.PrintArea" localSheetId="3">'Dead &amp; Retired Players'!$A$2:$AK$32</definedName>
    <definedName name="Z_D9D0E8AE_A23E_48A5_872D_2FD66A335355_.wvu.PrintArea" localSheetId="1">Roster!$A$1:$AO$31</definedName>
    <definedName name="Z_D9D0E8AE_A23E_48A5_872D_2FD66A335355_.wvu.Rows" localSheetId="3">#REF!</definedName>
  </definedNames>
  <calcPr calcId="162913"/>
</workbook>
</file>

<file path=xl/calcChain.xml><?xml version="1.0" encoding="utf-8"?>
<calcChain xmlns="http://schemas.openxmlformats.org/spreadsheetml/2006/main">
  <c r="S76" i="8" l="1"/>
  <c r="R76" i="8"/>
  <c r="Q76" i="8"/>
  <c r="P76" i="8"/>
  <c r="O76" i="8"/>
  <c r="N76" i="8"/>
  <c r="M76" i="8"/>
  <c r="L76" i="8"/>
  <c r="K76" i="8"/>
  <c r="J76" i="8"/>
  <c r="I76" i="8"/>
  <c r="H76" i="8"/>
  <c r="G76" i="8"/>
  <c r="F76" i="8"/>
  <c r="E76" i="8"/>
  <c r="S75" i="8"/>
  <c r="R75" i="8"/>
  <c r="Q75" i="8"/>
  <c r="P75" i="8"/>
  <c r="O75" i="8"/>
  <c r="N75" i="8"/>
  <c r="M75" i="8"/>
  <c r="L75" i="8"/>
  <c r="K75" i="8"/>
  <c r="J75" i="8"/>
  <c r="I75" i="8"/>
  <c r="H75" i="8"/>
  <c r="G75" i="8"/>
  <c r="F75" i="8"/>
  <c r="E75" i="8"/>
  <c r="S74" i="8"/>
  <c r="R74" i="8"/>
  <c r="Q74" i="8"/>
  <c r="P74" i="8"/>
  <c r="O74" i="8"/>
  <c r="N74" i="8"/>
  <c r="M74" i="8"/>
  <c r="L74" i="8"/>
  <c r="K74" i="8"/>
  <c r="J74" i="8"/>
  <c r="I74" i="8"/>
  <c r="H74" i="8"/>
  <c r="G74" i="8"/>
  <c r="F74" i="8"/>
  <c r="E74" i="8"/>
  <c r="S73" i="8"/>
  <c r="R73" i="8"/>
  <c r="Q73" i="8"/>
  <c r="P73" i="8"/>
  <c r="O73" i="8"/>
  <c r="N73" i="8"/>
  <c r="M73" i="8"/>
  <c r="L73" i="8"/>
  <c r="K73" i="8"/>
  <c r="J73" i="8"/>
  <c r="I73" i="8"/>
  <c r="H73" i="8"/>
  <c r="G73" i="8"/>
  <c r="F73" i="8"/>
  <c r="E73" i="8"/>
  <c r="S72" i="8"/>
  <c r="R72" i="8"/>
  <c r="Q72" i="8"/>
  <c r="P72" i="8"/>
  <c r="O72" i="8"/>
  <c r="M72" i="8"/>
  <c r="L72" i="8"/>
  <c r="K72" i="8"/>
  <c r="J72" i="8"/>
  <c r="I72" i="8"/>
  <c r="H72" i="8"/>
  <c r="G72" i="8"/>
  <c r="F72" i="8"/>
  <c r="E72" i="8"/>
  <c r="S71" i="8"/>
  <c r="Q71" i="8"/>
  <c r="P71" i="8"/>
  <c r="M71" i="8"/>
  <c r="L71" i="8"/>
  <c r="K71" i="8"/>
  <c r="J71" i="8"/>
  <c r="I71" i="8"/>
  <c r="H71" i="8"/>
  <c r="G71" i="8"/>
  <c r="F71" i="8"/>
  <c r="E71" i="8"/>
  <c r="Q70" i="8"/>
  <c r="M70" i="8"/>
  <c r="L70" i="8"/>
  <c r="K70" i="8"/>
  <c r="J70" i="8"/>
  <c r="I70" i="8"/>
  <c r="G70" i="8"/>
  <c r="F70" i="8"/>
  <c r="E70" i="8"/>
  <c r="Q69" i="8"/>
  <c r="M69" i="8"/>
  <c r="L69" i="8"/>
  <c r="K69" i="8"/>
  <c r="I69" i="8"/>
  <c r="G69" i="8"/>
  <c r="F69" i="8"/>
  <c r="E69" i="8"/>
  <c r="Q68" i="8"/>
  <c r="M68" i="8"/>
  <c r="L68" i="8"/>
  <c r="K68" i="8"/>
  <c r="I68" i="8"/>
  <c r="F68" i="8"/>
  <c r="E68" i="8"/>
  <c r="Q67" i="8"/>
  <c r="M67" i="8"/>
  <c r="L67" i="8"/>
  <c r="K67" i="8"/>
  <c r="I67" i="8"/>
  <c r="F67" i="8"/>
  <c r="E67" i="8"/>
  <c r="K66" i="8"/>
  <c r="I66" i="8"/>
  <c r="E66" i="8"/>
  <c r="E65" i="8"/>
  <c r="S57" i="8"/>
  <c r="R57" i="8"/>
  <c r="Q57" i="8"/>
  <c r="P57" i="8"/>
  <c r="O57" i="8"/>
  <c r="N57" i="8"/>
  <c r="M57" i="8"/>
  <c r="L57" i="8"/>
  <c r="K57" i="8"/>
  <c r="J57" i="8"/>
  <c r="I57" i="8"/>
  <c r="H57" i="8"/>
  <c r="G57" i="8"/>
  <c r="F57" i="8"/>
  <c r="E57" i="8"/>
  <c r="C55" i="8"/>
  <c r="I32" i="8"/>
  <c r="H32" i="8"/>
  <c r="I31" i="8"/>
  <c r="H31" i="8"/>
  <c r="I30" i="8"/>
  <c r="H30" i="8"/>
  <c r="I29" i="8"/>
  <c r="H29" i="8"/>
  <c r="I28" i="8"/>
  <c r="H28" i="8"/>
  <c r="I27" i="8"/>
  <c r="H27" i="8"/>
  <c r="I26" i="8"/>
  <c r="H26" i="8"/>
  <c r="I25" i="8"/>
  <c r="H25" i="8"/>
  <c r="I24" i="8"/>
  <c r="H24" i="8"/>
  <c r="I23" i="8"/>
  <c r="H23" i="8"/>
  <c r="I22" i="8"/>
  <c r="H22" i="8"/>
  <c r="I21" i="8"/>
  <c r="H21" i="8"/>
  <c r="I20" i="8"/>
  <c r="H20" i="8"/>
  <c r="I19" i="8"/>
  <c r="H19" i="8"/>
  <c r="I18" i="8"/>
  <c r="H18" i="8"/>
  <c r="I17" i="8"/>
  <c r="H17" i="8"/>
  <c r="I16" i="8"/>
  <c r="H16" i="8"/>
  <c r="I15" i="8"/>
  <c r="H15" i="8"/>
  <c r="I14" i="8"/>
  <c r="H14" i="8"/>
  <c r="I13" i="8"/>
  <c r="H13" i="8"/>
  <c r="I12" i="8"/>
  <c r="H12" i="8"/>
  <c r="I11" i="8"/>
  <c r="H11" i="8"/>
  <c r="I10" i="8"/>
  <c r="H10" i="8"/>
  <c r="I9" i="8"/>
  <c r="H9" i="8"/>
  <c r="I8" i="8"/>
  <c r="H8" i="8"/>
  <c r="I7" i="8"/>
  <c r="H7" i="8"/>
  <c r="I6" i="8"/>
  <c r="H6" i="8"/>
  <c r="I5" i="8"/>
  <c r="H5" i="8"/>
  <c r="I4" i="8"/>
  <c r="H4" i="8"/>
  <c r="T211" i="7"/>
  <c r="J211" i="7"/>
  <c r="D211" i="7"/>
  <c r="B211" i="7"/>
  <c r="T210" i="7"/>
  <c r="L210" i="7"/>
  <c r="J210" i="7"/>
  <c r="D210" i="7"/>
  <c r="B210" i="7"/>
  <c r="T209" i="7"/>
  <c r="L209" i="7"/>
  <c r="J209" i="7"/>
  <c r="D209" i="7"/>
  <c r="B209" i="7"/>
  <c r="T208" i="7"/>
  <c r="L208" i="7"/>
  <c r="J208" i="7"/>
  <c r="D208" i="7"/>
  <c r="B208" i="7"/>
  <c r="T207" i="7"/>
  <c r="L207" i="7"/>
  <c r="J207" i="7"/>
  <c r="D207" i="7"/>
  <c r="B207" i="7"/>
  <c r="Y206" i="7"/>
  <c r="X206" i="7"/>
  <c r="W206" i="7"/>
  <c r="V206" i="7"/>
  <c r="U206" i="7"/>
  <c r="J206" i="7" s="1"/>
  <c r="T206" i="7"/>
  <c r="L206" i="7"/>
  <c r="D206" i="7"/>
  <c r="B206" i="7"/>
  <c r="L205" i="7"/>
  <c r="J205" i="7"/>
  <c r="C205" i="7"/>
  <c r="D205" i="7" s="1"/>
  <c r="B205" i="7"/>
  <c r="T204" i="7"/>
  <c r="L204" i="7"/>
  <c r="J204" i="7"/>
  <c r="D204" i="7"/>
  <c r="B204" i="7"/>
  <c r="T203" i="7"/>
  <c r="L203" i="7"/>
  <c r="J203" i="7"/>
  <c r="D203" i="7"/>
  <c r="B203" i="7"/>
  <c r="Y202" i="7"/>
  <c r="X202" i="7"/>
  <c r="W202" i="7"/>
  <c r="V202" i="7"/>
  <c r="U202" i="7"/>
  <c r="T202" i="7"/>
  <c r="L202" i="7"/>
  <c r="J202" i="7"/>
  <c r="D202" i="7"/>
  <c r="B202" i="7"/>
  <c r="L201" i="7"/>
  <c r="J201" i="7"/>
  <c r="D201" i="7"/>
  <c r="C201" i="7"/>
  <c r="B201" i="7"/>
  <c r="T200" i="7"/>
  <c r="J200" i="7"/>
  <c r="D200" i="7"/>
  <c r="B200" i="7"/>
  <c r="T199" i="7"/>
  <c r="L199" i="7"/>
  <c r="J199" i="7"/>
  <c r="D199" i="7"/>
  <c r="B199" i="7"/>
  <c r="T198" i="7"/>
  <c r="L198" i="7"/>
  <c r="J198" i="7"/>
  <c r="D198" i="7"/>
  <c r="B198" i="7"/>
  <c r="T197" i="7"/>
  <c r="L197" i="7"/>
  <c r="J197" i="7"/>
  <c r="D197" i="7"/>
  <c r="B197" i="7"/>
  <c r="T196" i="7"/>
  <c r="L196" i="7"/>
  <c r="J196" i="7"/>
  <c r="D196" i="7"/>
  <c r="B196" i="7"/>
  <c r="T195" i="7"/>
  <c r="L195" i="7"/>
  <c r="J195" i="7"/>
  <c r="D195" i="7"/>
  <c r="B195" i="7"/>
  <c r="T194" i="7"/>
  <c r="L194" i="7"/>
  <c r="J194" i="7"/>
  <c r="D194" i="7"/>
  <c r="B194" i="7"/>
  <c r="T193" i="7"/>
  <c r="L193" i="7"/>
  <c r="J193" i="7"/>
  <c r="D193" i="7"/>
  <c r="B193" i="7"/>
  <c r="T192" i="7"/>
  <c r="L192" i="7"/>
  <c r="J192" i="7"/>
  <c r="D192" i="7"/>
  <c r="B192" i="7"/>
  <c r="L191" i="7"/>
  <c r="J191" i="7"/>
  <c r="C191" i="7"/>
  <c r="D191" i="7" s="1"/>
  <c r="B191" i="7"/>
  <c r="T190" i="7"/>
  <c r="L190" i="7"/>
  <c r="J190" i="7"/>
  <c r="D190" i="7"/>
  <c r="B190" i="7"/>
  <c r="T189" i="7"/>
  <c r="L189" i="7"/>
  <c r="J189" i="7"/>
  <c r="D189" i="7"/>
  <c r="B189" i="7"/>
  <c r="T188" i="7"/>
  <c r="L188" i="7"/>
  <c r="J188" i="7"/>
  <c r="D188" i="7"/>
  <c r="B188" i="7"/>
  <c r="T187" i="7"/>
  <c r="L187" i="7"/>
  <c r="J187" i="7"/>
  <c r="D187" i="7"/>
  <c r="B187" i="7"/>
  <c r="T186" i="7"/>
  <c r="L186" i="7"/>
  <c r="J186" i="7"/>
  <c r="D186" i="7"/>
  <c r="B186" i="7"/>
  <c r="T185" i="7"/>
  <c r="L185" i="7"/>
  <c r="J185" i="7"/>
  <c r="D185" i="7"/>
  <c r="B185" i="7"/>
  <c r="T184" i="7"/>
  <c r="L184" i="7"/>
  <c r="J184" i="7"/>
  <c r="D184" i="7"/>
  <c r="B184" i="7"/>
  <c r="L183" i="7"/>
  <c r="J183" i="7"/>
  <c r="C183" i="7"/>
  <c r="D183" i="7" s="1"/>
  <c r="B183" i="7"/>
  <c r="T182" i="7"/>
  <c r="J182" i="7"/>
  <c r="D182" i="7"/>
  <c r="B182" i="7"/>
  <c r="T181" i="7"/>
  <c r="L181" i="7"/>
  <c r="J181" i="7"/>
  <c r="D181" i="7"/>
  <c r="B181" i="7"/>
  <c r="T180" i="7"/>
  <c r="L180" i="7"/>
  <c r="J180" i="7"/>
  <c r="D180" i="7"/>
  <c r="B180" i="7"/>
  <c r="T179" i="7"/>
  <c r="L179" i="7"/>
  <c r="J179" i="7"/>
  <c r="D179" i="7"/>
  <c r="B179" i="7"/>
  <c r="T178" i="7"/>
  <c r="L178" i="7"/>
  <c r="J178" i="7"/>
  <c r="D178" i="7"/>
  <c r="B178" i="7"/>
  <c r="L177" i="7"/>
  <c r="J177" i="7"/>
  <c r="C177" i="7"/>
  <c r="D177" i="7" s="1"/>
  <c r="B177" i="7"/>
  <c r="T176" i="7"/>
  <c r="J176" i="7"/>
  <c r="D176" i="7"/>
  <c r="B176" i="7"/>
  <c r="T175" i="7"/>
  <c r="L175" i="7"/>
  <c r="J175" i="7"/>
  <c r="D175" i="7"/>
  <c r="B175" i="7"/>
  <c r="T174" i="7"/>
  <c r="L174" i="7"/>
  <c r="J174" i="7"/>
  <c r="D174" i="7"/>
  <c r="B174" i="7"/>
  <c r="T173" i="7"/>
  <c r="L173" i="7"/>
  <c r="J173" i="7"/>
  <c r="D173" i="7"/>
  <c r="B173" i="7"/>
  <c r="T172" i="7"/>
  <c r="L172" i="7"/>
  <c r="J172" i="7"/>
  <c r="D172" i="7"/>
  <c r="B172" i="7"/>
  <c r="Y171" i="7"/>
  <c r="X171" i="7"/>
  <c r="W171" i="7"/>
  <c r="V171" i="7"/>
  <c r="U171" i="7"/>
  <c r="J171" i="7" s="1"/>
  <c r="T171" i="7"/>
  <c r="L171" i="7"/>
  <c r="D171" i="7"/>
  <c r="B171" i="7"/>
  <c r="L170" i="7"/>
  <c r="J170" i="7"/>
  <c r="C170" i="7"/>
  <c r="D170" i="7" s="1"/>
  <c r="B170" i="7"/>
  <c r="T169" i="7"/>
  <c r="J169" i="7"/>
  <c r="D169" i="7"/>
  <c r="B169" i="7"/>
  <c r="T168" i="7"/>
  <c r="L168" i="7"/>
  <c r="J168" i="7"/>
  <c r="D168" i="7"/>
  <c r="B168" i="7"/>
  <c r="T167" i="7"/>
  <c r="L167" i="7"/>
  <c r="J167" i="7"/>
  <c r="D167" i="7"/>
  <c r="B167" i="7"/>
  <c r="T166" i="7"/>
  <c r="L166" i="7"/>
  <c r="J166" i="7"/>
  <c r="D166" i="7"/>
  <c r="B166" i="7"/>
  <c r="T165" i="7"/>
  <c r="L165" i="7"/>
  <c r="J165" i="7"/>
  <c r="D165" i="7"/>
  <c r="B165" i="7"/>
  <c r="L164" i="7"/>
  <c r="J164" i="7"/>
  <c r="C164" i="7"/>
  <c r="D164" i="7" s="1"/>
  <c r="B164" i="7"/>
  <c r="T163" i="7"/>
  <c r="J163" i="7"/>
  <c r="D163" i="7"/>
  <c r="B163" i="7"/>
  <c r="T162" i="7"/>
  <c r="J162" i="7"/>
  <c r="D162" i="7"/>
  <c r="B162" i="7"/>
  <c r="T161" i="7"/>
  <c r="J161" i="7"/>
  <c r="D161" i="7"/>
  <c r="B161" i="7"/>
  <c r="T160" i="7"/>
  <c r="L160" i="7"/>
  <c r="J160" i="7"/>
  <c r="D160" i="7"/>
  <c r="B160" i="7"/>
  <c r="T159" i="7"/>
  <c r="L159" i="7"/>
  <c r="J159" i="7"/>
  <c r="D159" i="7"/>
  <c r="B159" i="7"/>
  <c r="T158" i="7"/>
  <c r="L158" i="7"/>
  <c r="J158" i="7"/>
  <c r="D158" i="7"/>
  <c r="B158" i="7"/>
  <c r="T157" i="7"/>
  <c r="L157" i="7"/>
  <c r="J157" i="7"/>
  <c r="D157" i="7"/>
  <c r="B157" i="7"/>
  <c r="T156" i="7"/>
  <c r="L156" i="7"/>
  <c r="J156" i="7"/>
  <c r="D156" i="7"/>
  <c r="B156" i="7"/>
  <c r="L155" i="7"/>
  <c r="J155" i="7"/>
  <c r="D155" i="7"/>
  <c r="C155" i="7"/>
  <c r="B155" i="7"/>
  <c r="T154" i="7"/>
  <c r="J154" i="7"/>
  <c r="D154" i="7"/>
  <c r="B154" i="7"/>
  <c r="T153" i="7"/>
  <c r="L153" i="7"/>
  <c r="J153" i="7"/>
  <c r="D153" i="7"/>
  <c r="B153" i="7"/>
  <c r="T152" i="7"/>
  <c r="L152" i="7"/>
  <c r="J152" i="7"/>
  <c r="D152" i="7"/>
  <c r="B152" i="7"/>
  <c r="T151" i="7"/>
  <c r="L151" i="7"/>
  <c r="J151" i="7"/>
  <c r="D151" i="7"/>
  <c r="B151" i="7"/>
  <c r="T150" i="7"/>
  <c r="L150" i="7"/>
  <c r="J150" i="7"/>
  <c r="D150" i="7"/>
  <c r="B150" i="7"/>
  <c r="T149" i="7"/>
  <c r="L149" i="7"/>
  <c r="J149" i="7"/>
  <c r="D149" i="7"/>
  <c r="B149" i="7"/>
  <c r="T148" i="7"/>
  <c r="L148" i="7"/>
  <c r="J148" i="7"/>
  <c r="D148" i="7"/>
  <c r="B148" i="7"/>
  <c r="L147" i="7"/>
  <c r="J147" i="7"/>
  <c r="D147" i="7"/>
  <c r="C147" i="7"/>
  <c r="B147" i="7"/>
  <c r="T146" i="7"/>
  <c r="J146" i="7"/>
  <c r="D146" i="7"/>
  <c r="B146" i="7"/>
  <c r="T145" i="7"/>
  <c r="L145" i="7"/>
  <c r="J145" i="7"/>
  <c r="D145" i="7"/>
  <c r="B145" i="7"/>
  <c r="T144" i="7"/>
  <c r="L144" i="7"/>
  <c r="J144" i="7"/>
  <c r="D144" i="7"/>
  <c r="B144" i="7"/>
  <c r="T143" i="7"/>
  <c r="L143" i="7"/>
  <c r="J143" i="7"/>
  <c r="D143" i="7"/>
  <c r="B143" i="7"/>
  <c r="T142" i="7"/>
  <c r="L142" i="7"/>
  <c r="J142" i="7"/>
  <c r="D142" i="7"/>
  <c r="B142" i="7"/>
  <c r="T141" i="7"/>
  <c r="L141" i="7"/>
  <c r="J141" i="7"/>
  <c r="D141" i="7"/>
  <c r="B141" i="7"/>
  <c r="T140" i="7"/>
  <c r="L140" i="7"/>
  <c r="J140" i="7"/>
  <c r="D140" i="7"/>
  <c r="B140" i="7"/>
  <c r="T139" i="7"/>
  <c r="L139" i="7"/>
  <c r="J139" i="7"/>
  <c r="D139" i="7"/>
  <c r="B139" i="7"/>
  <c r="T138" i="7"/>
  <c r="L138" i="7"/>
  <c r="J138" i="7"/>
  <c r="D138" i="7"/>
  <c r="B138" i="7"/>
  <c r="T137" i="7"/>
  <c r="L137" i="7"/>
  <c r="J137" i="7"/>
  <c r="D137" i="7"/>
  <c r="B137" i="7"/>
  <c r="T136" i="7"/>
  <c r="L136" i="7"/>
  <c r="J136" i="7"/>
  <c r="D136" i="7"/>
  <c r="B136" i="7"/>
  <c r="Y135" i="7"/>
  <c r="X135" i="7"/>
  <c r="W135" i="7"/>
  <c r="V135" i="7"/>
  <c r="U135" i="7"/>
  <c r="T135" i="7"/>
  <c r="L135" i="7"/>
  <c r="J135" i="7"/>
  <c r="D135" i="7"/>
  <c r="B135" i="7"/>
  <c r="L134" i="7"/>
  <c r="J134" i="7"/>
  <c r="D134" i="7"/>
  <c r="C134" i="7"/>
  <c r="B134" i="7"/>
  <c r="T133" i="7"/>
  <c r="L133" i="7"/>
  <c r="J133" i="7"/>
  <c r="D133" i="7"/>
  <c r="B133" i="7"/>
  <c r="T132" i="7"/>
  <c r="L132" i="7"/>
  <c r="J132" i="7"/>
  <c r="D132" i="7"/>
  <c r="B132" i="7"/>
  <c r="T131" i="7"/>
  <c r="L131" i="7"/>
  <c r="J131" i="7"/>
  <c r="D131" i="7"/>
  <c r="B131" i="7"/>
  <c r="T130" i="7"/>
  <c r="L130" i="7"/>
  <c r="J130" i="7"/>
  <c r="D130" i="7"/>
  <c r="B130" i="7"/>
  <c r="L129" i="7"/>
  <c r="J129" i="7"/>
  <c r="C129" i="7"/>
  <c r="D129" i="7" s="1"/>
  <c r="B129" i="7"/>
  <c r="T128" i="7"/>
  <c r="J128" i="7"/>
  <c r="D128" i="7"/>
  <c r="B128" i="7"/>
  <c r="T127" i="7"/>
  <c r="L127" i="7"/>
  <c r="J127" i="7"/>
  <c r="D127" i="7"/>
  <c r="B127" i="7"/>
  <c r="T126" i="7"/>
  <c r="L126" i="7"/>
  <c r="J126" i="7"/>
  <c r="D126" i="7"/>
  <c r="B126" i="7"/>
  <c r="T125" i="7"/>
  <c r="L125" i="7"/>
  <c r="J125" i="7"/>
  <c r="D125" i="7"/>
  <c r="B125" i="7"/>
  <c r="T124" i="7"/>
  <c r="L124" i="7"/>
  <c r="J124" i="7"/>
  <c r="D124" i="7"/>
  <c r="B124" i="7"/>
  <c r="L123" i="7"/>
  <c r="J123" i="7"/>
  <c r="C123" i="7"/>
  <c r="D123" i="7" s="1"/>
  <c r="B123" i="7"/>
  <c r="T122" i="7"/>
  <c r="J122" i="7"/>
  <c r="D122" i="7"/>
  <c r="B122" i="7"/>
  <c r="T121" i="7"/>
  <c r="L121" i="7"/>
  <c r="J121" i="7"/>
  <c r="D121" i="7"/>
  <c r="B121" i="7"/>
  <c r="T120" i="7"/>
  <c r="L120" i="7"/>
  <c r="J120" i="7"/>
  <c r="D120" i="7"/>
  <c r="B120" i="7"/>
  <c r="T119" i="7"/>
  <c r="L119" i="7"/>
  <c r="J119" i="7"/>
  <c r="D119" i="7"/>
  <c r="B119" i="7"/>
  <c r="T118" i="7"/>
  <c r="L118" i="7"/>
  <c r="J118" i="7"/>
  <c r="D118" i="7"/>
  <c r="B118" i="7"/>
  <c r="T117" i="7"/>
  <c r="L117" i="7"/>
  <c r="J117" i="7"/>
  <c r="D117" i="7"/>
  <c r="B117" i="7"/>
  <c r="T116" i="7"/>
  <c r="L116" i="7"/>
  <c r="J116" i="7"/>
  <c r="D116" i="7"/>
  <c r="B116" i="7"/>
  <c r="L115" i="7"/>
  <c r="J115" i="7"/>
  <c r="C115" i="7"/>
  <c r="D115" i="7" s="1"/>
  <c r="B115" i="7"/>
  <c r="T114" i="7"/>
  <c r="J114" i="7"/>
  <c r="D114" i="7"/>
  <c r="B114" i="7"/>
  <c r="T113" i="7"/>
  <c r="J113" i="7"/>
  <c r="D113" i="7"/>
  <c r="B113" i="7"/>
  <c r="T112" i="7"/>
  <c r="L112" i="7"/>
  <c r="J112" i="7"/>
  <c r="D112" i="7"/>
  <c r="B112" i="7"/>
  <c r="T111" i="7"/>
  <c r="L111" i="7"/>
  <c r="J111" i="7"/>
  <c r="D111" i="7"/>
  <c r="B111" i="7"/>
  <c r="T110" i="7"/>
  <c r="L110" i="7"/>
  <c r="J110" i="7"/>
  <c r="D110" i="7"/>
  <c r="B110" i="7"/>
  <c r="T109" i="7"/>
  <c r="L109" i="7"/>
  <c r="J109" i="7"/>
  <c r="D109" i="7"/>
  <c r="B109" i="7"/>
  <c r="T108" i="7"/>
  <c r="L108" i="7"/>
  <c r="J108" i="7"/>
  <c r="D108" i="7"/>
  <c r="B108" i="7"/>
  <c r="L107" i="7"/>
  <c r="J107" i="7"/>
  <c r="C107" i="7"/>
  <c r="D107" i="7" s="1"/>
  <c r="B107" i="7"/>
  <c r="T106" i="7"/>
  <c r="J106" i="7"/>
  <c r="D106" i="7"/>
  <c r="B106" i="7"/>
  <c r="T105" i="7"/>
  <c r="L105" i="7"/>
  <c r="J105" i="7"/>
  <c r="D105" i="7"/>
  <c r="B105" i="7"/>
  <c r="Y104" i="7"/>
  <c r="X104" i="7"/>
  <c r="W104" i="7"/>
  <c r="V104" i="7"/>
  <c r="U104" i="7"/>
  <c r="J104" i="7" s="1"/>
  <c r="T104" i="7"/>
  <c r="L104" i="7"/>
  <c r="D104" i="7"/>
  <c r="B104" i="7"/>
  <c r="T103" i="7"/>
  <c r="L103" i="7"/>
  <c r="J103" i="7"/>
  <c r="D103" i="7"/>
  <c r="B103" i="7"/>
  <c r="T102" i="7"/>
  <c r="L102" i="7"/>
  <c r="J102" i="7"/>
  <c r="D102" i="7"/>
  <c r="B102" i="7"/>
  <c r="L101" i="7"/>
  <c r="J101" i="7"/>
  <c r="C101" i="7"/>
  <c r="D101" i="7" s="1"/>
  <c r="B101" i="7"/>
  <c r="T100" i="7"/>
  <c r="J100" i="7"/>
  <c r="D100" i="7"/>
  <c r="B100" i="7"/>
  <c r="T99" i="7"/>
  <c r="L99" i="7"/>
  <c r="J99" i="7"/>
  <c r="D99" i="7"/>
  <c r="B99" i="7"/>
  <c r="T98" i="7"/>
  <c r="L98" i="7"/>
  <c r="J98" i="7"/>
  <c r="D98" i="7"/>
  <c r="B98" i="7"/>
  <c r="T97" i="7"/>
  <c r="L97" i="7"/>
  <c r="J97" i="7"/>
  <c r="D97" i="7"/>
  <c r="B97" i="7"/>
  <c r="T96" i="7"/>
  <c r="L96" i="7"/>
  <c r="J96" i="7"/>
  <c r="D96" i="7"/>
  <c r="B96" i="7"/>
  <c r="T95" i="7"/>
  <c r="L95" i="7"/>
  <c r="J95" i="7"/>
  <c r="D95" i="7"/>
  <c r="B95" i="7"/>
  <c r="L94" i="7"/>
  <c r="J94" i="7"/>
  <c r="D94" i="7"/>
  <c r="C94" i="7"/>
  <c r="B94" i="7"/>
  <c r="T93" i="7"/>
  <c r="J93" i="7"/>
  <c r="D93" i="7"/>
  <c r="B93" i="7"/>
  <c r="T92" i="7"/>
  <c r="L92" i="7"/>
  <c r="J92" i="7"/>
  <c r="D92" i="7"/>
  <c r="B92" i="7"/>
  <c r="T91" i="7"/>
  <c r="L91" i="7"/>
  <c r="J91" i="7"/>
  <c r="D91" i="7"/>
  <c r="B91" i="7"/>
  <c r="T90" i="7"/>
  <c r="L90" i="7"/>
  <c r="J90" i="7"/>
  <c r="D90" i="7"/>
  <c r="B90" i="7"/>
  <c r="T89" i="7"/>
  <c r="L89" i="7"/>
  <c r="J89" i="7"/>
  <c r="D89" i="7"/>
  <c r="B89" i="7"/>
  <c r="T88" i="7"/>
  <c r="L88" i="7"/>
  <c r="J88" i="7"/>
  <c r="D88" i="7"/>
  <c r="B88" i="7"/>
  <c r="Y87" i="7"/>
  <c r="X87" i="7"/>
  <c r="W87" i="7"/>
  <c r="V87" i="7"/>
  <c r="U87" i="7"/>
  <c r="J87" i="7" s="1"/>
  <c r="T87" i="7"/>
  <c r="L87" i="7"/>
  <c r="D87" i="7"/>
  <c r="B87" i="7"/>
  <c r="L86" i="7"/>
  <c r="J86" i="7"/>
  <c r="D86" i="7"/>
  <c r="C86" i="7"/>
  <c r="B86" i="7"/>
  <c r="T85" i="7"/>
  <c r="J85" i="7"/>
  <c r="D85" i="7"/>
  <c r="B85" i="7"/>
  <c r="T84" i="7"/>
  <c r="L84" i="7"/>
  <c r="J84" i="7"/>
  <c r="D84" i="7"/>
  <c r="B84" i="7"/>
  <c r="T83" i="7"/>
  <c r="L83" i="7"/>
  <c r="J83" i="7"/>
  <c r="D83" i="7"/>
  <c r="B83" i="7"/>
  <c r="T82" i="7"/>
  <c r="L82" i="7"/>
  <c r="J82" i="7"/>
  <c r="D82" i="7"/>
  <c r="B82" i="7"/>
  <c r="Y81" i="7"/>
  <c r="X81" i="7"/>
  <c r="W81" i="7"/>
  <c r="V81" i="7"/>
  <c r="U81" i="7"/>
  <c r="J81" i="7" s="1"/>
  <c r="T81" i="7"/>
  <c r="L81" i="7"/>
  <c r="D81" i="7"/>
  <c r="B81" i="7"/>
  <c r="L80" i="7"/>
  <c r="J80" i="7"/>
  <c r="C80" i="7"/>
  <c r="D80" i="7" s="1"/>
  <c r="B80" i="7"/>
  <c r="T79" i="7"/>
  <c r="J79" i="7"/>
  <c r="D79" i="7"/>
  <c r="B79" i="7"/>
  <c r="T78" i="7"/>
  <c r="L78" i="7"/>
  <c r="J78" i="7"/>
  <c r="D78" i="7"/>
  <c r="B78" i="7"/>
  <c r="T77" i="7"/>
  <c r="L77" i="7"/>
  <c r="J77" i="7"/>
  <c r="D77" i="7"/>
  <c r="B77" i="7"/>
  <c r="T76" i="7"/>
  <c r="L76" i="7"/>
  <c r="J76" i="7"/>
  <c r="D76" i="7"/>
  <c r="B76" i="7"/>
  <c r="T75" i="7"/>
  <c r="L75" i="7"/>
  <c r="J75" i="7"/>
  <c r="D75" i="7"/>
  <c r="B75" i="7"/>
  <c r="L74" i="7"/>
  <c r="J74" i="7"/>
  <c r="C74" i="7"/>
  <c r="D74" i="7" s="1"/>
  <c r="B74" i="7"/>
  <c r="T73" i="7"/>
  <c r="J73" i="7"/>
  <c r="D73" i="7"/>
  <c r="B73" i="7"/>
  <c r="T72" i="7"/>
  <c r="L72" i="7"/>
  <c r="J72" i="7"/>
  <c r="D72" i="7"/>
  <c r="B72" i="7"/>
  <c r="T71" i="7"/>
  <c r="L71" i="7"/>
  <c r="J71" i="7"/>
  <c r="D71" i="7"/>
  <c r="B71" i="7"/>
  <c r="T70" i="7"/>
  <c r="L70" i="7"/>
  <c r="J70" i="7"/>
  <c r="D70" i="7"/>
  <c r="B70" i="7"/>
  <c r="T69" i="7"/>
  <c r="L69" i="7"/>
  <c r="J69" i="7"/>
  <c r="D69" i="7"/>
  <c r="B69" i="7"/>
  <c r="T68" i="7"/>
  <c r="L68" i="7"/>
  <c r="J68" i="7"/>
  <c r="D68" i="7"/>
  <c r="B68" i="7"/>
  <c r="T67" i="7"/>
  <c r="L67" i="7"/>
  <c r="J67" i="7"/>
  <c r="D67" i="7"/>
  <c r="B67" i="7"/>
  <c r="T66" i="7"/>
  <c r="L66" i="7"/>
  <c r="J66" i="7"/>
  <c r="D66" i="7"/>
  <c r="B66" i="7"/>
  <c r="T65" i="7"/>
  <c r="L65" i="7"/>
  <c r="J65" i="7"/>
  <c r="D65" i="7"/>
  <c r="B65" i="7"/>
  <c r="L64" i="7"/>
  <c r="J64" i="7"/>
  <c r="D64" i="7"/>
  <c r="C64" i="7"/>
  <c r="B64" i="7"/>
  <c r="T63" i="7"/>
  <c r="J63" i="7"/>
  <c r="D63" i="7"/>
  <c r="B63" i="7"/>
  <c r="T62" i="7"/>
  <c r="L62" i="7"/>
  <c r="J62" i="7"/>
  <c r="D62" i="7"/>
  <c r="B62" i="7"/>
  <c r="T61" i="7"/>
  <c r="L61" i="7"/>
  <c r="J61" i="7"/>
  <c r="D61" i="7"/>
  <c r="B61" i="7"/>
  <c r="T60" i="7"/>
  <c r="L60" i="7"/>
  <c r="J60" i="7"/>
  <c r="D60" i="7"/>
  <c r="B60" i="7"/>
  <c r="Y59" i="7"/>
  <c r="X59" i="7"/>
  <c r="W59" i="7"/>
  <c r="V59" i="7"/>
  <c r="U59" i="7"/>
  <c r="T59" i="7"/>
  <c r="L59" i="7"/>
  <c r="J59" i="7"/>
  <c r="D59" i="7"/>
  <c r="B59" i="7"/>
  <c r="L58" i="7"/>
  <c r="J58" i="7"/>
  <c r="D58" i="7"/>
  <c r="C58" i="7"/>
  <c r="B58" i="7"/>
  <c r="T57" i="7"/>
  <c r="J57" i="7"/>
  <c r="D57" i="7"/>
  <c r="B57" i="7"/>
  <c r="T56" i="7"/>
  <c r="L56" i="7"/>
  <c r="J56" i="7"/>
  <c r="D56" i="7"/>
  <c r="B56" i="7"/>
  <c r="T55" i="7"/>
  <c r="L55" i="7"/>
  <c r="J55" i="7"/>
  <c r="D55" i="7"/>
  <c r="B55" i="7"/>
  <c r="T54" i="7"/>
  <c r="L54" i="7"/>
  <c r="J54" i="7"/>
  <c r="D54" i="7"/>
  <c r="B54" i="7"/>
  <c r="T53" i="7"/>
  <c r="L53" i="7"/>
  <c r="J53" i="7"/>
  <c r="D53" i="7"/>
  <c r="B53" i="7"/>
  <c r="T52" i="7"/>
  <c r="L52" i="7"/>
  <c r="J52" i="7"/>
  <c r="D52" i="7"/>
  <c r="B52" i="7"/>
  <c r="L51" i="7"/>
  <c r="J51" i="7"/>
  <c r="D51" i="7"/>
  <c r="C51" i="7"/>
  <c r="B51" i="7"/>
  <c r="T50" i="7"/>
  <c r="J50" i="7"/>
  <c r="D50" i="7"/>
  <c r="B50" i="7"/>
  <c r="T49" i="7"/>
  <c r="L49" i="7"/>
  <c r="J49" i="7"/>
  <c r="D49" i="7"/>
  <c r="B49" i="7"/>
  <c r="T48" i="7"/>
  <c r="L48" i="7"/>
  <c r="J48" i="7"/>
  <c r="D48" i="7"/>
  <c r="B48" i="7"/>
  <c r="T47" i="7"/>
  <c r="L47" i="7"/>
  <c r="J47" i="7"/>
  <c r="D47" i="7"/>
  <c r="B47" i="7"/>
  <c r="T46" i="7"/>
  <c r="L46" i="7"/>
  <c r="J46" i="7"/>
  <c r="D46" i="7"/>
  <c r="B46" i="7"/>
  <c r="Y45" i="7"/>
  <c r="X45" i="7"/>
  <c r="W45" i="7"/>
  <c r="V45" i="7"/>
  <c r="U45" i="7"/>
  <c r="J45" i="7" s="1"/>
  <c r="T45" i="7"/>
  <c r="L45" i="7"/>
  <c r="D45" i="7"/>
  <c r="B45" i="7"/>
  <c r="L44" i="7"/>
  <c r="J44" i="7"/>
  <c r="C44" i="7"/>
  <c r="D44" i="7" s="1"/>
  <c r="B44" i="7"/>
  <c r="T43" i="7"/>
  <c r="J43" i="7"/>
  <c r="D43" i="7"/>
  <c r="B43" i="7"/>
  <c r="T42" i="7"/>
  <c r="L42" i="7"/>
  <c r="J42" i="7"/>
  <c r="D42" i="7"/>
  <c r="B42" i="7"/>
  <c r="T41" i="7"/>
  <c r="L41" i="7"/>
  <c r="J41" i="7"/>
  <c r="D41" i="7"/>
  <c r="B41" i="7"/>
  <c r="T40" i="7"/>
  <c r="L40" i="7"/>
  <c r="J40" i="7"/>
  <c r="D40" i="7"/>
  <c r="B40" i="7"/>
  <c r="T39" i="7"/>
  <c r="L39" i="7"/>
  <c r="J39" i="7"/>
  <c r="D39" i="7"/>
  <c r="B39" i="7"/>
  <c r="L38" i="7"/>
  <c r="J38" i="7"/>
  <c r="C38" i="7"/>
  <c r="D38" i="7" s="1"/>
  <c r="B38" i="7"/>
  <c r="T37" i="7"/>
  <c r="J37" i="7"/>
  <c r="D37" i="7"/>
  <c r="B37" i="7"/>
  <c r="T36" i="7"/>
  <c r="L36" i="7"/>
  <c r="J36" i="7"/>
  <c r="D36" i="7"/>
  <c r="B36" i="7"/>
  <c r="T35" i="7"/>
  <c r="L35" i="7"/>
  <c r="J35" i="7"/>
  <c r="D35" i="7"/>
  <c r="B35" i="7"/>
  <c r="T34" i="7"/>
  <c r="L34" i="7"/>
  <c r="J34" i="7"/>
  <c r="D34" i="7"/>
  <c r="B34" i="7"/>
  <c r="T33" i="7"/>
  <c r="L33" i="7"/>
  <c r="J33" i="7"/>
  <c r="D33" i="7"/>
  <c r="B33" i="7"/>
  <c r="T32" i="7"/>
  <c r="L32" i="7"/>
  <c r="J32" i="7"/>
  <c r="D32" i="7"/>
  <c r="B32" i="7"/>
  <c r="T31" i="7"/>
  <c r="L31" i="7"/>
  <c r="J31" i="7"/>
  <c r="D31" i="7"/>
  <c r="B31" i="7"/>
  <c r="T30" i="7"/>
  <c r="L30" i="7"/>
  <c r="J30" i="7"/>
  <c r="D30" i="7"/>
  <c r="B30" i="7"/>
  <c r="T29" i="7"/>
  <c r="L29" i="7"/>
  <c r="J29" i="7"/>
  <c r="D29" i="7"/>
  <c r="B29" i="7"/>
  <c r="T28" i="7"/>
  <c r="L28" i="7"/>
  <c r="J28" i="7"/>
  <c r="D28" i="7"/>
  <c r="B28" i="7"/>
  <c r="Y27" i="7"/>
  <c r="X27" i="7"/>
  <c r="W27" i="7"/>
  <c r="V27" i="7"/>
  <c r="U27" i="7"/>
  <c r="J27" i="7" s="1"/>
  <c r="T27" i="7"/>
  <c r="L27" i="7"/>
  <c r="D27" i="7"/>
  <c r="B27" i="7"/>
  <c r="L26" i="7"/>
  <c r="J26" i="7"/>
  <c r="D26" i="7"/>
  <c r="C26" i="7"/>
  <c r="B26" i="7"/>
  <c r="T25" i="7"/>
  <c r="J25" i="7"/>
  <c r="D25" i="7"/>
  <c r="B25" i="7"/>
  <c r="T24" i="7"/>
  <c r="L24" i="7"/>
  <c r="J24" i="7"/>
  <c r="D24" i="7"/>
  <c r="B24" i="7"/>
  <c r="T23" i="7"/>
  <c r="L23" i="7"/>
  <c r="J23" i="7"/>
  <c r="D23" i="7"/>
  <c r="B23" i="7"/>
  <c r="T22" i="7"/>
  <c r="L22" i="7"/>
  <c r="J22" i="7"/>
  <c r="D22" i="7"/>
  <c r="B22" i="7"/>
  <c r="X21" i="7"/>
  <c r="W21" i="7"/>
  <c r="V21" i="7"/>
  <c r="U21" i="7"/>
  <c r="T21" i="7"/>
  <c r="L21" i="7"/>
  <c r="J21" i="7"/>
  <c r="D21" i="7"/>
  <c r="B21" i="7"/>
  <c r="L20" i="7"/>
  <c r="J20" i="7"/>
  <c r="D20" i="7"/>
  <c r="C20" i="7"/>
  <c r="B20" i="7"/>
  <c r="T19" i="7"/>
  <c r="J19" i="7"/>
  <c r="D19" i="7"/>
  <c r="B19" i="7"/>
  <c r="T18" i="7"/>
  <c r="L18" i="7"/>
  <c r="J18" i="7"/>
  <c r="D18" i="7"/>
  <c r="B18" i="7"/>
  <c r="T17" i="7"/>
  <c r="L17" i="7"/>
  <c r="J17" i="7"/>
  <c r="D17" i="7"/>
  <c r="B17" i="7"/>
  <c r="T16" i="7"/>
  <c r="L16" i="7"/>
  <c r="J16" i="7"/>
  <c r="D16" i="7"/>
  <c r="B16" i="7"/>
  <c r="Y15" i="7"/>
  <c r="X15" i="7"/>
  <c r="W15" i="7"/>
  <c r="V15" i="7"/>
  <c r="U15" i="7"/>
  <c r="T15" i="7"/>
  <c r="L15" i="7"/>
  <c r="J15" i="7"/>
  <c r="D15" i="7"/>
  <c r="B15" i="7"/>
  <c r="T14" i="7"/>
  <c r="L14" i="7"/>
  <c r="J14" i="7"/>
  <c r="D14" i="7"/>
  <c r="B14" i="7"/>
  <c r="L13" i="7"/>
  <c r="J13" i="7"/>
  <c r="D13" i="7"/>
  <c r="C13" i="7"/>
  <c r="B13" i="7"/>
  <c r="T12" i="7"/>
  <c r="J12" i="7"/>
  <c r="D12" i="7"/>
  <c r="B12" i="7"/>
  <c r="T11" i="7"/>
  <c r="L11" i="7"/>
  <c r="J11" i="7"/>
  <c r="D11" i="7"/>
  <c r="B11" i="7"/>
  <c r="T10" i="7"/>
  <c r="L10" i="7"/>
  <c r="J10" i="7"/>
  <c r="D10" i="7"/>
  <c r="B10" i="7"/>
  <c r="T9" i="7"/>
  <c r="L9" i="7"/>
  <c r="J9" i="7"/>
  <c r="D9" i="7"/>
  <c r="B9" i="7"/>
  <c r="L8" i="7"/>
  <c r="J8" i="7"/>
  <c r="D8" i="7"/>
  <c r="C8" i="7"/>
  <c r="B8" i="7"/>
  <c r="T7" i="7"/>
  <c r="J7" i="7"/>
  <c r="D7" i="7"/>
  <c r="B7" i="7"/>
  <c r="T6" i="7"/>
  <c r="L6" i="7"/>
  <c r="J6" i="7"/>
  <c r="D6" i="7"/>
  <c r="B6" i="7"/>
  <c r="T5" i="7"/>
  <c r="L5" i="7"/>
  <c r="J5" i="7"/>
  <c r="D5" i="7"/>
  <c r="B5" i="7"/>
  <c r="T4" i="7"/>
  <c r="L4" i="7"/>
  <c r="J4" i="7"/>
  <c r="D4" i="7"/>
  <c r="B4" i="7"/>
  <c r="T3" i="7"/>
  <c r="L3" i="7"/>
  <c r="J3" i="7"/>
  <c r="D3" i="7"/>
  <c r="B3" i="7"/>
  <c r="L2" i="7"/>
  <c r="J2" i="7"/>
  <c r="D2" i="7"/>
  <c r="C2" i="7"/>
  <c r="B2" i="7"/>
  <c r="AH113" i="6"/>
  <c r="S113" i="6"/>
  <c r="D110" i="6"/>
  <c r="AH103" i="6"/>
  <c r="S103" i="6"/>
  <c r="AG100" i="6"/>
  <c r="R100" i="6"/>
  <c r="C100" i="6"/>
  <c r="C99" i="6"/>
  <c r="B98" i="6"/>
  <c r="AW86" i="6"/>
  <c r="AH86" i="6"/>
  <c r="S86" i="6"/>
  <c r="D86" i="6"/>
  <c r="AV76" i="6"/>
  <c r="AG76" i="6"/>
  <c r="R76" i="6"/>
  <c r="C76" i="6"/>
  <c r="AV75" i="6"/>
  <c r="AG75" i="6"/>
  <c r="R75" i="6"/>
  <c r="C75" i="6"/>
  <c r="AU74" i="6"/>
  <c r="AF74" i="6"/>
  <c r="Q74" i="6"/>
  <c r="B74" i="6"/>
  <c r="AW62" i="6"/>
  <c r="AH62" i="6"/>
  <c r="S62" i="6"/>
  <c r="D62" i="6"/>
  <c r="AV52" i="6"/>
  <c r="AG52" i="6"/>
  <c r="R52" i="6"/>
  <c r="C52" i="6"/>
  <c r="AV51" i="6"/>
  <c r="AG51" i="6"/>
  <c r="R51" i="6"/>
  <c r="C51" i="6"/>
  <c r="AU50" i="6"/>
  <c r="AF50" i="6"/>
  <c r="Q50" i="6"/>
  <c r="B50" i="6"/>
  <c r="AW38" i="6"/>
  <c r="AH38" i="6"/>
  <c r="S38" i="6"/>
  <c r="D38" i="6"/>
  <c r="AV28" i="6"/>
  <c r="AG28" i="6"/>
  <c r="R28" i="6"/>
  <c r="C28" i="6"/>
  <c r="AV27" i="6"/>
  <c r="AG27" i="6"/>
  <c r="R27" i="6"/>
  <c r="C27" i="6"/>
  <c r="AU26" i="6"/>
  <c r="AF26" i="6"/>
  <c r="Q26" i="6"/>
  <c r="B26" i="6"/>
  <c r="L23" i="6"/>
  <c r="H23" i="6"/>
  <c r="D23" i="6"/>
  <c r="H22" i="6"/>
  <c r="D22" i="6"/>
  <c r="L18" i="6"/>
  <c r="H18" i="6"/>
  <c r="D18" i="6"/>
  <c r="H17" i="6"/>
  <c r="AW14" i="6"/>
  <c r="AH14" i="6"/>
  <c r="S14" i="6"/>
  <c r="L12" i="6"/>
  <c r="H12" i="6"/>
  <c r="D12" i="6"/>
  <c r="H11" i="6"/>
  <c r="L10" i="6"/>
  <c r="H10" i="6"/>
  <c r="D10" i="6"/>
  <c r="L8" i="6"/>
  <c r="H8" i="6"/>
  <c r="D8" i="6"/>
  <c r="L6" i="6"/>
  <c r="B6" i="6"/>
  <c r="AV4" i="6"/>
  <c r="AG4" i="6"/>
  <c r="R4" i="6"/>
  <c r="C4" i="6"/>
  <c r="AV3" i="6"/>
  <c r="AG3" i="6"/>
  <c r="R3" i="6"/>
  <c r="C3" i="6"/>
  <c r="AU2" i="6"/>
  <c r="AF2" i="6"/>
  <c r="Q2" i="6"/>
  <c r="AH116" i="5"/>
  <c r="S116" i="5"/>
  <c r="D116" i="5"/>
  <c r="L114" i="5"/>
  <c r="J114" i="5"/>
  <c r="H114" i="5"/>
  <c r="F114" i="5"/>
  <c r="D114" i="5"/>
  <c r="N111" i="5"/>
  <c r="L111" i="5"/>
  <c r="J111" i="5"/>
  <c r="H111" i="5"/>
  <c r="F111" i="5"/>
  <c r="D111" i="5"/>
  <c r="AH110" i="5"/>
  <c r="S110" i="5"/>
  <c r="C100" i="5"/>
  <c r="AG99" i="5"/>
  <c r="R99" i="5"/>
  <c r="C99" i="5"/>
  <c r="B98" i="5"/>
  <c r="AW92" i="5"/>
  <c r="AH92" i="5"/>
  <c r="S92" i="5"/>
  <c r="D92" i="5"/>
  <c r="BE90" i="5"/>
  <c r="BC90" i="5"/>
  <c r="BA90" i="5"/>
  <c r="AY90" i="5"/>
  <c r="AW90" i="5"/>
  <c r="AP90" i="5"/>
  <c r="AN90" i="5"/>
  <c r="AL90" i="5"/>
  <c r="AJ90" i="5"/>
  <c r="AH90" i="5"/>
  <c r="AA90" i="5"/>
  <c r="Y90" i="5"/>
  <c r="W90" i="5"/>
  <c r="U90" i="5"/>
  <c r="S90" i="5"/>
  <c r="L90" i="5"/>
  <c r="J90" i="5"/>
  <c r="H90" i="5"/>
  <c r="F90" i="5"/>
  <c r="D90" i="5"/>
  <c r="BG87" i="5"/>
  <c r="BE87" i="5"/>
  <c r="BC87" i="5"/>
  <c r="BA87" i="5"/>
  <c r="AY87" i="5"/>
  <c r="AW87" i="5"/>
  <c r="AR87" i="5"/>
  <c r="AP87" i="5"/>
  <c r="AN87" i="5"/>
  <c r="AL87" i="5"/>
  <c r="AJ87" i="5"/>
  <c r="AH87" i="5"/>
  <c r="AC87" i="5"/>
  <c r="AA87" i="5"/>
  <c r="Y87" i="5"/>
  <c r="W87" i="5"/>
  <c r="U87" i="5"/>
  <c r="S87" i="5"/>
  <c r="N87" i="5"/>
  <c r="L87" i="5"/>
  <c r="J87" i="5"/>
  <c r="H87" i="5"/>
  <c r="F87" i="5"/>
  <c r="D87" i="5"/>
  <c r="AV76" i="5"/>
  <c r="AG76" i="5"/>
  <c r="R76" i="5"/>
  <c r="C76" i="5"/>
  <c r="AV75" i="5"/>
  <c r="AG75" i="5"/>
  <c r="R75" i="5"/>
  <c r="C75" i="5"/>
  <c r="AU74" i="5"/>
  <c r="AF74" i="5"/>
  <c r="Q74" i="5"/>
  <c r="B74" i="5"/>
  <c r="AW68" i="5"/>
  <c r="AH68" i="5"/>
  <c r="S68" i="5"/>
  <c r="D68" i="5"/>
  <c r="BE66" i="5"/>
  <c r="BC66" i="5"/>
  <c r="BA66" i="5"/>
  <c r="AY66" i="5"/>
  <c r="AW66" i="5"/>
  <c r="AP66" i="5"/>
  <c r="AN66" i="5"/>
  <c r="AL66" i="5"/>
  <c r="AJ66" i="5"/>
  <c r="AH66" i="5"/>
  <c r="AA66" i="5"/>
  <c r="Y66" i="5"/>
  <c r="W66" i="5"/>
  <c r="U66" i="5"/>
  <c r="S66" i="5"/>
  <c r="L66" i="5"/>
  <c r="J66" i="5"/>
  <c r="H66" i="5"/>
  <c r="F66" i="5"/>
  <c r="D66" i="5"/>
  <c r="BG63" i="5"/>
  <c r="BE63" i="5"/>
  <c r="BC63" i="5"/>
  <c r="BA63" i="5"/>
  <c r="AY63" i="5"/>
  <c r="AW63" i="5"/>
  <c r="AR63" i="5"/>
  <c r="AP63" i="5"/>
  <c r="AN63" i="5"/>
  <c r="AL63" i="5"/>
  <c r="AJ63" i="5"/>
  <c r="AH63" i="5"/>
  <c r="AC63" i="5"/>
  <c r="AA63" i="5"/>
  <c r="Y63" i="5"/>
  <c r="W63" i="5"/>
  <c r="U63" i="5"/>
  <c r="S63" i="5"/>
  <c r="N63" i="5"/>
  <c r="L63" i="5"/>
  <c r="J63" i="5"/>
  <c r="H63" i="5"/>
  <c r="F63" i="5"/>
  <c r="D63" i="5"/>
  <c r="AV52" i="5"/>
  <c r="AG52" i="5"/>
  <c r="R52" i="5"/>
  <c r="C52" i="5"/>
  <c r="AV51" i="5"/>
  <c r="AG51" i="5"/>
  <c r="R51" i="5"/>
  <c r="C51" i="5"/>
  <c r="AU50" i="5"/>
  <c r="AF50" i="5"/>
  <c r="Q50" i="5"/>
  <c r="B50" i="5"/>
  <c r="AW44" i="5"/>
  <c r="AH44" i="5"/>
  <c r="S44" i="5"/>
  <c r="D44" i="5"/>
  <c r="BE42" i="5"/>
  <c r="BC42" i="5"/>
  <c r="BA42" i="5"/>
  <c r="AY42" i="5"/>
  <c r="AW42" i="5"/>
  <c r="AP42" i="5"/>
  <c r="AN42" i="5"/>
  <c r="AL42" i="5"/>
  <c r="AJ42" i="5"/>
  <c r="AH42" i="5"/>
  <c r="AA42" i="5"/>
  <c r="Y42" i="5"/>
  <c r="W42" i="5"/>
  <c r="U42" i="5"/>
  <c r="S42" i="5"/>
  <c r="L42" i="5"/>
  <c r="J42" i="5"/>
  <c r="H42" i="5"/>
  <c r="F42" i="5"/>
  <c r="D42" i="5"/>
  <c r="BG39" i="5"/>
  <c r="BE39" i="5"/>
  <c r="BC39" i="5"/>
  <c r="BA39" i="5"/>
  <c r="AY39" i="5"/>
  <c r="AW39" i="5"/>
  <c r="AR39" i="5"/>
  <c r="AP39" i="5"/>
  <c r="AN39" i="5"/>
  <c r="AL39" i="5"/>
  <c r="AJ39" i="5"/>
  <c r="AH39" i="5"/>
  <c r="AC39" i="5"/>
  <c r="AA39" i="5"/>
  <c r="Y39" i="5"/>
  <c r="W39" i="5"/>
  <c r="U39" i="5"/>
  <c r="S39" i="5"/>
  <c r="N39" i="5"/>
  <c r="L39" i="5"/>
  <c r="J39" i="5"/>
  <c r="H39" i="5"/>
  <c r="F39" i="5"/>
  <c r="D39" i="5"/>
  <c r="AV28" i="5"/>
  <c r="AG28" i="5"/>
  <c r="R28" i="5"/>
  <c r="C28" i="5"/>
  <c r="AV27" i="5"/>
  <c r="AG27" i="5"/>
  <c r="R27" i="5"/>
  <c r="C27" i="5"/>
  <c r="AU26" i="5"/>
  <c r="AF26" i="5"/>
  <c r="Q26" i="5"/>
  <c r="B26" i="5"/>
  <c r="L23" i="5"/>
  <c r="H23" i="5"/>
  <c r="D23" i="5"/>
  <c r="H22" i="5"/>
  <c r="D22" i="5"/>
  <c r="AW20" i="5"/>
  <c r="AH20" i="5"/>
  <c r="S20" i="5"/>
  <c r="BE18" i="5"/>
  <c r="BC18" i="5"/>
  <c r="BA18" i="5"/>
  <c r="AY18" i="5"/>
  <c r="AW18" i="5"/>
  <c r="AP18" i="5"/>
  <c r="AN18" i="5"/>
  <c r="AL18" i="5"/>
  <c r="AJ18" i="5"/>
  <c r="AH18" i="5"/>
  <c r="AA18" i="5"/>
  <c r="Y18" i="5"/>
  <c r="W18" i="5"/>
  <c r="U18" i="5"/>
  <c r="S18" i="5"/>
  <c r="L18" i="5"/>
  <c r="H18" i="5"/>
  <c r="D18" i="5"/>
  <c r="H17" i="5"/>
  <c r="BG15" i="5"/>
  <c r="BE15" i="5"/>
  <c r="BC15" i="5"/>
  <c r="BA15" i="5"/>
  <c r="AY15" i="5"/>
  <c r="AW15" i="5"/>
  <c r="AR15" i="5"/>
  <c r="AP15" i="5"/>
  <c r="AN15" i="5"/>
  <c r="AL15" i="5"/>
  <c r="AJ15" i="5"/>
  <c r="AH15" i="5"/>
  <c r="AC15" i="5"/>
  <c r="AA15" i="5"/>
  <c r="Y15" i="5"/>
  <c r="W15" i="5"/>
  <c r="U15" i="5"/>
  <c r="S15" i="5"/>
  <c r="L12" i="5"/>
  <c r="H12" i="5"/>
  <c r="D12" i="5"/>
  <c r="H11" i="5"/>
  <c r="L10" i="5"/>
  <c r="H10" i="5"/>
  <c r="D10" i="5"/>
  <c r="L8" i="5"/>
  <c r="H8" i="5"/>
  <c r="D8" i="5"/>
  <c r="L6" i="5"/>
  <c r="B6" i="5"/>
  <c r="AV4" i="5"/>
  <c r="AG4" i="5"/>
  <c r="R4" i="5"/>
  <c r="C4" i="5"/>
  <c r="AV3" i="5"/>
  <c r="AG3" i="5"/>
  <c r="R3" i="5"/>
  <c r="C3" i="5"/>
  <c r="AU2" i="5"/>
  <c r="AF2" i="5"/>
  <c r="Q2" i="5"/>
  <c r="L32" i="4"/>
  <c r="K32" i="4"/>
  <c r="J32" i="4"/>
  <c r="I32" i="4"/>
  <c r="H32" i="4"/>
  <c r="G32" i="4"/>
  <c r="L31" i="4"/>
  <c r="K31" i="4"/>
  <c r="J31" i="4"/>
  <c r="I31" i="4"/>
  <c r="H31" i="4"/>
  <c r="G31" i="4"/>
  <c r="L30" i="4"/>
  <c r="K30" i="4"/>
  <c r="J30" i="4"/>
  <c r="I30" i="4"/>
  <c r="H30" i="4"/>
  <c r="G30" i="4"/>
  <c r="L29" i="4"/>
  <c r="K29" i="4"/>
  <c r="J29" i="4"/>
  <c r="I29" i="4"/>
  <c r="H29" i="4"/>
  <c r="G29" i="4"/>
  <c r="L28" i="4"/>
  <c r="K28" i="4"/>
  <c r="J28" i="4"/>
  <c r="I28" i="4"/>
  <c r="H28" i="4"/>
  <c r="G28" i="4"/>
  <c r="L27" i="4"/>
  <c r="K27" i="4"/>
  <c r="J27" i="4"/>
  <c r="I27" i="4"/>
  <c r="H27" i="4"/>
  <c r="G27" i="4"/>
  <c r="L26" i="4"/>
  <c r="K26" i="4"/>
  <c r="J26" i="4"/>
  <c r="I26" i="4"/>
  <c r="H26" i="4"/>
  <c r="G26" i="4"/>
  <c r="L25" i="4"/>
  <c r="K25" i="4"/>
  <c r="J25" i="4"/>
  <c r="I25" i="4"/>
  <c r="H25" i="4"/>
  <c r="G25" i="4"/>
  <c r="L24" i="4"/>
  <c r="K24" i="4"/>
  <c r="J24" i="4"/>
  <c r="I24" i="4"/>
  <c r="H24" i="4"/>
  <c r="G24" i="4"/>
  <c r="L23" i="4"/>
  <c r="K23" i="4"/>
  <c r="J23" i="4"/>
  <c r="I23" i="4"/>
  <c r="H23" i="4"/>
  <c r="G23" i="4"/>
  <c r="L22" i="4"/>
  <c r="K22" i="4"/>
  <c r="J22" i="4"/>
  <c r="I22" i="4"/>
  <c r="H22" i="4"/>
  <c r="G22" i="4"/>
  <c r="L21" i="4"/>
  <c r="K21" i="4"/>
  <c r="J21" i="4"/>
  <c r="I21" i="4"/>
  <c r="H21" i="4"/>
  <c r="G21" i="4"/>
  <c r="L20" i="4"/>
  <c r="K20" i="4"/>
  <c r="J20" i="4"/>
  <c r="I20" i="4"/>
  <c r="H20" i="4"/>
  <c r="G20" i="4"/>
  <c r="L19" i="4"/>
  <c r="K19" i="4"/>
  <c r="J19" i="4"/>
  <c r="I19" i="4"/>
  <c r="H19" i="4"/>
  <c r="G19" i="4"/>
  <c r="L18" i="4"/>
  <c r="K18" i="4"/>
  <c r="J18" i="4"/>
  <c r="I18" i="4"/>
  <c r="H18" i="4"/>
  <c r="G18" i="4"/>
  <c r="AJ2" i="4"/>
  <c r="AH2" i="4"/>
  <c r="AF2" i="4"/>
  <c r="AE2" i="4"/>
  <c r="AD2" i="4"/>
  <c r="AC2" i="4"/>
  <c r="AB2" i="4"/>
  <c r="AA2" i="4"/>
  <c r="Z2" i="4"/>
  <c r="Y2" i="4"/>
  <c r="X2" i="4"/>
  <c r="W2" i="4"/>
  <c r="L2" i="4"/>
  <c r="K2" i="4"/>
  <c r="J2" i="4"/>
  <c r="I2" i="4"/>
  <c r="H2" i="4"/>
  <c r="G2" i="4"/>
  <c r="C2" i="4"/>
  <c r="B2" i="4"/>
  <c r="A1" i="4"/>
  <c r="A56" i="3"/>
  <c r="AH55" i="3"/>
  <c r="K55" i="3"/>
  <c r="I55" i="3"/>
  <c r="B55" i="3"/>
  <c r="AH54" i="3"/>
  <c r="K54" i="3"/>
  <c r="I54" i="3"/>
  <c r="B54" i="3"/>
  <c r="AH53" i="3"/>
  <c r="K53" i="3"/>
  <c r="I53" i="3"/>
  <c r="B53" i="3"/>
  <c r="AH52" i="3"/>
  <c r="K52" i="3"/>
  <c r="I52" i="3"/>
  <c r="B52" i="3"/>
  <c r="AH51" i="3"/>
  <c r="K51" i="3"/>
  <c r="I51" i="3"/>
  <c r="B51" i="3"/>
  <c r="AH50" i="3"/>
  <c r="K50" i="3"/>
  <c r="I50" i="3"/>
  <c r="B50" i="3"/>
  <c r="AH49" i="3"/>
  <c r="K49" i="3"/>
  <c r="I49" i="3"/>
  <c r="B49" i="3"/>
  <c r="AH48" i="3"/>
  <c r="K48" i="3"/>
  <c r="I48" i="3"/>
  <c r="B48" i="3"/>
  <c r="AH47" i="3"/>
  <c r="K47" i="3"/>
  <c r="I47" i="3"/>
  <c r="B47" i="3"/>
  <c r="AH46" i="3"/>
  <c r="K46" i="3"/>
  <c r="I46" i="3"/>
  <c r="B46" i="3"/>
  <c r="AH45" i="3"/>
  <c r="K45" i="3"/>
  <c r="I45" i="3"/>
  <c r="B45" i="3"/>
  <c r="AH44" i="3"/>
  <c r="K44" i="3"/>
  <c r="I44" i="3"/>
  <c r="B44" i="3"/>
  <c r="AH43" i="3"/>
  <c r="K43" i="3"/>
  <c r="I43" i="3"/>
  <c r="B43" i="3"/>
  <c r="AH42" i="3"/>
  <c r="K42" i="3"/>
  <c r="I42" i="3"/>
  <c r="B42" i="3"/>
  <c r="AH41" i="3"/>
  <c r="K41" i="3"/>
  <c r="I41" i="3"/>
  <c r="B41" i="3"/>
  <c r="AH40" i="3"/>
  <c r="K40" i="3"/>
  <c r="I40" i="3"/>
  <c r="B40" i="3"/>
  <c r="AH39" i="3"/>
  <c r="K39" i="3"/>
  <c r="I39" i="3"/>
  <c r="B39" i="3"/>
  <c r="AH38" i="3"/>
  <c r="K38" i="3"/>
  <c r="I38" i="3"/>
  <c r="B38" i="3"/>
  <c r="AH37" i="3"/>
  <c r="K37" i="3"/>
  <c r="I37" i="3"/>
  <c r="B37" i="3"/>
  <c r="AH36" i="3"/>
  <c r="K36" i="3"/>
  <c r="I36" i="3"/>
  <c r="B36" i="3"/>
  <c r="AH35" i="3"/>
  <c r="K35" i="3"/>
  <c r="I35" i="3"/>
  <c r="B35" i="3"/>
  <c r="AH34" i="3"/>
  <c r="K34" i="3"/>
  <c r="I34" i="3"/>
  <c r="B34" i="3"/>
  <c r="AH33" i="3"/>
  <c r="K33" i="3"/>
  <c r="I33" i="3"/>
  <c r="B33" i="3"/>
  <c r="AH32" i="3"/>
  <c r="K32" i="3"/>
  <c r="I32" i="3"/>
  <c r="B32" i="3"/>
  <c r="AH31" i="3"/>
  <c r="K31" i="3"/>
  <c r="I31" i="3"/>
  <c r="B31" i="3"/>
  <c r="AH30" i="3"/>
  <c r="K30" i="3"/>
  <c r="I30" i="3"/>
  <c r="B30" i="3"/>
  <c r="AH29" i="3"/>
  <c r="K29" i="3"/>
  <c r="I29" i="3"/>
  <c r="B29" i="3"/>
  <c r="AH28" i="3"/>
  <c r="K28" i="3"/>
  <c r="I28" i="3"/>
  <c r="B28" i="3"/>
  <c r="AH27" i="3"/>
  <c r="K27" i="3"/>
  <c r="I27" i="3"/>
  <c r="B27" i="3"/>
  <c r="AH26" i="3"/>
  <c r="K26" i="3"/>
  <c r="I26" i="3"/>
  <c r="B26" i="3"/>
  <c r="AH25" i="3"/>
  <c r="K25" i="3"/>
  <c r="I25" i="3"/>
  <c r="B25" i="3"/>
  <c r="AH24" i="3"/>
  <c r="K24" i="3"/>
  <c r="I24" i="3"/>
  <c r="B24" i="3"/>
  <c r="AH23" i="3"/>
  <c r="K23" i="3"/>
  <c r="I23" i="3"/>
  <c r="B23" i="3"/>
  <c r="AH22" i="3"/>
  <c r="K22" i="3"/>
  <c r="I22" i="3"/>
  <c r="B22" i="3"/>
  <c r="AH21" i="3"/>
  <c r="K21" i="3"/>
  <c r="I21" i="3"/>
  <c r="B21" i="3"/>
  <c r="AH20" i="3"/>
  <c r="K20" i="3"/>
  <c r="I20" i="3"/>
  <c r="B20" i="3"/>
  <c r="AH19" i="3"/>
  <c r="K19" i="3"/>
  <c r="I19" i="3"/>
  <c r="B19" i="3"/>
  <c r="AH18" i="3"/>
  <c r="K18" i="3"/>
  <c r="I18" i="3"/>
  <c r="B18" i="3"/>
  <c r="AH17" i="3"/>
  <c r="K17" i="3"/>
  <c r="I17" i="3"/>
  <c r="B17" i="3"/>
  <c r="AH16" i="3"/>
  <c r="K16" i="3"/>
  <c r="I16" i="3"/>
  <c r="B16" i="3"/>
  <c r="AH15" i="3"/>
  <c r="K15" i="3"/>
  <c r="I15" i="3"/>
  <c r="B15" i="3"/>
  <c r="AH14" i="3"/>
  <c r="K14" i="3"/>
  <c r="I14" i="3"/>
  <c r="B14" i="3"/>
  <c r="AH13" i="3"/>
  <c r="K13" i="3"/>
  <c r="I13" i="3"/>
  <c r="B13" i="3"/>
  <c r="AH12" i="3"/>
  <c r="K12" i="3"/>
  <c r="I12" i="3"/>
  <c r="B12" i="3"/>
  <c r="AH11" i="3"/>
  <c r="K11" i="3"/>
  <c r="I11" i="3"/>
  <c r="B11" i="3"/>
  <c r="AH10" i="3"/>
  <c r="K10" i="3"/>
  <c r="I10" i="3"/>
  <c r="B10" i="3"/>
  <c r="AH9" i="3"/>
  <c r="K9" i="3"/>
  <c r="I9" i="3"/>
  <c r="B9" i="3"/>
  <c r="AH8" i="3"/>
  <c r="K8" i="3"/>
  <c r="I8" i="3"/>
  <c r="B8" i="3"/>
  <c r="AH7" i="3"/>
  <c r="C2" i="3" s="1"/>
  <c r="C3" i="3" s="1"/>
  <c r="K7" i="3"/>
  <c r="I7" i="3"/>
  <c r="B7" i="3"/>
  <c r="AH6" i="3"/>
  <c r="K6" i="3"/>
  <c r="I6" i="3"/>
  <c r="B6" i="3"/>
  <c r="AA5" i="3"/>
  <c r="Z5" i="3"/>
  <c r="Y5" i="3"/>
  <c r="X5" i="3"/>
  <c r="U5" i="3"/>
  <c r="R5" i="3"/>
  <c r="O5" i="3"/>
  <c r="L5" i="3"/>
  <c r="I5" i="3"/>
  <c r="F5" i="3"/>
  <c r="E5" i="3"/>
  <c r="D5" i="3"/>
  <c r="W3" i="3"/>
  <c r="Z2" i="3"/>
  <c r="Z3" i="3" s="1"/>
  <c r="Y2" i="3"/>
  <c r="Y3" i="3" s="1"/>
  <c r="X2" i="3"/>
  <c r="J25" i="2" s="1"/>
  <c r="W2" i="3"/>
  <c r="U2" i="3"/>
  <c r="U3" i="3" s="1"/>
  <c r="T2" i="3"/>
  <c r="T3" i="3" s="1"/>
  <c r="R2" i="3"/>
  <c r="R3" i="3" s="1"/>
  <c r="Q2" i="3"/>
  <c r="Q3" i="3" s="1"/>
  <c r="O2" i="3"/>
  <c r="O3" i="3" s="1"/>
  <c r="N2" i="3"/>
  <c r="N3" i="3" s="1"/>
  <c r="L2" i="3"/>
  <c r="L3" i="3" s="1"/>
  <c r="H2" i="3"/>
  <c r="H3" i="3" s="1"/>
  <c r="F2" i="3"/>
  <c r="F3" i="3" s="1"/>
  <c r="AA1" i="3"/>
  <c r="Z1" i="3"/>
  <c r="Y1" i="3"/>
  <c r="U1" i="3"/>
  <c r="R1" i="3"/>
  <c r="O1" i="3"/>
  <c r="L1" i="3"/>
  <c r="I1" i="3"/>
  <c r="F1" i="3"/>
  <c r="D1" i="3"/>
  <c r="C1" i="3"/>
  <c r="B1" i="3"/>
  <c r="A1" i="3"/>
  <c r="BZ135" i="2"/>
  <c r="BY135" i="2"/>
  <c r="BX135" i="2"/>
  <c r="BW135" i="2"/>
  <c r="BV135" i="2"/>
  <c r="BU135" i="2"/>
  <c r="BT135" i="2"/>
  <c r="BS135" i="2"/>
  <c r="BZ134" i="2"/>
  <c r="BY134" i="2"/>
  <c r="BX134" i="2"/>
  <c r="BW134" i="2"/>
  <c r="BV134" i="2"/>
  <c r="BU134" i="2"/>
  <c r="BT134" i="2"/>
  <c r="BS134" i="2"/>
  <c r="BZ133" i="2"/>
  <c r="BY133" i="2"/>
  <c r="BX133" i="2"/>
  <c r="BW133" i="2"/>
  <c r="BV133" i="2"/>
  <c r="BU133" i="2"/>
  <c r="BT133" i="2"/>
  <c r="BS133" i="2"/>
  <c r="BZ132" i="2"/>
  <c r="BY132" i="2"/>
  <c r="BX132" i="2"/>
  <c r="BW132" i="2"/>
  <c r="BV132" i="2"/>
  <c r="BU132" i="2"/>
  <c r="BT132" i="2"/>
  <c r="BS132" i="2"/>
  <c r="BZ131" i="2"/>
  <c r="BY131" i="2"/>
  <c r="BX131" i="2"/>
  <c r="BW131" i="2"/>
  <c r="BV131" i="2"/>
  <c r="BU131" i="2"/>
  <c r="BT131" i="2"/>
  <c r="BS131" i="2"/>
  <c r="BZ130" i="2"/>
  <c r="BY130" i="2"/>
  <c r="BX130" i="2"/>
  <c r="BW130" i="2"/>
  <c r="BV130" i="2"/>
  <c r="BU130" i="2"/>
  <c r="BT130" i="2"/>
  <c r="BS130" i="2"/>
  <c r="BZ129" i="2"/>
  <c r="BY129" i="2"/>
  <c r="BX129" i="2"/>
  <c r="BW129" i="2"/>
  <c r="BV129" i="2"/>
  <c r="BU129" i="2"/>
  <c r="BT129" i="2"/>
  <c r="BS129" i="2"/>
  <c r="BZ128" i="2"/>
  <c r="BY128" i="2"/>
  <c r="BX128" i="2"/>
  <c r="BW128" i="2"/>
  <c r="BV128" i="2"/>
  <c r="BU128" i="2"/>
  <c r="BT128" i="2"/>
  <c r="BS128" i="2"/>
  <c r="BZ127" i="2"/>
  <c r="BY127" i="2"/>
  <c r="BX127" i="2"/>
  <c r="BW127" i="2"/>
  <c r="BV127" i="2"/>
  <c r="BU127" i="2"/>
  <c r="BT127" i="2"/>
  <c r="BS127" i="2"/>
  <c r="BZ126" i="2"/>
  <c r="BY126" i="2"/>
  <c r="BX126" i="2"/>
  <c r="BW126" i="2"/>
  <c r="BV126" i="2"/>
  <c r="BU126" i="2"/>
  <c r="BT126" i="2"/>
  <c r="BS126" i="2"/>
  <c r="BZ125" i="2"/>
  <c r="BY125" i="2"/>
  <c r="BX125" i="2"/>
  <c r="BW125" i="2"/>
  <c r="BV125" i="2"/>
  <c r="BU125" i="2"/>
  <c r="BT125" i="2"/>
  <c r="BS125" i="2"/>
  <c r="BZ124" i="2"/>
  <c r="BY124" i="2"/>
  <c r="BX124" i="2"/>
  <c r="BW124" i="2"/>
  <c r="BV124" i="2"/>
  <c r="BU124" i="2"/>
  <c r="BT124" i="2"/>
  <c r="BS124" i="2"/>
  <c r="BZ123" i="2"/>
  <c r="BY123" i="2"/>
  <c r="BX123" i="2"/>
  <c r="BW123" i="2"/>
  <c r="BV123" i="2"/>
  <c r="BU123" i="2"/>
  <c r="BS123" i="2"/>
  <c r="CB122" i="2"/>
  <c r="BZ122" i="2"/>
  <c r="BY122" i="2"/>
  <c r="BX122" i="2"/>
  <c r="BW122" i="2"/>
  <c r="BV122" i="2"/>
  <c r="BU122" i="2"/>
  <c r="BS122" i="2"/>
  <c r="CB121" i="2"/>
  <c r="BZ121" i="2"/>
  <c r="BY121" i="2"/>
  <c r="BX121" i="2"/>
  <c r="BW121" i="2"/>
  <c r="BV121" i="2"/>
  <c r="BU121" i="2"/>
  <c r="BS121" i="2"/>
  <c r="CB120" i="2"/>
  <c r="BZ120" i="2"/>
  <c r="BY120" i="2"/>
  <c r="BX120" i="2"/>
  <c r="BW120" i="2"/>
  <c r="BV120" i="2"/>
  <c r="BU120" i="2"/>
  <c r="BS120" i="2"/>
  <c r="CB119" i="2"/>
  <c r="BZ119" i="2"/>
  <c r="BY119" i="2"/>
  <c r="BX119" i="2"/>
  <c r="BW119" i="2"/>
  <c r="BV119" i="2"/>
  <c r="BU119" i="2"/>
  <c r="BS119" i="2"/>
  <c r="CB118" i="2"/>
  <c r="BZ118" i="2"/>
  <c r="BY118" i="2"/>
  <c r="BX118" i="2"/>
  <c r="BW118" i="2"/>
  <c r="BV118" i="2"/>
  <c r="BU118" i="2"/>
  <c r="BS118" i="2"/>
  <c r="CB117" i="2"/>
  <c r="BZ117" i="2"/>
  <c r="BY117" i="2"/>
  <c r="BX117" i="2"/>
  <c r="BW117" i="2"/>
  <c r="BV117" i="2"/>
  <c r="BU117" i="2"/>
  <c r="BS117" i="2"/>
  <c r="CB116" i="2"/>
  <c r="BZ116" i="2"/>
  <c r="BY116" i="2"/>
  <c r="BX116" i="2"/>
  <c r="BW116" i="2"/>
  <c r="BV116" i="2"/>
  <c r="BU116" i="2"/>
  <c r="BS116" i="2"/>
  <c r="CB115" i="2"/>
  <c r="BZ115" i="2"/>
  <c r="BY115" i="2"/>
  <c r="BX115" i="2"/>
  <c r="BW115" i="2"/>
  <c r="BV115" i="2"/>
  <c r="BU115" i="2"/>
  <c r="BS115" i="2"/>
  <c r="CB114" i="2"/>
  <c r="BZ114" i="2"/>
  <c r="BY114" i="2"/>
  <c r="BX114" i="2"/>
  <c r="BW114" i="2"/>
  <c r="BV114" i="2"/>
  <c r="BU114" i="2"/>
  <c r="BS114" i="2"/>
  <c r="CB113" i="2"/>
  <c r="BZ113" i="2"/>
  <c r="BY113" i="2"/>
  <c r="BX113" i="2"/>
  <c r="BW113" i="2"/>
  <c r="BV113" i="2"/>
  <c r="BU113" i="2"/>
  <c r="BS113" i="2"/>
  <c r="CB112" i="2"/>
  <c r="BZ112" i="2"/>
  <c r="BY112" i="2"/>
  <c r="BX112" i="2"/>
  <c r="BW112" i="2"/>
  <c r="BV112" i="2"/>
  <c r="BU112" i="2"/>
  <c r="BS112" i="2"/>
  <c r="CB111" i="2"/>
  <c r="BZ111" i="2"/>
  <c r="BY111" i="2"/>
  <c r="BW111" i="2"/>
  <c r="BU111" i="2"/>
  <c r="BS111" i="2"/>
  <c r="CB110" i="2"/>
  <c r="BZ110" i="2"/>
  <c r="BY110" i="2"/>
  <c r="BW110" i="2"/>
  <c r="BU110" i="2"/>
  <c r="BS110" i="2"/>
  <c r="CB109" i="2"/>
  <c r="BZ109" i="2"/>
  <c r="BY109" i="2"/>
  <c r="BW109" i="2"/>
  <c r="BU109" i="2"/>
  <c r="BS109" i="2"/>
  <c r="CB108" i="2"/>
  <c r="BZ108" i="2"/>
  <c r="BY108" i="2"/>
  <c r="BW108" i="2"/>
  <c r="BU108" i="2"/>
  <c r="BS108" i="2"/>
  <c r="CB107" i="2"/>
  <c r="BZ107" i="2"/>
  <c r="BY107" i="2"/>
  <c r="BW107" i="2"/>
  <c r="BU107" i="2"/>
  <c r="BS107" i="2"/>
  <c r="CB106" i="2"/>
  <c r="BZ106" i="2"/>
  <c r="BY106" i="2"/>
  <c r="BW106" i="2"/>
  <c r="BU106" i="2"/>
  <c r="BS106" i="2"/>
  <c r="CB105" i="2"/>
  <c r="BZ105" i="2"/>
  <c r="BY105" i="2"/>
  <c r="BW105" i="2"/>
  <c r="BU105" i="2"/>
  <c r="BS105" i="2"/>
  <c r="CB104" i="2"/>
  <c r="BZ104" i="2"/>
  <c r="BY104" i="2"/>
  <c r="BW104" i="2"/>
  <c r="BU104" i="2"/>
  <c r="BS104" i="2"/>
  <c r="CB103" i="2"/>
  <c r="BZ103" i="2"/>
  <c r="BY103" i="2"/>
  <c r="BW103" i="2"/>
  <c r="BU103" i="2"/>
  <c r="BS103" i="2"/>
  <c r="CB102" i="2"/>
  <c r="BZ102" i="2"/>
  <c r="BY102" i="2"/>
  <c r="BW102" i="2"/>
  <c r="BU102" i="2"/>
  <c r="BS102" i="2"/>
  <c r="CB101" i="2"/>
  <c r="BZ101" i="2"/>
  <c r="BY101" i="2"/>
  <c r="BW101" i="2"/>
  <c r="BU101" i="2"/>
  <c r="BS101" i="2"/>
  <c r="CB100" i="2"/>
  <c r="BZ100" i="2"/>
  <c r="BY100" i="2"/>
  <c r="BW100" i="2"/>
  <c r="BU100" i="2"/>
  <c r="BS100" i="2"/>
  <c r="CB99" i="2"/>
  <c r="BY99" i="2"/>
  <c r="BW99" i="2"/>
  <c r="BU99" i="2"/>
  <c r="BS99" i="2"/>
  <c r="CB98" i="2"/>
  <c r="BY98" i="2"/>
  <c r="BW98" i="2"/>
  <c r="BU98" i="2"/>
  <c r="BS98" i="2"/>
  <c r="CB97" i="2"/>
  <c r="BY97" i="2"/>
  <c r="BW97" i="2"/>
  <c r="BU97" i="2"/>
  <c r="BS97" i="2"/>
  <c r="CB96" i="2"/>
  <c r="BY96" i="2"/>
  <c r="BW96" i="2"/>
  <c r="BU96" i="2"/>
  <c r="BS96" i="2"/>
  <c r="CB95" i="2"/>
  <c r="BY95" i="2"/>
  <c r="BW95" i="2"/>
  <c r="BU95" i="2"/>
  <c r="BS95" i="2"/>
  <c r="CB94" i="2"/>
  <c r="BY94" i="2"/>
  <c r="BW94" i="2"/>
  <c r="BU94" i="2"/>
  <c r="BS94" i="2"/>
  <c r="CB93" i="2"/>
  <c r="BY93" i="2"/>
  <c r="BW93" i="2"/>
  <c r="BU93" i="2"/>
  <c r="BS93" i="2"/>
  <c r="CB92" i="2"/>
  <c r="BY92" i="2"/>
  <c r="BW92" i="2"/>
  <c r="BU92" i="2"/>
  <c r="BS92" i="2"/>
  <c r="CB91" i="2"/>
  <c r="BY91" i="2"/>
  <c r="BW91" i="2"/>
  <c r="BU91" i="2"/>
  <c r="BS91" i="2"/>
  <c r="CB90" i="2"/>
  <c r="BY90" i="2"/>
  <c r="BW90" i="2"/>
  <c r="BU90" i="2"/>
  <c r="BS90" i="2"/>
  <c r="CB89" i="2"/>
  <c r="BY89" i="2"/>
  <c r="BW89" i="2"/>
  <c r="BU89" i="2"/>
  <c r="BS89" i="2"/>
  <c r="CB88" i="2"/>
  <c r="BY88" i="2"/>
  <c r="BW88" i="2"/>
  <c r="BU88" i="2"/>
  <c r="BS88" i="2"/>
  <c r="CB87" i="2"/>
  <c r="BY87" i="2"/>
  <c r="BW87" i="2"/>
  <c r="BU87" i="2"/>
  <c r="BS87" i="2"/>
  <c r="CB86" i="2"/>
  <c r="BY86" i="2"/>
  <c r="BW86" i="2"/>
  <c r="BU86" i="2"/>
  <c r="BS86" i="2"/>
  <c r="CB85" i="2"/>
  <c r="BY85" i="2"/>
  <c r="BW85" i="2"/>
  <c r="BU85" i="2"/>
  <c r="BS85" i="2"/>
  <c r="CB84" i="2"/>
  <c r="BY84" i="2"/>
  <c r="BW84" i="2"/>
  <c r="BU84" i="2"/>
  <c r="BS84" i="2"/>
  <c r="CB83" i="2"/>
  <c r="BY83" i="2"/>
  <c r="BW83" i="2"/>
  <c r="BU83" i="2"/>
  <c r="BS83" i="2"/>
  <c r="CB82" i="2"/>
  <c r="BY82" i="2"/>
  <c r="BW82" i="2"/>
  <c r="BU82" i="2"/>
  <c r="BS82" i="2"/>
  <c r="CB81" i="2"/>
  <c r="BY81" i="2"/>
  <c r="BW81" i="2"/>
  <c r="BU81" i="2"/>
  <c r="BS81" i="2"/>
  <c r="CB80" i="2"/>
  <c r="BY80" i="2"/>
  <c r="BW80" i="2"/>
  <c r="BU80" i="2"/>
  <c r="BS80" i="2"/>
  <c r="CB79" i="2"/>
  <c r="BY79" i="2"/>
  <c r="BW79" i="2"/>
  <c r="BU79" i="2"/>
  <c r="BS79" i="2"/>
  <c r="CB78" i="2"/>
  <c r="BY78" i="2"/>
  <c r="BW78" i="2"/>
  <c r="BU78" i="2"/>
  <c r="BS78" i="2"/>
  <c r="CB77" i="2"/>
  <c r="BY77" i="2"/>
  <c r="BW77" i="2"/>
  <c r="BU77" i="2"/>
  <c r="BS77" i="2"/>
  <c r="CB76" i="2"/>
  <c r="BY76" i="2"/>
  <c r="BW76" i="2"/>
  <c r="BU76" i="2"/>
  <c r="BS76" i="2"/>
  <c r="CB75" i="2"/>
  <c r="BY75" i="2"/>
  <c r="BW75" i="2"/>
  <c r="BU75" i="2"/>
  <c r="BS75" i="2"/>
  <c r="CB74" i="2"/>
  <c r="BY74" i="2"/>
  <c r="BW74" i="2"/>
  <c r="BU74" i="2"/>
  <c r="BS74" i="2"/>
  <c r="AO74" i="2"/>
  <c r="AN74" i="2"/>
  <c r="AM74" i="2"/>
  <c r="AL74" i="2"/>
  <c r="AK74" i="2"/>
  <c r="CB73" i="2"/>
  <c r="BY73" i="2"/>
  <c r="BW73" i="2"/>
  <c r="BU73" i="2"/>
  <c r="BS73" i="2"/>
  <c r="AO73" i="2"/>
  <c r="AN73" i="2"/>
  <c r="AM73" i="2"/>
  <c r="AL73" i="2"/>
  <c r="AK73" i="2"/>
  <c r="CB72" i="2"/>
  <c r="BY72" i="2"/>
  <c r="BW72" i="2"/>
  <c r="BU72" i="2"/>
  <c r="BS72" i="2"/>
  <c r="AO72" i="2"/>
  <c r="AN72" i="2"/>
  <c r="AM72" i="2"/>
  <c r="AL72" i="2"/>
  <c r="AK72" i="2"/>
  <c r="CB71" i="2"/>
  <c r="BY71" i="2"/>
  <c r="BW71" i="2"/>
  <c r="BU71" i="2"/>
  <c r="BS71" i="2"/>
  <c r="AO71" i="2"/>
  <c r="AN71" i="2"/>
  <c r="AM71" i="2"/>
  <c r="AL71" i="2"/>
  <c r="AK71" i="2"/>
  <c r="CB70" i="2"/>
  <c r="BY70" i="2"/>
  <c r="BW70" i="2"/>
  <c r="BU70" i="2"/>
  <c r="BS70" i="2"/>
  <c r="AO70" i="2"/>
  <c r="AN70" i="2"/>
  <c r="AM70" i="2"/>
  <c r="AL70" i="2"/>
  <c r="AK70" i="2"/>
  <c r="CB69" i="2"/>
  <c r="BY69" i="2"/>
  <c r="BW69" i="2"/>
  <c r="BU69" i="2"/>
  <c r="BS69" i="2"/>
  <c r="BH69" i="2"/>
  <c r="AO69" i="2"/>
  <c r="AN69" i="2"/>
  <c r="AM69" i="2"/>
  <c r="AL69" i="2"/>
  <c r="AK69" i="2"/>
  <c r="AI69" i="2"/>
  <c r="CB68" i="2"/>
  <c r="BY68" i="2"/>
  <c r="BW68" i="2"/>
  <c r="BU68" i="2"/>
  <c r="BS68" i="2"/>
  <c r="BH68" i="2"/>
  <c r="AO68" i="2"/>
  <c r="AN68" i="2"/>
  <c r="AM68" i="2"/>
  <c r="AL68" i="2"/>
  <c r="AK68" i="2"/>
  <c r="CB67" i="2"/>
  <c r="BY67" i="2"/>
  <c r="BW67" i="2"/>
  <c r="BU67" i="2"/>
  <c r="BS67" i="2"/>
  <c r="BH67" i="2"/>
  <c r="BD67" i="2"/>
  <c r="BA67" i="2"/>
  <c r="AO67" i="2"/>
  <c r="AN67" i="2"/>
  <c r="AM67" i="2"/>
  <c r="AL67" i="2"/>
  <c r="AK67" i="2"/>
  <c r="CB66" i="2"/>
  <c r="BY66" i="2"/>
  <c r="BW66" i="2"/>
  <c r="BU66" i="2"/>
  <c r="BS66" i="2"/>
  <c r="BH66" i="2"/>
  <c r="BD66" i="2"/>
  <c r="BA66" i="2"/>
  <c r="AO66" i="2"/>
  <c r="AN66" i="2"/>
  <c r="AM66" i="2"/>
  <c r="AL66" i="2"/>
  <c r="AK66" i="2"/>
  <c r="CB65" i="2"/>
  <c r="BY65" i="2"/>
  <c r="BW65" i="2"/>
  <c r="BU65" i="2"/>
  <c r="BS65" i="2"/>
  <c r="BR65" i="2"/>
  <c r="BO65" i="2"/>
  <c r="BH65" i="2"/>
  <c r="BD65" i="2"/>
  <c r="AO65" i="2"/>
  <c r="AN65" i="2"/>
  <c r="AM65" i="2"/>
  <c r="AL65" i="2"/>
  <c r="AK65" i="2"/>
  <c r="CB64" i="2"/>
  <c r="BY64" i="2"/>
  <c r="BW64" i="2"/>
  <c r="BU64" i="2"/>
  <c r="BS64" i="2"/>
  <c r="BR64" i="2"/>
  <c r="BO64" i="2"/>
  <c r="BH64" i="2"/>
  <c r="BD64" i="2"/>
  <c r="AO64" i="2"/>
  <c r="AN64" i="2"/>
  <c r="AM64" i="2"/>
  <c r="AL64" i="2"/>
  <c r="AK64" i="2"/>
  <c r="AI64" i="2"/>
  <c r="CB63" i="2"/>
  <c r="BY63" i="2"/>
  <c r="BW63" i="2"/>
  <c r="BU63" i="2"/>
  <c r="BS63" i="2"/>
  <c r="BR63" i="2"/>
  <c r="BO63" i="2"/>
  <c r="BH63" i="2"/>
  <c r="BD63" i="2"/>
  <c r="AO63" i="2"/>
  <c r="AN63" i="2"/>
  <c r="AM63" i="2"/>
  <c r="AL63" i="2"/>
  <c r="AK63" i="2"/>
  <c r="CB62" i="2"/>
  <c r="BY62" i="2"/>
  <c r="BW62" i="2"/>
  <c r="BU62" i="2"/>
  <c r="BS62" i="2"/>
  <c r="BR62" i="2"/>
  <c r="BO62" i="2"/>
  <c r="BH62" i="2"/>
  <c r="BD62" i="2"/>
  <c r="AO62" i="2"/>
  <c r="AN62" i="2"/>
  <c r="AM62" i="2"/>
  <c r="AL62" i="2"/>
  <c r="AK62" i="2"/>
  <c r="CB61" i="2"/>
  <c r="BY61" i="2"/>
  <c r="BW61" i="2"/>
  <c r="BU61" i="2"/>
  <c r="BS61" i="2"/>
  <c r="BR61" i="2"/>
  <c r="BO61" i="2"/>
  <c r="BL61" i="2"/>
  <c r="BH61" i="2"/>
  <c r="BD61" i="2"/>
  <c r="AO61" i="2"/>
  <c r="AN61" i="2"/>
  <c r="AM61" i="2"/>
  <c r="AL61" i="2"/>
  <c r="AK61" i="2"/>
  <c r="CB60" i="2"/>
  <c r="BY60" i="2"/>
  <c r="BW60" i="2"/>
  <c r="BU60" i="2"/>
  <c r="BS60" i="2"/>
  <c r="BR60" i="2"/>
  <c r="BO60" i="2"/>
  <c r="BL60" i="2"/>
  <c r="BH60" i="2"/>
  <c r="BD60" i="2"/>
  <c r="AO60" i="2"/>
  <c r="AN60" i="2"/>
  <c r="AM60" i="2"/>
  <c r="AL60" i="2"/>
  <c r="AK60" i="2"/>
  <c r="AI60" i="2"/>
  <c r="CB59" i="2"/>
  <c r="CA59" i="2"/>
  <c r="BY59" i="2"/>
  <c r="BW59" i="2"/>
  <c r="BU59" i="2"/>
  <c r="BS59" i="2"/>
  <c r="BR59" i="2"/>
  <c r="BP59" i="2"/>
  <c r="BO59" i="2"/>
  <c r="BL59" i="2"/>
  <c r="BH59" i="2"/>
  <c r="BD59" i="2"/>
  <c r="AO59" i="2"/>
  <c r="AN59" i="2"/>
  <c r="AM59" i="2"/>
  <c r="AL59" i="2"/>
  <c r="AK59" i="2"/>
  <c r="AI59" i="2"/>
  <c r="CB58" i="2"/>
  <c r="CA58" i="2"/>
  <c r="BZ58" i="2"/>
  <c r="BY58" i="2"/>
  <c r="BX58" i="2"/>
  <c r="BW58" i="2"/>
  <c r="BV58" i="2"/>
  <c r="BU58" i="2"/>
  <c r="BT58" i="2"/>
  <c r="BS58" i="2"/>
  <c r="BR58" i="2"/>
  <c r="BO58" i="2"/>
  <c r="BL58" i="2"/>
  <c r="BH58" i="2"/>
  <c r="CD57" i="2"/>
  <c r="CB57" i="2"/>
  <c r="CE54" i="2"/>
  <c r="CD54" i="2"/>
  <c r="CC54" i="2"/>
  <c r="CB54" i="2"/>
  <c r="CA54" i="2"/>
  <c r="BZ54" i="2"/>
  <c r="BU54" i="2"/>
  <c r="CW54" i="2" s="1"/>
  <c r="BT54" i="2"/>
  <c r="CV54" i="2" s="1"/>
  <c r="BS54" i="2"/>
  <c r="CU54" i="2" s="1"/>
  <c r="BP54" i="2"/>
  <c r="CS54" i="2" s="1"/>
  <c r="BO54" i="2"/>
  <c r="CR54" i="2" s="1"/>
  <c r="BN54" i="2"/>
  <c r="CQ54" i="2" s="1"/>
  <c r="BM54" i="2"/>
  <c r="CP54" i="2" s="1"/>
  <c r="BL54" i="2"/>
  <c r="CO54" i="2" s="1"/>
  <c r="BK54" i="2"/>
  <c r="AF74" i="2" s="1"/>
  <c r="CE53" i="2"/>
  <c r="CD53" i="2"/>
  <c r="CC53" i="2"/>
  <c r="CB53" i="2"/>
  <c r="CA53" i="2"/>
  <c r="BZ53" i="2"/>
  <c r="BX53" i="2"/>
  <c r="CZ53" i="2" s="1"/>
  <c r="BW53" i="2"/>
  <c r="CY53" i="2" s="1"/>
  <c r="BP53" i="2"/>
  <c r="CS53" i="2" s="1"/>
  <c r="BO53" i="2"/>
  <c r="CR53" i="2" s="1"/>
  <c r="BN53" i="2"/>
  <c r="BV53" i="2" s="1"/>
  <c r="BM53" i="2"/>
  <c r="CP53" i="2" s="1"/>
  <c r="BL53" i="2"/>
  <c r="CO53" i="2" s="1"/>
  <c r="BK53" i="2"/>
  <c r="AC73" i="2" s="1"/>
  <c r="CE52" i="2"/>
  <c r="CD52" i="2"/>
  <c r="CC52" i="2"/>
  <c r="CB52" i="2"/>
  <c r="CA52" i="2"/>
  <c r="BZ52" i="2"/>
  <c r="BW52" i="2"/>
  <c r="CY52" i="2" s="1"/>
  <c r="BV52" i="2"/>
  <c r="CX52" i="2" s="1"/>
  <c r="BU52" i="2"/>
  <c r="CW52" i="2" s="1"/>
  <c r="BS52" i="2"/>
  <c r="CU52" i="2" s="1"/>
  <c r="BP52" i="2"/>
  <c r="CS52" i="2" s="1"/>
  <c r="BO52" i="2"/>
  <c r="CR52" i="2" s="1"/>
  <c r="BN52" i="2"/>
  <c r="CQ52" i="2" s="1"/>
  <c r="BM52" i="2"/>
  <c r="CP52" i="2" s="1"/>
  <c r="BL52" i="2"/>
  <c r="BT52" i="2" s="1"/>
  <c r="BK52" i="2"/>
  <c r="AC72" i="2" s="1"/>
  <c r="AX52" i="2"/>
  <c r="CE51" i="2"/>
  <c r="CD51" i="2"/>
  <c r="CC51" i="2"/>
  <c r="CB51" i="2"/>
  <c r="CA51" i="2"/>
  <c r="BZ51" i="2"/>
  <c r="BP51" i="2"/>
  <c r="BX51" i="2" s="1"/>
  <c r="BO51" i="2"/>
  <c r="CR51" i="2" s="1"/>
  <c r="BN51" i="2"/>
  <c r="CQ51" i="2" s="1"/>
  <c r="BM51" i="2"/>
  <c r="CP51" i="2" s="1"/>
  <c r="BL51" i="2"/>
  <c r="BK51" i="2"/>
  <c r="B51" i="2"/>
  <c r="AX54" i="2" s="1"/>
  <c r="CE50" i="2"/>
  <c r="CD50" i="2"/>
  <c r="CC50" i="2"/>
  <c r="CB50" i="2"/>
  <c r="CA50" i="2"/>
  <c r="BZ50" i="2"/>
  <c r="BX50" i="2"/>
  <c r="CL50" i="2" s="1"/>
  <c r="BW50" i="2"/>
  <c r="CY50" i="2" s="1"/>
  <c r="BP50" i="2"/>
  <c r="CS50" i="2" s="1"/>
  <c r="BO50" i="2"/>
  <c r="CR50" i="2" s="1"/>
  <c r="BN50" i="2"/>
  <c r="BV50" i="2" s="1"/>
  <c r="BM50" i="2"/>
  <c r="BL50" i="2"/>
  <c r="BK50" i="2"/>
  <c r="AF70" i="2" s="1"/>
  <c r="B50" i="2"/>
  <c r="AX53" i="2" s="1"/>
  <c r="CL49" i="2"/>
  <c r="CE49" i="2"/>
  <c r="CD49" i="2"/>
  <c r="CC49" i="2"/>
  <c r="CB49" i="2"/>
  <c r="CA49" i="2"/>
  <c r="BZ49" i="2"/>
  <c r="BX49" i="2"/>
  <c r="CZ49" i="2" s="1"/>
  <c r="BW49" i="2"/>
  <c r="BV49" i="2"/>
  <c r="CX49" i="2" s="1"/>
  <c r="BU49" i="2"/>
  <c r="CI49" i="2" s="1"/>
  <c r="BP49" i="2"/>
  <c r="CS49" i="2" s="1"/>
  <c r="BO49" i="2"/>
  <c r="CR49" i="2" s="1"/>
  <c r="BN49" i="2"/>
  <c r="CQ49" i="2" s="1"/>
  <c r="BM49" i="2"/>
  <c r="CP49" i="2" s="1"/>
  <c r="BL49" i="2"/>
  <c r="BT49" i="2" s="1"/>
  <c r="BK49" i="2"/>
  <c r="CN49" i="2" s="1"/>
  <c r="B49" i="2"/>
  <c r="CY48" i="2"/>
  <c r="CX48" i="2"/>
  <c r="CO48" i="2"/>
  <c r="CE48" i="2"/>
  <c r="CD48" i="2"/>
  <c r="CC48" i="2"/>
  <c r="CB48" i="2"/>
  <c r="CA48" i="2"/>
  <c r="BZ48" i="2"/>
  <c r="BX48" i="2"/>
  <c r="CZ48" i="2" s="1"/>
  <c r="BW48" i="2"/>
  <c r="CK48" i="2" s="1"/>
  <c r="BV48" i="2"/>
  <c r="CJ48" i="2" s="1"/>
  <c r="BU48" i="2"/>
  <c r="CW48" i="2" s="1"/>
  <c r="BT48" i="2"/>
  <c r="CV48" i="2" s="1"/>
  <c r="BP48" i="2"/>
  <c r="CS48" i="2" s="1"/>
  <c r="BO48" i="2"/>
  <c r="CR48" i="2" s="1"/>
  <c r="BN48" i="2"/>
  <c r="CQ48" i="2" s="1"/>
  <c r="BM48" i="2"/>
  <c r="CP48" i="2" s="1"/>
  <c r="BL48" i="2"/>
  <c r="BK48" i="2"/>
  <c r="BS48" i="2" s="1"/>
  <c r="B48" i="2"/>
  <c r="AX51" i="2" s="1"/>
  <c r="CW47" i="2"/>
  <c r="CV47" i="2"/>
  <c r="CN47" i="2"/>
  <c r="CG47" i="2"/>
  <c r="CE47" i="2"/>
  <c r="CD47" i="2"/>
  <c r="CC47" i="2"/>
  <c r="CB47" i="2"/>
  <c r="CA47" i="2"/>
  <c r="BZ47" i="2"/>
  <c r="BX47" i="2"/>
  <c r="CL47" i="2" s="1"/>
  <c r="BV47" i="2"/>
  <c r="CX47" i="2" s="1"/>
  <c r="BU47" i="2"/>
  <c r="CI47" i="2" s="1"/>
  <c r="BT47" i="2"/>
  <c r="CH47" i="2" s="1"/>
  <c r="BS47" i="2"/>
  <c r="CU47" i="2" s="1"/>
  <c r="BP47" i="2"/>
  <c r="CS47" i="2" s="1"/>
  <c r="BO47" i="2"/>
  <c r="BW47" i="2" s="1"/>
  <c r="BN47" i="2"/>
  <c r="CQ47" i="2" s="1"/>
  <c r="BM47" i="2"/>
  <c r="CP47" i="2" s="1"/>
  <c r="BL47" i="2"/>
  <c r="CO47" i="2" s="1"/>
  <c r="BK47" i="2"/>
  <c r="B47" i="2"/>
  <c r="AX50" i="2" s="1"/>
  <c r="CP46" i="2"/>
  <c r="CE46" i="2"/>
  <c r="CD46" i="2"/>
  <c r="CC46" i="2"/>
  <c r="CB46" i="2"/>
  <c r="CA46" i="2"/>
  <c r="BZ46" i="2"/>
  <c r="BT46" i="2"/>
  <c r="CV46" i="2" s="1"/>
  <c r="BS46" i="2"/>
  <c r="CG46" i="2" s="1"/>
  <c r="BP46" i="2"/>
  <c r="BX46" i="2" s="1"/>
  <c r="BO46" i="2"/>
  <c r="CR46" i="2" s="1"/>
  <c r="BN46" i="2"/>
  <c r="CQ46" i="2" s="1"/>
  <c r="BM46" i="2"/>
  <c r="BU46" i="2" s="1"/>
  <c r="BL46" i="2"/>
  <c r="CO46" i="2" s="1"/>
  <c r="BK46" i="2"/>
  <c r="AF66" i="2" s="1"/>
  <c r="B46" i="2"/>
  <c r="AX49" i="2" s="1"/>
  <c r="CR45" i="2"/>
  <c r="CQ45" i="2"/>
  <c r="CP45" i="2"/>
  <c r="CE45" i="2"/>
  <c r="CD45" i="2"/>
  <c r="CC45" i="2"/>
  <c r="CB45" i="2"/>
  <c r="CA45" i="2"/>
  <c r="BZ45" i="2"/>
  <c r="BU45" i="2"/>
  <c r="CI45" i="2" s="1"/>
  <c r="BT45" i="2"/>
  <c r="CH45" i="2" s="1"/>
  <c r="BP45" i="2"/>
  <c r="BX45" i="2" s="1"/>
  <c r="BO45" i="2"/>
  <c r="BW45" i="2" s="1"/>
  <c r="BN45" i="2"/>
  <c r="BV45" i="2" s="1"/>
  <c r="BM45" i="2"/>
  <c r="BL45" i="2"/>
  <c r="CO45" i="2" s="1"/>
  <c r="BK45" i="2"/>
  <c r="B45" i="2"/>
  <c r="AX48" i="2" s="1"/>
  <c r="CS44" i="2"/>
  <c r="CK44" i="2"/>
  <c r="CE44" i="2"/>
  <c r="CD44" i="2"/>
  <c r="CC44" i="2"/>
  <c r="CB44" i="2"/>
  <c r="CA44" i="2"/>
  <c r="BZ44" i="2"/>
  <c r="BX44" i="2"/>
  <c r="CL44" i="2" s="1"/>
  <c r="BW44" i="2"/>
  <c r="CY44" i="2" s="1"/>
  <c r="BP44" i="2"/>
  <c r="BO44" i="2"/>
  <c r="CR44" i="2" s="1"/>
  <c r="BN44" i="2"/>
  <c r="BV44" i="2" s="1"/>
  <c r="BM44" i="2"/>
  <c r="BU44" i="2" s="1"/>
  <c r="BL44" i="2"/>
  <c r="BT44" i="2" s="1"/>
  <c r="BK44" i="2"/>
  <c r="BS44" i="2" s="1"/>
  <c r="B44" i="2"/>
  <c r="AX47" i="2" s="1"/>
  <c r="CZ43" i="2"/>
  <c r="CW43" i="2"/>
  <c r="CR43" i="2"/>
  <c r="CL43" i="2"/>
  <c r="CE43" i="2"/>
  <c r="CD43" i="2"/>
  <c r="CK43" i="2" s="1"/>
  <c r="CC43" i="2"/>
  <c r="CX43" i="2" s="1"/>
  <c r="CB43" i="2"/>
  <c r="CA43" i="2"/>
  <c r="BZ43" i="2"/>
  <c r="BX43" i="2"/>
  <c r="BW43" i="2"/>
  <c r="BV43" i="2"/>
  <c r="CJ43" i="2" s="1"/>
  <c r="BU43" i="2"/>
  <c r="CI43" i="2" s="1"/>
  <c r="BP43" i="2"/>
  <c r="CS43" i="2" s="1"/>
  <c r="BO43" i="2"/>
  <c r="BN43" i="2"/>
  <c r="CQ43" i="2" s="1"/>
  <c r="BM43" i="2"/>
  <c r="CP43" i="2" s="1"/>
  <c r="BL43" i="2"/>
  <c r="BT43" i="2" s="1"/>
  <c r="BK43" i="2"/>
  <c r="AX43" i="2"/>
  <c r="B43" i="2"/>
  <c r="AX46" i="2" s="1"/>
  <c r="CE42" i="2"/>
  <c r="CD42" i="2"/>
  <c r="CC42" i="2"/>
  <c r="CB42" i="2"/>
  <c r="CA42" i="2"/>
  <c r="BZ42" i="2"/>
  <c r="BX42" i="2"/>
  <c r="CZ42" i="2" s="1"/>
  <c r="BW42" i="2"/>
  <c r="CY42" i="2" s="1"/>
  <c r="BV42" i="2"/>
  <c r="CX42" i="2" s="1"/>
  <c r="BU42" i="2"/>
  <c r="CW42" i="2" s="1"/>
  <c r="BT42" i="2"/>
  <c r="CV42" i="2" s="1"/>
  <c r="BP42" i="2"/>
  <c r="CS42" i="2" s="1"/>
  <c r="BO42" i="2"/>
  <c r="CR42" i="2" s="1"/>
  <c r="BN42" i="2"/>
  <c r="CQ42" i="2" s="1"/>
  <c r="BM42" i="2"/>
  <c r="CP42" i="2" s="1"/>
  <c r="BL42" i="2"/>
  <c r="CO42" i="2" s="1"/>
  <c r="BK42" i="2"/>
  <c r="B42" i="2"/>
  <c r="AX45" i="2" s="1"/>
  <c r="CE41" i="2"/>
  <c r="CD41" i="2"/>
  <c r="CC41" i="2"/>
  <c r="CB41" i="2"/>
  <c r="CA41" i="2"/>
  <c r="BZ41" i="2"/>
  <c r="BW41" i="2"/>
  <c r="CY41" i="2" s="1"/>
  <c r="BV41" i="2"/>
  <c r="CX41" i="2" s="1"/>
  <c r="BU41" i="2"/>
  <c r="CW41" i="2" s="1"/>
  <c r="BT41" i="2"/>
  <c r="CV41" i="2" s="1"/>
  <c r="BS41" i="2"/>
  <c r="CU41" i="2" s="1"/>
  <c r="BP41" i="2"/>
  <c r="BX41" i="2" s="1"/>
  <c r="BO41" i="2"/>
  <c r="CR41" i="2" s="1"/>
  <c r="BN41" i="2"/>
  <c r="CQ41" i="2" s="1"/>
  <c r="BM41" i="2"/>
  <c r="CP41" i="2" s="1"/>
  <c r="BL41" i="2"/>
  <c r="CO41" i="2" s="1"/>
  <c r="BK41" i="2"/>
  <c r="AX41" i="2"/>
  <c r="B41" i="2"/>
  <c r="AX44" i="2" s="1"/>
  <c r="CE40" i="2"/>
  <c r="CD40" i="2"/>
  <c r="CC40" i="2"/>
  <c r="CB40" i="2"/>
  <c r="CA40" i="2"/>
  <c r="BZ40" i="2"/>
  <c r="BU40" i="2"/>
  <c r="CW40" i="2" s="1"/>
  <c r="BT40" i="2"/>
  <c r="CV40" i="2" s="1"/>
  <c r="BS40" i="2"/>
  <c r="CU40" i="2" s="1"/>
  <c r="BP40" i="2"/>
  <c r="BX40" i="2" s="1"/>
  <c r="BO40" i="2"/>
  <c r="BW40" i="2" s="1"/>
  <c r="BN40" i="2"/>
  <c r="BV40" i="2" s="1"/>
  <c r="BM40" i="2"/>
  <c r="CP40" i="2" s="1"/>
  <c r="BL40" i="2"/>
  <c r="CO40" i="2" s="1"/>
  <c r="BK40" i="2"/>
  <c r="AX40" i="2"/>
  <c r="B40" i="2"/>
  <c r="CE39" i="2"/>
  <c r="CD39" i="2"/>
  <c r="CC39" i="2"/>
  <c r="CB39" i="2"/>
  <c r="CA39" i="2"/>
  <c r="BZ39" i="2"/>
  <c r="BP39" i="2"/>
  <c r="BX39" i="2" s="1"/>
  <c r="BO39" i="2"/>
  <c r="BW39" i="2" s="1"/>
  <c r="BN39" i="2"/>
  <c r="BV39" i="2" s="1"/>
  <c r="BM39" i="2"/>
  <c r="BU39" i="2" s="1"/>
  <c r="BL39" i="2"/>
  <c r="BT39" i="2" s="1"/>
  <c r="BK39" i="2"/>
  <c r="BS39" i="2" s="1"/>
  <c r="B39" i="2"/>
  <c r="AX42" i="2" s="1"/>
  <c r="B38" i="2"/>
  <c r="B37" i="2"/>
  <c r="B36" i="2"/>
  <c r="AX39" i="2" s="1"/>
  <c r="AO35" i="2"/>
  <c r="AN35" i="2"/>
  <c r="AM35" i="2"/>
  <c r="AL35" i="2"/>
  <c r="AK35" i="2"/>
  <c r="AJ35" i="2"/>
  <c r="AJ34" i="2"/>
  <c r="AI34" i="2"/>
  <c r="AG34" i="2"/>
  <c r="AE34" i="2"/>
  <c r="AC34" i="2"/>
  <c r="AA34" i="2"/>
  <c r="Y34" i="2"/>
  <c r="W34" i="2"/>
  <c r="U34" i="2"/>
  <c r="S34" i="2"/>
  <c r="Q34" i="2"/>
  <c r="O34" i="2"/>
  <c r="M34" i="2"/>
  <c r="K34" i="2"/>
  <c r="G34" i="2"/>
  <c r="E34" i="2"/>
  <c r="C34" i="2"/>
  <c r="B34" i="2"/>
  <c r="F33" i="2"/>
  <c r="A33" i="2"/>
  <c r="A32" i="2"/>
  <c r="BS31" i="2"/>
  <c r="BM31" i="2"/>
  <c r="R31" i="2"/>
  <c r="C31" i="2"/>
  <c r="BS30" i="2"/>
  <c r="BM30" i="2"/>
  <c r="AM30" i="2"/>
  <c r="AD30" i="2"/>
  <c r="AA30" i="2"/>
  <c r="R30" i="2"/>
  <c r="N30" i="2"/>
  <c r="C30" i="2"/>
  <c r="BS29" i="2"/>
  <c r="BM29" i="2"/>
  <c r="AN29" i="2"/>
  <c r="AM29" i="2"/>
  <c r="AD29" i="2"/>
  <c r="AA29" i="2"/>
  <c r="R29" i="2"/>
  <c r="N29" i="2"/>
  <c r="C29" i="2"/>
  <c r="BS28" i="2"/>
  <c r="BM28" i="2"/>
  <c r="AM28" i="2"/>
  <c r="AK28" i="2"/>
  <c r="AN28" i="2" s="1"/>
  <c r="AA28" i="2"/>
  <c r="R28" i="2"/>
  <c r="N28" i="2"/>
  <c r="C28" i="2"/>
  <c r="BS27" i="2"/>
  <c r="BM27" i="2"/>
  <c r="AM27" i="2"/>
  <c r="AK27" i="2"/>
  <c r="AN27" i="2" s="1"/>
  <c r="AB27" i="2"/>
  <c r="AA27" i="2"/>
  <c r="R27" i="2"/>
  <c r="N27" i="2"/>
  <c r="C27" i="2"/>
  <c r="BS26" i="2"/>
  <c r="BM26" i="2"/>
  <c r="AM26" i="2"/>
  <c r="AK26" i="2"/>
  <c r="AN26" i="2" s="1"/>
  <c r="AD26" i="2"/>
  <c r="AB26" i="2"/>
  <c r="AA26" i="2"/>
  <c r="R26" i="2"/>
  <c r="N26" i="2"/>
  <c r="C26" i="2"/>
  <c r="BS25" i="2"/>
  <c r="BM25" i="2"/>
  <c r="AM25" i="2"/>
  <c r="AK25" i="2"/>
  <c r="AN25" i="2" s="1"/>
  <c r="AB25" i="2"/>
  <c r="AA25" i="2"/>
  <c r="R25" i="2"/>
  <c r="C25" i="2"/>
  <c r="BS24" i="2"/>
  <c r="BM24" i="2"/>
  <c r="AM24" i="2"/>
  <c r="AK24" i="2"/>
  <c r="AN24" i="2" s="1"/>
  <c r="AB24" i="2"/>
  <c r="AA24" i="2"/>
  <c r="R24" i="2"/>
  <c r="C24" i="2"/>
  <c r="BS23" i="2"/>
  <c r="BM23" i="2"/>
  <c r="AN23" i="2"/>
  <c r="AM23" i="2"/>
  <c r="AD23" i="2"/>
  <c r="AB23" i="2"/>
  <c r="AA23" i="2"/>
  <c r="R23" i="2"/>
  <c r="C23" i="2"/>
  <c r="BS22" i="2"/>
  <c r="BM22" i="2"/>
  <c r="AM22" i="2"/>
  <c r="AD22" i="2"/>
  <c r="AB22" i="2"/>
  <c r="AA22" i="2"/>
  <c r="R22" i="2"/>
  <c r="C22" i="2"/>
  <c r="BS21" i="2"/>
  <c r="BM21" i="2"/>
  <c r="AM21" i="2"/>
  <c r="AD21" i="2"/>
  <c r="AA21" i="2"/>
  <c r="C21" i="2"/>
  <c r="BS20" i="2"/>
  <c r="BM20" i="2"/>
  <c r="AI20" i="2"/>
  <c r="AD20" i="2"/>
  <c r="AB20" i="2"/>
  <c r="AA20" i="2"/>
  <c r="R20" i="2"/>
  <c r="C20" i="2"/>
  <c r="BS19" i="2"/>
  <c r="BM19" i="2"/>
  <c r="G19" i="2"/>
  <c r="B19" i="2"/>
  <c r="AG100" i="5" s="1"/>
  <c r="BS18" i="2"/>
  <c r="BM18" i="2"/>
  <c r="G18" i="2"/>
  <c r="B18" i="2"/>
  <c r="BS17" i="2"/>
  <c r="BM17" i="2"/>
  <c r="BE17" i="2"/>
  <c r="BD17" i="2"/>
  <c r="BC17" i="2"/>
  <c r="BB17" i="2"/>
  <c r="BA17" i="2"/>
  <c r="AZ17" i="2"/>
  <c r="AY17" i="2"/>
  <c r="AX17" i="2"/>
  <c r="AJ17" i="2"/>
  <c r="N114" i="5" s="1"/>
  <c r="G17" i="2"/>
  <c r="BS16" i="2"/>
  <c r="BM16" i="2"/>
  <c r="BE16" i="2"/>
  <c r="BD16" i="2"/>
  <c r="BC16" i="2"/>
  <c r="BB16" i="2"/>
  <c r="BA16" i="2"/>
  <c r="AZ16" i="2"/>
  <c r="AY16" i="2"/>
  <c r="AX16" i="2"/>
  <c r="AJ16" i="2"/>
  <c r="BG90" i="5" s="1"/>
  <c r="G16" i="2"/>
  <c r="BS15" i="2"/>
  <c r="BM15" i="2"/>
  <c r="BE15" i="2"/>
  <c r="BD15" i="2"/>
  <c r="BC15" i="2"/>
  <c r="BB15" i="2"/>
  <c r="BA15" i="2"/>
  <c r="AZ15" i="2"/>
  <c r="AY15" i="2"/>
  <c r="AX15" i="2"/>
  <c r="AJ15" i="2"/>
  <c r="AR90" i="5" s="1"/>
  <c r="G15" i="2"/>
  <c r="BS14" i="2"/>
  <c r="BM14" i="2"/>
  <c r="BE14" i="2"/>
  <c r="BD14" i="2"/>
  <c r="BC14" i="2"/>
  <c r="BB14" i="2"/>
  <c r="BA14" i="2"/>
  <c r="AZ14" i="2"/>
  <c r="AY14" i="2"/>
  <c r="AX14" i="2"/>
  <c r="AJ14" i="2"/>
  <c r="AC90" i="5" s="1"/>
  <c r="G14" i="2"/>
  <c r="BS13" i="2"/>
  <c r="BM13" i="2"/>
  <c r="BE13" i="2"/>
  <c r="BD13" i="2"/>
  <c r="BC13" i="2"/>
  <c r="BB13" i="2"/>
  <c r="BA13" i="2"/>
  <c r="AZ13" i="2"/>
  <c r="AY13" i="2"/>
  <c r="AX13" i="2"/>
  <c r="AJ13" i="2"/>
  <c r="N90" i="5" s="1"/>
  <c r="G13" i="2"/>
  <c r="BS12" i="2"/>
  <c r="BM12" i="2"/>
  <c r="BE12" i="2"/>
  <c r="BD12" i="2"/>
  <c r="BC12" i="2"/>
  <c r="BB12" i="2"/>
  <c r="BA12" i="2"/>
  <c r="AZ12" i="2"/>
  <c r="AY12" i="2"/>
  <c r="AX12" i="2"/>
  <c r="AJ12" i="2"/>
  <c r="BG66" i="5" s="1"/>
  <c r="G12" i="2"/>
  <c r="BS11" i="2"/>
  <c r="BM11" i="2"/>
  <c r="BE11" i="2"/>
  <c r="BD11" i="2"/>
  <c r="BC11" i="2"/>
  <c r="BB11" i="2"/>
  <c r="BA11" i="2"/>
  <c r="AZ11" i="2"/>
  <c r="AY11" i="2"/>
  <c r="AX11" i="2"/>
  <c r="AJ11" i="2"/>
  <c r="AR66" i="5" s="1"/>
  <c r="G11" i="2"/>
  <c r="BS10" i="2"/>
  <c r="BM10" i="2"/>
  <c r="BE10" i="2"/>
  <c r="BD10" i="2"/>
  <c r="BC10" i="2"/>
  <c r="BB10" i="2"/>
  <c r="BA10" i="2"/>
  <c r="AZ10" i="2"/>
  <c r="AY10" i="2"/>
  <c r="AX10" i="2"/>
  <c r="AJ10" i="2"/>
  <c r="AC66" i="5" s="1"/>
  <c r="G10" i="2"/>
  <c r="BS9" i="2"/>
  <c r="BM9" i="2"/>
  <c r="BE9" i="2"/>
  <c r="BD9" i="2"/>
  <c r="BC9" i="2"/>
  <c r="BB9" i="2"/>
  <c r="BA9" i="2"/>
  <c r="AZ9" i="2"/>
  <c r="AY9" i="2"/>
  <c r="AX9" i="2"/>
  <c r="AJ9" i="2"/>
  <c r="N66" i="5" s="1"/>
  <c r="G9" i="2"/>
  <c r="BS8" i="2"/>
  <c r="BM8" i="2"/>
  <c r="BE8" i="2"/>
  <c r="BD8" i="2"/>
  <c r="BC8" i="2"/>
  <c r="BB8" i="2"/>
  <c r="BA8" i="2"/>
  <c r="AZ8" i="2"/>
  <c r="AY8" i="2"/>
  <c r="AX8" i="2"/>
  <c r="AJ8" i="2"/>
  <c r="BG42" i="5" s="1"/>
  <c r="G8" i="2"/>
  <c r="BS7" i="2"/>
  <c r="BM7" i="2"/>
  <c r="BE7" i="2"/>
  <c r="BD7" i="2"/>
  <c r="BC7" i="2"/>
  <c r="BB7" i="2"/>
  <c r="BA7" i="2"/>
  <c r="AZ7" i="2"/>
  <c r="AY7" i="2"/>
  <c r="AX7" i="2"/>
  <c r="AJ7" i="2"/>
  <c r="AR42" i="5" s="1"/>
  <c r="G7" i="2"/>
  <c r="BS6" i="2"/>
  <c r="BM6" i="2"/>
  <c r="BE6" i="2"/>
  <c r="BD6" i="2"/>
  <c r="BC6" i="2"/>
  <c r="BB6" i="2"/>
  <c r="BA6" i="2"/>
  <c r="AZ6" i="2"/>
  <c r="AY6" i="2"/>
  <c r="AX6" i="2"/>
  <c r="AJ6" i="2"/>
  <c r="AC42" i="5" s="1"/>
  <c r="G6" i="2"/>
  <c r="BS5" i="2"/>
  <c r="BM5" i="2"/>
  <c r="BE5" i="2"/>
  <c r="BD5" i="2"/>
  <c r="BC5" i="2"/>
  <c r="BB5" i="2"/>
  <c r="BA5" i="2"/>
  <c r="AZ5" i="2"/>
  <c r="AY5" i="2"/>
  <c r="AX5" i="2"/>
  <c r="AJ5" i="2"/>
  <c r="N42" i="5" s="1"/>
  <c r="G5" i="2"/>
  <c r="BS4" i="2"/>
  <c r="BM4" i="2"/>
  <c r="BE4" i="2"/>
  <c r="BD4" i="2"/>
  <c r="BC4" i="2"/>
  <c r="BB4" i="2"/>
  <c r="BA4" i="2"/>
  <c r="AZ4" i="2"/>
  <c r="AY4" i="2"/>
  <c r="AX4" i="2"/>
  <c r="AJ4" i="2"/>
  <c r="BG18" i="5" s="1"/>
  <c r="G4" i="2"/>
  <c r="BS3" i="2"/>
  <c r="BM3" i="2"/>
  <c r="BE3" i="2"/>
  <c r="BD3" i="2"/>
  <c r="BC3" i="2"/>
  <c r="BB3" i="2"/>
  <c r="BA3" i="2"/>
  <c r="AZ3" i="2"/>
  <c r="AY3" i="2"/>
  <c r="AX3" i="2"/>
  <c r="AJ3" i="2"/>
  <c r="AR18" i="5" s="1"/>
  <c r="G3" i="2"/>
  <c r="CB2" i="2"/>
  <c r="CA2" i="2"/>
  <c r="BZ2" i="2"/>
  <c r="BY2" i="2"/>
  <c r="BO2" i="2" a="1"/>
  <c r="BO2" i="2" s="1"/>
  <c r="BE2" i="2"/>
  <c r="BD2" i="2"/>
  <c r="BC2" i="2"/>
  <c r="BB2" i="2"/>
  <c r="BA2" i="2"/>
  <c r="AZ2" i="2"/>
  <c r="AY2" i="2"/>
  <c r="AX2" i="2"/>
  <c r="AJ2" i="2"/>
  <c r="AC18" i="5" s="1"/>
  <c r="G2" i="2"/>
  <c r="BO1" i="2" a="1"/>
  <c r="BO1" i="2" s="1"/>
  <c r="AN1" i="2"/>
  <c r="AL1" i="2"/>
  <c r="AJ1" i="2"/>
  <c r="AI1" i="2"/>
  <c r="AH1" i="2"/>
  <c r="AG1" i="2"/>
  <c r="AF1" i="2"/>
  <c r="AE1" i="2"/>
  <c r="AD1" i="2"/>
  <c r="AC1" i="2"/>
  <c r="AB1" i="2"/>
  <c r="AA1" i="2"/>
  <c r="Z1" i="2"/>
  <c r="O1" i="2"/>
  <c r="N1" i="2"/>
  <c r="M1" i="2"/>
  <c r="L1" i="2"/>
  <c r="K1" i="2"/>
  <c r="J1" i="2"/>
  <c r="G1" i="2"/>
  <c r="C1" i="2"/>
  <c r="B1" i="2"/>
  <c r="B19" i="1"/>
  <c r="B18" i="1"/>
  <c r="B17" i="1"/>
  <c r="B16" i="1"/>
  <c r="B15" i="1"/>
  <c r="B14" i="1"/>
  <c r="B13" i="1"/>
  <c r="B12" i="1"/>
  <c r="B11" i="1"/>
  <c r="B10" i="1"/>
  <c r="B9" i="1"/>
  <c r="D8" i="1"/>
  <c r="B8" i="1"/>
  <c r="D7" i="1"/>
  <c r="B7" i="1"/>
  <c r="B5" i="1"/>
  <c r="B3" i="1"/>
  <c r="B2" i="1"/>
  <c r="CU44" i="2" l="1"/>
  <c r="CG44" i="2"/>
  <c r="CN44" i="2"/>
  <c r="CZ50" i="2"/>
  <c r="CU48" i="2"/>
  <c r="CU46" i="2"/>
  <c r="X3" i="3"/>
  <c r="I2" i="3"/>
  <c r="I3" i="3" s="1"/>
  <c r="K2" i="3"/>
  <c r="K3" i="3" s="1"/>
  <c r="AS14" i="2"/>
  <c r="CY40" i="2"/>
  <c r="CK40" i="2"/>
  <c r="CZ40" i="2"/>
  <c r="CL40" i="2"/>
  <c r="CX40" i="2"/>
  <c r="CJ40" i="2"/>
  <c r="AI37" i="2"/>
  <c r="CV39" i="2"/>
  <c r="CH39" i="2"/>
  <c r="CZ41" i="2"/>
  <c r="CL41" i="2"/>
  <c r="CW39" i="2"/>
  <c r="CI39" i="2"/>
  <c r="AI38" i="2"/>
  <c r="AA74" i="2"/>
  <c r="Z74" i="2"/>
  <c r="X73" i="2"/>
  <c r="W72" i="2"/>
  <c r="Y66" i="2"/>
  <c r="W74" i="2"/>
  <c r="T74" i="2"/>
  <c r="N74" i="2" s="1"/>
  <c r="M17" i="2" s="1"/>
  <c r="Q72" i="2"/>
  <c r="K72" i="2" s="1"/>
  <c r="J15" i="2" s="1"/>
  <c r="AA70" i="2"/>
  <c r="Q73" i="2"/>
  <c r="K73" i="2" s="1"/>
  <c r="J16" i="2" s="1"/>
  <c r="AA71" i="2"/>
  <c r="Z70" i="2"/>
  <c r="Z69" i="2"/>
  <c r="Z68" i="2"/>
  <c r="Z72" i="2"/>
  <c r="X71" i="2"/>
  <c r="T70" i="2"/>
  <c r="N70" i="2" s="1"/>
  <c r="M13" i="2" s="1"/>
  <c r="Y69" i="2"/>
  <c r="X64" i="2"/>
  <c r="AA63" i="2"/>
  <c r="AA61" i="2"/>
  <c r="W60" i="2"/>
  <c r="CV56" i="2"/>
  <c r="CV55" i="2" s="1"/>
  <c r="CJ56" i="2"/>
  <c r="CJ55" i="2" s="1"/>
  <c r="AZ54" i="2"/>
  <c r="BB52" i="2"/>
  <c r="Y72" i="2"/>
  <c r="W71" i="2"/>
  <c r="X69" i="2"/>
  <c r="W64" i="2"/>
  <c r="Z63" i="2"/>
  <c r="Z61" i="2"/>
  <c r="CU56" i="2"/>
  <c r="CU55" i="2" s="1"/>
  <c r="CI56" i="2"/>
  <c r="CI55" i="2" s="1"/>
  <c r="AY54" i="2"/>
  <c r="BA52" i="2"/>
  <c r="Y74" i="2"/>
  <c r="X72" i="2"/>
  <c r="W69" i="2"/>
  <c r="Y63" i="2"/>
  <c r="Y61" i="2"/>
  <c r="CT56" i="2"/>
  <c r="CT55" i="2" s="1"/>
  <c r="CH56" i="2"/>
  <c r="CH55" i="2" s="1"/>
  <c r="AZ52" i="2"/>
  <c r="X74" i="2"/>
  <c r="X63" i="2"/>
  <c r="X61" i="2"/>
  <c r="CS56" i="2"/>
  <c r="CS55" i="2" s="1"/>
  <c r="CG56" i="2"/>
  <c r="CG55" i="2" s="1"/>
  <c r="AY52" i="2"/>
  <c r="AA73" i="2"/>
  <c r="BA72" i="2"/>
  <c r="AA67" i="2"/>
  <c r="AA66" i="2"/>
  <c r="AA65" i="2"/>
  <c r="W63" i="2"/>
  <c r="W61" i="2"/>
  <c r="CR56" i="2"/>
  <c r="CR55" i="2" s="1"/>
  <c r="BC53" i="2"/>
  <c r="BC50" i="2"/>
  <c r="Z73" i="2"/>
  <c r="AA68" i="2"/>
  <c r="Z67" i="2"/>
  <c r="Z66" i="2"/>
  <c r="Z65" i="2"/>
  <c r="AA62" i="2"/>
  <c r="AA59" i="2"/>
  <c r="CQ56" i="2"/>
  <c r="CQ55" i="2" s="1"/>
  <c r="BB53" i="2"/>
  <c r="BB50" i="2"/>
  <c r="AZ49" i="2"/>
  <c r="BB44" i="2"/>
  <c r="AZ43" i="2"/>
  <c r="Y73" i="2"/>
  <c r="Y68" i="2"/>
  <c r="Y67" i="2"/>
  <c r="X66" i="2"/>
  <c r="Y65" i="2"/>
  <c r="Z62" i="2"/>
  <c r="Z59" i="2"/>
  <c r="CP56" i="2"/>
  <c r="CP55" i="2" s="1"/>
  <c r="BA53" i="2"/>
  <c r="BC51" i="2"/>
  <c r="BA50" i="2"/>
  <c r="AY49" i="2"/>
  <c r="BC45" i="2"/>
  <c r="BA44" i="2"/>
  <c r="AY43" i="2"/>
  <c r="W73" i="2"/>
  <c r="X68" i="2"/>
  <c r="X67" i="2"/>
  <c r="W66" i="2"/>
  <c r="X65" i="2"/>
  <c r="Y62" i="2"/>
  <c r="Y59" i="2"/>
  <c r="CO56" i="2"/>
  <c r="CO55" i="2" s="1"/>
  <c r="AZ53" i="2"/>
  <c r="BB51" i="2"/>
  <c r="AZ50" i="2"/>
  <c r="BB45" i="2"/>
  <c r="AZ44" i="2"/>
  <c r="Y70" i="2"/>
  <c r="W68" i="2"/>
  <c r="W67" i="2"/>
  <c r="W65" i="2"/>
  <c r="X62" i="2"/>
  <c r="AA60" i="2"/>
  <c r="X59" i="2"/>
  <c r="CN56" i="2"/>
  <c r="CN55" i="2" s="1"/>
  <c r="AY53" i="2"/>
  <c r="BA51" i="2"/>
  <c r="AY50" i="2"/>
  <c r="X70" i="2"/>
  <c r="T66" i="2"/>
  <c r="N66" i="2" s="1"/>
  <c r="M9" i="2" s="1"/>
  <c r="AA64" i="2"/>
  <c r="W62" i="2"/>
  <c r="Z60" i="2"/>
  <c r="W59" i="2"/>
  <c r="CM56" i="2"/>
  <c r="CM55" i="2" s="1"/>
  <c r="BC54" i="2"/>
  <c r="AZ51" i="2"/>
  <c r="Z71" i="2"/>
  <c r="W70" i="2"/>
  <c r="Z64" i="2"/>
  <c r="Y60" i="2"/>
  <c r="CL56" i="2"/>
  <c r="CL55" i="2" s="1"/>
  <c r="BB54" i="2"/>
  <c r="AY51" i="2"/>
  <c r="BC47" i="2"/>
  <c r="BA46" i="2"/>
  <c r="AY45" i="2"/>
  <c r="AA72" i="2"/>
  <c r="Y71" i="2"/>
  <c r="AA69" i="2"/>
  <c r="Y64" i="2"/>
  <c r="X60" i="2"/>
  <c r="CK56" i="2"/>
  <c r="CK55" i="2" s="1"/>
  <c r="BA54" i="2"/>
  <c r="BC52" i="2"/>
  <c r="BB47" i="2"/>
  <c r="AZ46" i="2"/>
  <c r="AY46" i="2"/>
  <c r="BC43" i="2"/>
  <c r="AY42" i="2"/>
  <c r="AK21" i="2"/>
  <c r="AN21" i="2" s="1"/>
  <c r="AR6" i="2"/>
  <c r="AT6" i="2" s="1"/>
  <c r="AR3" i="2"/>
  <c r="AT3" i="2" s="1"/>
  <c r="AR5" i="2"/>
  <c r="AT5" i="2" s="1"/>
  <c r="BB43" i="2"/>
  <c r="I17" i="2"/>
  <c r="AS17" i="2" s="1"/>
  <c r="I15" i="2"/>
  <c r="AS15" i="2" s="1"/>
  <c r="I12" i="2"/>
  <c r="AS12" i="2" s="1"/>
  <c r="I9" i="2"/>
  <c r="AS9" i="2" s="1"/>
  <c r="I6" i="2"/>
  <c r="AS6" i="2" s="1"/>
  <c r="I3" i="2"/>
  <c r="AS3" i="2" s="1"/>
  <c r="BI2" i="2"/>
  <c r="BJ2" i="2" s="1"/>
  <c r="AR12" i="2"/>
  <c r="AT12" i="2" s="1"/>
  <c r="BI10" i="2"/>
  <c r="BJ10" i="2" s="1"/>
  <c r="AR9" i="2"/>
  <c r="AT9" i="2" s="1"/>
  <c r="BI4" i="2"/>
  <c r="BJ4" i="2" s="1"/>
  <c r="BA47" i="2"/>
  <c r="BC44" i="2"/>
  <c r="BA43" i="2"/>
  <c r="BC39" i="2"/>
  <c r="W31" i="2"/>
  <c r="Y29" i="2"/>
  <c r="AB29" i="2" s="1"/>
  <c r="AK22" i="2"/>
  <c r="AN22" i="2" s="1"/>
  <c r="AR17" i="2"/>
  <c r="AT17" i="2" s="1"/>
  <c r="AR15" i="2"/>
  <c r="AT15" i="2" s="1"/>
  <c r="BI13" i="2"/>
  <c r="BJ13" i="2" s="1"/>
  <c r="BI7" i="2"/>
  <c r="BJ7" i="2" s="1"/>
  <c r="BG2" i="2"/>
  <c r="BC48" i="2"/>
  <c r="AZ47" i="2"/>
  <c r="AY44" i="2"/>
  <c r="BB39" i="2"/>
  <c r="BG13" i="2"/>
  <c r="BG10" i="2"/>
  <c r="BG7" i="2"/>
  <c r="BG4" i="2"/>
  <c r="I2" i="2"/>
  <c r="AS2" i="2" s="1"/>
  <c r="BB48" i="2"/>
  <c r="AY47" i="2"/>
  <c r="BC40" i="2"/>
  <c r="BA39" i="2"/>
  <c r="BA48" i="2"/>
  <c r="BA45" i="2"/>
  <c r="BB40" i="2"/>
  <c r="AZ39" i="2"/>
  <c r="BG16" i="2"/>
  <c r="I13" i="2"/>
  <c r="AS13" i="2" s="1"/>
  <c r="I10" i="2"/>
  <c r="AS10" i="2" s="1"/>
  <c r="I7" i="2"/>
  <c r="AS7" i="2" s="1"/>
  <c r="I4" i="2"/>
  <c r="AS4" i="2" s="1"/>
  <c r="AR2" i="2"/>
  <c r="BC49" i="2"/>
  <c r="AZ48" i="2"/>
  <c r="AZ45" i="2"/>
  <c r="BC41" i="2"/>
  <c r="BA40" i="2"/>
  <c r="AY39" i="2"/>
  <c r="BI14" i="2"/>
  <c r="BJ14" i="2" s="1"/>
  <c r="AR13" i="2"/>
  <c r="AT13" i="2" s="1"/>
  <c r="BI11" i="2"/>
  <c r="BJ11" i="2" s="1"/>
  <c r="AR10" i="2"/>
  <c r="AT10" i="2" s="1"/>
  <c r="BI8" i="2"/>
  <c r="BJ8" i="2" s="1"/>
  <c r="AR7" i="2"/>
  <c r="AT7" i="2" s="1"/>
  <c r="BI5" i="2"/>
  <c r="BJ5" i="2" s="1"/>
  <c r="AR4" i="2"/>
  <c r="AT4" i="2" s="1"/>
  <c r="BB49" i="2"/>
  <c r="AY48" i="2"/>
  <c r="BB41" i="2"/>
  <c r="AZ40" i="2"/>
  <c r="I16" i="2"/>
  <c r="AS16" i="2" s="1"/>
  <c r="BG14" i="2"/>
  <c r="BG11" i="2"/>
  <c r="BG8" i="2"/>
  <c r="BG5" i="2"/>
  <c r="BW2" i="2"/>
  <c r="Y30" i="2" s="1"/>
  <c r="AB30" i="2" s="1"/>
  <c r="BV2" i="2"/>
  <c r="AR8" i="2"/>
  <c r="AT8" i="2" s="1"/>
  <c r="BA49" i="2"/>
  <c r="BC42" i="2"/>
  <c r="BA41" i="2"/>
  <c r="AY40" i="2"/>
  <c r="AR16" i="2"/>
  <c r="AT16" i="2" s="1"/>
  <c r="BB42" i="2"/>
  <c r="AZ41" i="2"/>
  <c r="I14" i="2"/>
  <c r="I11" i="2"/>
  <c r="AS11" i="2" s="1"/>
  <c r="I8" i="2"/>
  <c r="AS8" i="2" s="1"/>
  <c r="I5" i="2"/>
  <c r="AS5" i="2" s="1"/>
  <c r="BU2" i="2"/>
  <c r="BI6" i="2"/>
  <c r="BJ6" i="2" s="1"/>
  <c r="BC46" i="2"/>
  <c r="BA42" i="2"/>
  <c r="AY41" i="2"/>
  <c r="AR14" i="2"/>
  <c r="AT14" i="2" s="1"/>
  <c r="BI12" i="2"/>
  <c r="BJ12" i="2" s="1"/>
  <c r="AR11" i="2"/>
  <c r="AT11" i="2" s="1"/>
  <c r="BI9" i="2"/>
  <c r="BJ9" i="2" s="1"/>
  <c r="BI3" i="2"/>
  <c r="BJ3" i="2" s="1"/>
  <c r="BB46" i="2"/>
  <c r="AZ42" i="2"/>
  <c r="BG17" i="2"/>
  <c r="BG15" i="2"/>
  <c r="BG12" i="2"/>
  <c r="BG9" i="2"/>
  <c r="BG6" i="2"/>
  <c r="BG3" i="2"/>
  <c r="CX39" i="2"/>
  <c r="CJ39" i="2"/>
  <c r="CY39" i="2"/>
  <c r="CK39" i="2"/>
  <c r="CZ39" i="2"/>
  <c r="CL39" i="2"/>
  <c r="AI45" i="2"/>
  <c r="AL11" i="2" s="1"/>
  <c r="AU59" i="6"/>
  <c r="AU11" i="6"/>
  <c r="Q83" i="5"/>
  <c r="AF59" i="6"/>
  <c r="AF11" i="6"/>
  <c r="B83" i="5"/>
  <c r="Q59" i="6"/>
  <c r="Q11" i="6"/>
  <c r="AU59" i="5"/>
  <c r="B59" i="6"/>
  <c r="AF59" i="5"/>
  <c r="AF107" i="6"/>
  <c r="AU83" i="6"/>
  <c r="Q59" i="5"/>
  <c r="Q107" i="6"/>
  <c r="AF83" i="6"/>
  <c r="B59" i="5"/>
  <c r="B107" i="6"/>
  <c r="Q83" i="6"/>
  <c r="AF107" i="5"/>
  <c r="AU35" i="5"/>
  <c r="B83" i="6"/>
  <c r="Q107" i="5"/>
  <c r="AF35" i="5"/>
  <c r="AU11" i="5"/>
  <c r="AU35" i="6"/>
  <c r="B107" i="5"/>
  <c r="AF35" i="6"/>
  <c r="B35" i="5"/>
  <c r="Q11" i="5"/>
  <c r="Q35" i="6"/>
  <c r="AU83" i="5"/>
  <c r="B35" i="6"/>
  <c r="AF83" i="5"/>
  <c r="Q35" i="5"/>
  <c r="AF11" i="5"/>
  <c r="AP89" i="5"/>
  <c r="L89" i="5"/>
  <c r="AN89" i="5"/>
  <c r="J89" i="5"/>
  <c r="BE41" i="5"/>
  <c r="AA41" i="5"/>
  <c r="BC41" i="5"/>
  <c r="Y41" i="5"/>
  <c r="AP65" i="5"/>
  <c r="L65" i="5"/>
  <c r="BE17" i="5"/>
  <c r="AA17" i="5"/>
  <c r="L113" i="5"/>
  <c r="AN65" i="5"/>
  <c r="J65" i="5"/>
  <c r="BC17" i="5"/>
  <c r="Y17" i="5"/>
  <c r="J113" i="5"/>
  <c r="BE89" i="5"/>
  <c r="AA89" i="5"/>
  <c r="BC89" i="5"/>
  <c r="Y89" i="5"/>
  <c r="AN41" i="5"/>
  <c r="J41" i="5"/>
  <c r="BE65" i="5"/>
  <c r="AA65" i="5"/>
  <c r="AP17" i="5"/>
  <c r="AP41" i="5"/>
  <c r="BC65" i="5"/>
  <c r="L41" i="5"/>
  <c r="Y65" i="5"/>
  <c r="AN17" i="5"/>
  <c r="D9" i="5"/>
  <c r="D9" i="6"/>
  <c r="L17" i="6"/>
  <c r="L17" i="5"/>
  <c r="L22" i="5"/>
  <c r="L22" i="6"/>
  <c r="CO39" i="2"/>
  <c r="CQ40" i="2"/>
  <c r="CS41" i="2"/>
  <c r="CH42" i="2"/>
  <c r="CV44" i="2"/>
  <c r="AI41" i="2" s="1"/>
  <c r="AL7" i="2" s="1"/>
  <c r="CH44" i="2"/>
  <c r="CZ44" i="2"/>
  <c r="CZ45" i="2"/>
  <c r="CL45" i="2"/>
  <c r="CS46" i="2"/>
  <c r="CJ49" i="2"/>
  <c r="CX50" i="2"/>
  <c r="CJ50" i="2"/>
  <c r="L5" i="6"/>
  <c r="L5" i="5"/>
  <c r="CP39" i="2"/>
  <c r="CR40" i="2"/>
  <c r="CG41" i="2"/>
  <c r="CI42" i="2"/>
  <c r="BS43" i="2"/>
  <c r="AG63" i="2"/>
  <c r="U63" i="2" s="1"/>
  <c r="O63" i="2" s="1"/>
  <c r="N6" i="2" s="1"/>
  <c r="AF63" i="2"/>
  <c r="T63" i="2" s="1"/>
  <c r="N63" i="2" s="1"/>
  <c r="M6" i="2" s="1"/>
  <c r="AE63" i="2"/>
  <c r="S63" i="2" s="1"/>
  <c r="M63" i="2" s="1"/>
  <c r="L6" i="2" s="1"/>
  <c r="AD63" i="2"/>
  <c r="R63" i="2" s="1"/>
  <c r="L63" i="2" s="1"/>
  <c r="K6" i="2" s="1"/>
  <c r="AC63" i="2"/>
  <c r="Q63" i="2" s="1"/>
  <c r="K63" i="2" s="1"/>
  <c r="J6" i="2" s="1"/>
  <c r="CW44" i="2"/>
  <c r="CI44" i="2"/>
  <c r="AL4" i="2"/>
  <c r="CQ39" i="2"/>
  <c r="CS40" i="2"/>
  <c r="CH41" i="2"/>
  <c r="CJ42" i="2"/>
  <c r="CV43" i="2"/>
  <c r="CH43" i="2"/>
  <c r="CX44" i="2"/>
  <c r="CJ44" i="2"/>
  <c r="CZ47" i="2"/>
  <c r="AG71" i="2"/>
  <c r="U71" i="2" s="1"/>
  <c r="O71" i="2" s="1"/>
  <c r="N14" i="2" s="1"/>
  <c r="R100" i="5"/>
  <c r="AG99" i="6"/>
  <c r="R99" i="6"/>
  <c r="L7" i="6"/>
  <c r="L7" i="5"/>
  <c r="CR39" i="2"/>
  <c r="CG40" i="2"/>
  <c r="CI41" i="2"/>
  <c r="CK42" i="2"/>
  <c r="CY43" i="2"/>
  <c r="CY47" i="2"/>
  <c r="AI44" i="2" s="1"/>
  <c r="AL10" i="2" s="1"/>
  <c r="CK47" i="2"/>
  <c r="CG48" i="2"/>
  <c r="CY49" i="2"/>
  <c r="CK49" i="2"/>
  <c r="CW49" i="2"/>
  <c r="CO51" i="2"/>
  <c r="BT51" i="2"/>
  <c r="B118" i="6"/>
  <c r="AU70" i="6"/>
  <c r="Q46" i="5"/>
  <c r="AF70" i="6"/>
  <c r="B46" i="5"/>
  <c r="Q70" i="6"/>
  <c r="AU94" i="5"/>
  <c r="B70" i="6"/>
  <c r="AF94" i="5"/>
  <c r="AU94" i="6"/>
  <c r="Q94" i="5"/>
  <c r="AU22" i="5"/>
  <c r="AF94" i="6"/>
  <c r="B94" i="5"/>
  <c r="AF22" i="5"/>
  <c r="Q94" i="6"/>
  <c r="AU22" i="6"/>
  <c r="AU70" i="5"/>
  <c r="Q22" i="5"/>
  <c r="B94" i="6"/>
  <c r="AF22" i="6"/>
  <c r="AF70" i="5"/>
  <c r="AU46" i="6"/>
  <c r="Q22" i="6"/>
  <c r="Q70" i="5"/>
  <c r="AF46" i="6"/>
  <c r="AF118" i="5"/>
  <c r="B70" i="5"/>
  <c r="AF118" i="6"/>
  <c r="Q46" i="6"/>
  <c r="Q118" i="5"/>
  <c r="AU46" i="5"/>
  <c r="Q118" i="6"/>
  <c r="AF46" i="5"/>
  <c r="B118" i="5"/>
  <c r="B46" i="6"/>
  <c r="AW14" i="5"/>
  <c r="S14" i="5"/>
  <c r="D110" i="5"/>
  <c r="AW62" i="5"/>
  <c r="S62" i="5"/>
  <c r="AH86" i="5"/>
  <c r="D86" i="5"/>
  <c r="AH14" i="5"/>
  <c r="AW38" i="5"/>
  <c r="S38" i="5"/>
  <c r="AH62" i="5"/>
  <c r="D62" i="5"/>
  <c r="AW86" i="5"/>
  <c r="S86" i="5"/>
  <c r="D38" i="5"/>
  <c r="AH38" i="5"/>
  <c r="CS39" i="2"/>
  <c r="CH40" i="2"/>
  <c r="CJ41" i="2"/>
  <c r="CL42" i="2"/>
  <c r="CS45" i="2"/>
  <c r="CW46" i="2"/>
  <c r="CI46" i="2"/>
  <c r="CH48" i="2"/>
  <c r="CV52" i="2"/>
  <c r="CH52" i="2"/>
  <c r="AU89" i="6"/>
  <c r="AF89" i="6"/>
  <c r="AF41" i="5"/>
  <c r="B41" i="5"/>
  <c r="Q89" i="6"/>
  <c r="B89" i="6"/>
  <c r="AF113" i="5"/>
  <c r="AU65" i="5"/>
  <c r="Q65" i="5"/>
  <c r="AU41" i="6"/>
  <c r="Q113" i="5"/>
  <c r="AF41" i="6"/>
  <c r="AF89" i="5"/>
  <c r="B89" i="5"/>
  <c r="Q41" i="6"/>
  <c r="AU17" i="6"/>
  <c r="AF113" i="6"/>
  <c r="B41" i="6"/>
  <c r="AF17" i="6"/>
  <c r="AU41" i="5"/>
  <c r="Q41" i="5"/>
  <c r="AU65" i="6"/>
  <c r="Q17" i="6"/>
  <c r="Q113" i="6"/>
  <c r="AF65" i="6"/>
  <c r="AF65" i="5"/>
  <c r="B65" i="5"/>
  <c r="AU17" i="5"/>
  <c r="Q17" i="5"/>
  <c r="B113" i="6"/>
  <c r="Q65" i="6"/>
  <c r="B113" i="5"/>
  <c r="B65" i="6"/>
  <c r="AU89" i="5"/>
  <c r="AF17" i="5"/>
  <c r="Q89" i="5"/>
  <c r="AJ38" i="5"/>
  <c r="F38" i="5"/>
  <c r="F110" i="5"/>
  <c r="AY62" i="5"/>
  <c r="U62" i="5"/>
  <c r="AJ86" i="5"/>
  <c r="F86" i="5"/>
  <c r="AJ14" i="5"/>
  <c r="AY38" i="5"/>
  <c r="U38" i="5"/>
  <c r="AJ62" i="5"/>
  <c r="F62" i="5"/>
  <c r="AY86" i="5"/>
  <c r="U86" i="5"/>
  <c r="U14" i="5"/>
  <c r="AY14" i="5"/>
  <c r="H7" i="6"/>
  <c r="H7" i="5"/>
  <c r="CG39" i="2"/>
  <c r="CU39" i="2"/>
  <c r="AI36" i="2" s="1"/>
  <c r="AL2" i="2" s="1"/>
  <c r="CI40" i="2"/>
  <c r="CK41" i="2"/>
  <c r="AG62" i="2"/>
  <c r="U62" i="2" s="1"/>
  <c r="O62" i="2" s="1"/>
  <c r="N5" i="2" s="1"/>
  <c r="AF62" i="2"/>
  <c r="T62" i="2" s="1"/>
  <c r="N62" i="2" s="1"/>
  <c r="M5" i="2" s="1"/>
  <c r="AE62" i="2"/>
  <c r="S62" i="2" s="1"/>
  <c r="M62" i="2" s="1"/>
  <c r="L5" i="2" s="1"/>
  <c r="AD62" i="2"/>
  <c r="R62" i="2" s="1"/>
  <c r="L62" i="2" s="1"/>
  <c r="K5" i="2" s="1"/>
  <c r="AC62" i="2"/>
  <c r="Q62" i="2" s="1"/>
  <c r="K62" i="2" s="1"/>
  <c r="J5" i="2" s="1"/>
  <c r="CN42" i="2"/>
  <c r="CV45" i="2"/>
  <c r="CI48" i="2"/>
  <c r="H110" i="5"/>
  <c r="BA62" i="5"/>
  <c r="W62" i="5"/>
  <c r="AL86" i="5"/>
  <c r="H86" i="5"/>
  <c r="BA38" i="5"/>
  <c r="W38" i="5"/>
  <c r="AL62" i="5"/>
  <c r="H62" i="5"/>
  <c r="BA86" i="5"/>
  <c r="W86" i="5"/>
  <c r="AL14" i="5"/>
  <c r="H38" i="5"/>
  <c r="W14" i="5"/>
  <c r="BA14" i="5"/>
  <c r="AL38" i="5"/>
  <c r="AL3" i="2"/>
  <c r="L11" i="6"/>
  <c r="L11" i="5"/>
  <c r="D5" i="6"/>
  <c r="D5" i="5"/>
  <c r="CO44" i="2"/>
  <c r="CW45" i="2"/>
  <c r="AG61" i="2"/>
  <c r="U61" i="2" s="1"/>
  <c r="O61" i="2" s="1"/>
  <c r="N4" i="2" s="1"/>
  <c r="AF61" i="2"/>
  <c r="T61" i="2" s="1"/>
  <c r="N61" i="2" s="1"/>
  <c r="M4" i="2" s="1"/>
  <c r="AE61" i="2"/>
  <c r="S61" i="2" s="1"/>
  <c r="M61" i="2" s="1"/>
  <c r="L4" i="2" s="1"/>
  <c r="AD61" i="2"/>
  <c r="R61" i="2" s="1"/>
  <c r="L61" i="2" s="1"/>
  <c r="K4" i="2" s="1"/>
  <c r="AC61" i="2"/>
  <c r="Q61" i="2" s="1"/>
  <c r="K61" i="2" s="1"/>
  <c r="J4" i="2" s="1"/>
  <c r="CN41" i="2"/>
  <c r="CP44" i="2"/>
  <c r="AF65" i="2"/>
  <c r="T65" i="2" s="1"/>
  <c r="N65" i="2" s="1"/>
  <c r="M8" i="2" s="1"/>
  <c r="AE65" i="2"/>
  <c r="S65" i="2" s="1"/>
  <c r="M65" i="2" s="1"/>
  <c r="L8" i="2" s="1"/>
  <c r="AD65" i="2"/>
  <c r="R65" i="2" s="1"/>
  <c r="L65" i="2" s="1"/>
  <c r="K8" i="2" s="1"/>
  <c r="AC65" i="2"/>
  <c r="Q65" i="2" s="1"/>
  <c r="K65" i="2" s="1"/>
  <c r="J8" i="2" s="1"/>
  <c r="BS45" i="2"/>
  <c r="AG65" i="2"/>
  <c r="U65" i="2" s="1"/>
  <c r="O65" i="2" s="1"/>
  <c r="N8" i="2" s="1"/>
  <c r="CZ46" i="2"/>
  <c r="CL46" i="2"/>
  <c r="AG69" i="2"/>
  <c r="U69" i="2" s="1"/>
  <c r="O69" i="2" s="1"/>
  <c r="N12" i="2" s="1"/>
  <c r="BS49" i="2"/>
  <c r="AF69" i="2"/>
  <c r="T69" i="2" s="1"/>
  <c r="N69" i="2" s="1"/>
  <c r="M12" i="2" s="1"/>
  <c r="AE69" i="2"/>
  <c r="S69" i="2" s="1"/>
  <c r="M69" i="2" s="1"/>
  <c r="L12" i="2" s="1"/>
  <c r="AD69" i="2"/>
  <c r="R69" i="2" s="1"/>
  <c r="L69" i="2" s="1"/>
  <c r="K12" i="2" s="1"/>
  <c r="AC69" i="2"/>
  <c r="Q69" i="2" s="1"/>
  <c r="K69" i="2" s="1"/>
  <c r="J12" i="2" s="1"/>
  <c r="CZ51" i="2"/>
  <c r="CL51" i="2"/>
  <c r="H5" i="5"/>
  <c r="H5" i="6"/>
  <c r="H9" i="6"/>
  <c r="H9" i="5"/>
  <c r="L9" i="6"/>
  <c r="L9" i="5"/>
  <c r="D11" i="5"/>
  <c r="D11" i="6"/>
  <c r="CQ44" i="2"/>
  <c r="CV49" i="2"/>
  <c r="CH49" i="2"/>
  <c r="AP86" i="5"/>
  <c r="L86" i="5"/>
  <c r="AP14" i="5"/>
  <c r="AP62" i="5"/>
  <c r="L62" i="5"/>
  <c r="BE86" i="5"/>
  <c r="AA86" i="5"/>
  <c r="AP38" i="5"/>
  <c r="L38" i="5"/>
  <c r="L110" i="5"/>
  <c r="AA38" i="5"/>
  <c r="AA14" i="5"/>
  <c r="BE14" i="5"/>
  <c r="BE62" i="5"/>
  <c r="BE38" i="5"/>
  <c r="AA62" i="5"/>
  <c r="AU53" i="6"/>
  <c r="AF101" i="5"/>
  <c r="Q77" i="5"/>
  <c r="AF53" i="6"/>
  <c r="AU5" i="6"/>
  <c r="Q101" i="5"/>
  <c r="B77" i="5"/>
  <c r="AF101" i="6"/>
  <c r="Q53" i="6"/>
  <c r="AF5" i="6"/>
  <c r="B101" i="5"/>
  <c r="AU53" i="5"/>
  <c r="Q101" i="6"/>
  <c r="B53" i="6"/>
  <c r="Q5" i="6"/>
  <c r="AF53" i="5"/>
  <c r="B101" i="6"/>
  <c r="AU77" i="6"/>
  <c r="Q53" i="5"/>
  <c r="AF77" i="6"/>
  <c r="B53" i="5"/>
  <c r="Q77" i="6"/>
  <c r="AU29" i="5"/>
  <c r="B77" i="6"/>
  <c r="AF29" i="5"/>
  <c r="AU29" i="6"/>
  <c r="AF29" i="6"/>
  <c r="B29" i="5"/>
  <c r="AF5" i="5"/>
  <c r="Q29" i="6"/>
  <c r="AU77" i="5"/>
  <c r="Q29" i="5"/>
  <c r="B29" i="6"/>
  <c r="AF77" i="5"/>
  <c r="AU5" i="5"/>
  <c r="Q5" i="5"/>
  <c r="H6" i="5"/>
  <c r="H6" i="6"/>
  <c r="AG60" i="2"/>
  <c r="U60" i="2" s="1"/>
  <c r="O60" i="2" s="1"/>
  <c r="N3" i="2" s="1"/>
  <c r="AF60" i="2"/>
  <c r="T60" i="2" s="1"/>
  <c r="N60" i="2" s="1"/>
  <c r="M3" i="2" s="1"/>
  <c r="AE60" i="2"/>
  <c r="S60" i="2" s="1"/>
  <c r="M60" i="2" s="1"/>
  <c r="L3" i="2" s="1"/>
  <c r="AD60" i="2"/>
  <c r="R60" i="2" s="1"/>
  <c r="L60" i="2" s="1"/>
  <c r="K3" i="2" s="1"/>
  <c r="AC60" i="2"/>
  <c r="Q60" i="2" s="1"/>
  <c r="K60" i="2" s="1"/>
  <c r="J3" i="2" s="1"/>
  <c r="CN40" i="2"/>
  <c r="CN43" i="2"/>
  <c r="CR47" i="2"/>
  <c r="AU31" i="6"/>
  <c r="AU7" i="6"/>
  <c r="Q31" i="5"/>
  <c r="AF31" i="6"/>
  <c r="AF7" i="6"/>
  <c r="Q31" i="6"/>
  <c r="Q7" i="6"/>
  <c r="AU79" i="5"/>
  <c r="B31" i="6"/>
  <c r="AF79" i="5"/>
  <c r="AU55" i="6"/>
  <c r="Q79" i="5"/>
  <c r="AF55" i="6"/>
  <c r="B79" i="5"/>
  <c r="Q55" i="6"/>
  <c r="AF103" i="5"/>
  <c r="AU55" i="5"/>
  <c r="AF103" i="6"/>
  <c r="B55" i="6"/>
  <c r="Q103" i="5"/>
  <c r="AF55" i="5"/>
  <c r="AU7" i="5"/>
  <c r="AU79" i="6"/>
  <c r="B103" i="5"/>
  <c r="Q55" i="5"/>
  <c r="Q103" i="6"/>
  <c r="AF79" i="6"/>
  <c r="B55" i="5"/>
  <c r="Q7" i="5"/>
  <c r="B103" i="6"/>
  <c r="Q79" i="6"/>
  <c r="AU31" i="5"/>
  <c r="AF7" i="5"/>
  <c r="B79" i="6"/>
  <c r="AF31" i="5"/>
  <c r="B31" i="5"/>
  <c r="AY65" i="5"/>
  <c r="U65" i="5"/>
  <c r="AJ89" i="5"/>
  <c r="F89" i="5"/>
  <c r="AY41" i="5"/>
  <c r="U41" i="5"/>
  <c r="AJ65" i="5"/>
  <c r="F65" i="5"/>
  <c r="AY17" i="5"/>
  <c r="U17" i="5"/>
  <c r="F113" i="5"/>
  <c r="AY89" i="5"/>
  <c r="U89" i="5"/>
  <c r="AJ41" i="5"/>
  <c r="F41" i="5"/>
  <c r="AJ17" i="5"/>
  <c r="D17" i="5"/>
  <c r="D17" i="6"/>
  <c r="CO43" i="2"/>
  <c r="CX45" i="2"/>
  <c r="CJ45" i="2"/>
  <c r="BV46" i="2"/>
  <c r="CO50" i="2"/>
  <c r="BT50" i="2"/>
  <c r="CX53" i="2"/>
  <c r="CJ53" i="2"/>
  <c r="BC62" i="5"/>
  <c r="Y62" i="5"/>
  <c r="AN86" i="5"/>
  <c r="J86" i="5"/>
  <c r="BC38" i="5"/>
  <c r="Y38" i="5"/>
  <c r="AN62" i="5"/>
  <c r="J62" i="5"/>
  <c r="BC86" i="5"/>
  <c r="Y86" i="5"/>
  <c r="BC14" i="5"/>
  <c r="Y14" i="5"/>
  <c r="AN38" i="5"/>
  <c r="J38" i="5"/>
  <c r="J110" i="5"/>
  <c r="AN14" i="5"/>
  <c r="AR86" i="5"/>
  <c r="N86" i="5"/>
  <c r="AH41" i="5"/>
  <c r="D41" i="5"/>
  <c r="AW65" i="5"/>
  <c r="S65" i="5"/>
  <c r="BG38" i="5"/>
  <c r="AC38" i="5"/>
  <c r="AH17" i="5"/>
  <c r="AH89" i="5"/>
  <c r="D89" i="5"/>
  <c r="AR62" i="5"/>
  <c r="N62" i="5"/>
  <c r="BG86" i="5"/>
  <c r="AC86" i="5"/>
  <c r="AW41" i="5"/>
  <c r="S41" i="5"/>
  <c r="BG14" i="5"/>
  <c r="AC14" i="5"/>
  <c r="AH65" i="5"/>
  <c r="D65" i="5"/>
  <c r="D113" i="5"/>
  <c r="N110" i="5"/>
  <c r="AW89" i="5"/>
  <c r="S89" i="5"/>
  <c r="BG62" i="5"/>
  <c r="AC62" i="5"/>
  <c r="N38" i="5"/>
  <c r="AW17" i="5"/>
  <c r="AR38" i="5"/>
  <c r="AR14" i="5"/>
  <c r="S17" i="5"/>
  <c r="B105" i="6"/>
  <c r="AU81" i="6"/>
  <c r="AU9" i="6"/>
  <c r="AF105" i="5"/>
  <c r="Q57" i="5"/>
  <c r="AF81" i="6"/>
  <c r="AF9" i="6"/>
  <c r="Q105" i="5"/>
  <c r="B57" i="5"/>
  <c r="Q81" i="6"/>
  <c r="Q9" i="6"/>
  <c r="B105" i="5"/>
  <c r="AU33" i="5"/>
  <c r="B81" i="6"/>
  <c r="AU33" i="6"/>
  <c r="Q33" i="5"/>
  <c r="AF33" i="6"/>
  <c r="B33" i="5"/>
  <c r="Q33" i="6"/>
  <c r="AU81" i="5"/>
  <c r="B33" i="6"/>
  <c r="AF81" i="5"/>
  <c r="AU9" i="5"/>
  <c r="AU57" i="6"/>
  <c r="Q81" i="5"/>
  <c r="AF57" i="6"/>
  <c r="B81" i="5"/>
  <c r="Q9" i="5"/>
  <c r="AF105" i="6"/>
  <c r="Q57" i="6"/>
  <c r="AU57" i="5"/>
  <c r="AF9" i="5"/>
  <c r="B57" i="6"/>
  <c r="Q105" i="6"/>
  <c r="AF33" i="5"/>
  <c r="AF57" i="5"/>
  <c r="BA65" i="5"/>
  <c r="W65" i="5"/>
  <c r="AL17" i="5"/>
  <c r="AL89" i="5"/>
  <c r="H89" i="5"/>
  <c r="BA41" i="5"/>
  <c r="W41" i="5"/>
  <c r="AL65" i="5"/>
  <c r="H65" i="5"/>
  <c r="BA17" i="5"/>
  <c r="W17" i="5"/>
  <c r="H113" i="5"/>
  <c r="BA89" i="5"/>
  <c r="W89" i="5"/>
  <c r="AL41" i="5"/>
  <c r="H41" i="5"/>
  <c r="AG59" i="2"/>
  <c r="U59" i="2" s="1"/>
  <c r="O59" i="2" s="1"/>
  <c r="N2" i="2" s="1"/>
  <c r="AF59" i="2"/>
  <c r="T59" i="2" s="1"/>
  <c r="N59" i="2" s="1"/>
  <c r="M2" i="2" s="1"/>
  <c r="AE59" i="2"/>
  <c r="S59" i="2" s="1"/>
  <c r="M59" i="2" s="1"/>
  <c r="L2" i="2" s="1"/>
  <c r="AD59" i="2"/>
  <c r="R59" i="2" s="1"/>
  <c r="L59" i="2" s="1"/>
  <c r="K2" i="2" s="1"/>
  <c r="AC59" i="2"/>
  <c r="Q59" i="2" s="1"/>
  <c r="K59" i="2" s="1"/>
  <c r="J2" i="2" s="1"/>
  <c r="CN39" i="2"/>
  <c r="BS42" i="2"/>
  <c r="AG64" i="2"/>
  <c r="U64" i="2" s="1"/>
  <c r="O64" i="2" s="1"/>
  <c r="N7" i="2" s="1"/>
  <c r="AF64" i="2"/>
  <c r="T64" i="2" s="1"/>
  <c r="N64" i="2" s="1"/>
  <c r="M7" i="2" s="1"/>
  <c r="AE64" i="2"/>
  <c r="S64" i="2" s="1"/>
  <c r="M64" i="2" s="1"/>
  <c r="L7" i="2" s="1"/>
  <c r="AD64" i="2"/>
  <c r="R64" i="2" s="1"/>
  <c r="L64" i="2" s="1"/>
  <c r="K7" i="2" s="1"/>
  <c r="AC64" i="2"/>
  <c r="Q64" i="2" s="1"/>
  <c r="K64" i="2" s="1"/>
  <c r="J7" i="2" s="1"/>
  <c r="CY45" i="2"/>
  <c r="CK45" i="2"/>
  <c r="CN45" i="2"/>
  <c r="BW46" i="2"/>
  <c r="AF67" i="2"/>
  <c r="T67" i="2" s="1"/>
  <c r="N67" i="2" s="1"/>
  <c r="M10" i="2" s="1"/>
  <c r="AE67" i="2"/>
  <c r="S67" i="2" s="1"/>
  <c r="M67" i="2" s="1"/>
  <c r="L10" i="2" s="1"/>
  <c r="AD67" i="2"/>
  <c r="R67" i="2" s="1"/>
  <c r="L67" i="2" s="1"/>
  <c r="K10" i="2" s="1"/>
  <c r="AC67" i="2"/>
  <c r="Q67" i="2" s="1"/>
  <c r="K67" i="2" s="1"/>
  <c r="J10" i="2" s="1"/>
  <c r="AG67" i="2"/>
  <c r="U67" i="2" s="1"/>
  <c r="O67" i="2" s="1"/>
  <c r="N10" i="2" s="1"/>
  <c r="CP50" i="2"/>
  <c r="BU50" i="2"/>
  <c r="CH46" i="2"/>
  <c r="CJ47" i="2"/>
  <c r="BI47" i="2" s="1"/>
  <c r="AG44" i="2" s="1"/>
  <c r="CL48" i="2"/>
  <c r="CO49" i="2"/>
  <c r="CQ50" i="2"/>
  <c r="CS51" i="2"/>
  <c r="CK52" i="2"/>
  <c r="CQ53" i="2"/>
  <c r="CI54" i="2"/>
  <c r="AG66" i="2"/>
  <c r="U66" i="2" s="1"/>
  <c r="O66" i="2" s="1"/>
  <c r="N9" i="2" s="1"/>
  <c r="AG68" i="2"/>
  <c r="U68" i="2" s="1"/>
  <c r="O68" i="2" s="1"/>
  <c r="N11" i="2" s="1"/>
  <c r="CN48" i="2"/>
  <c r="BS51" i="2"/>
  <c r="BX52" i="2"/>
  <c r="BV54" i="2"/>
  <c r="AG72" i="2"/>
  <c r="U72" i="2" s="1"/>
  <c r="O72" i="2" s="1"/>
  <c r="N15" i="2" s="1"/>
  <c r="AF72" i="2"/>
  <c r="T72" i="2" s="1"/>
  <c r="N72" i="2" s="1"/>
  <c r="M15" i="2" s="1"/>
  <c r="AE72" i="2"/>
  <c r="S72" i="2" s="1"/>
  <c r="M72" i="2" s="1"/>
  <c r="L15" i="2" s="1"/>
  <c r="AD72" i="2"/>
  <c r="R72" i="2" s="1"/>
  <c r="L72" i="2" s="1"/>
  <c r="K15" i="2" s="1"/>
  <c r="CN52" i="2"/>
  <c r="BW54" i="2"/>
  <c r="AE71" i="2"/>
  <c r="S71" i="2" s="1"/>
  <c r="M71" i="2" s="1"/>
  <c r="L14" i="2" s="1"/>
  <c r="BS50" i="2"/>
  <c r="BU51" i="2"/>
  <c r="CO52" i="2"/>
  <c r="BS53" i="2"/>
  <c r="BX54" i="2"/>
  <c r="AF71" i="2"/>
  <c r="T71" i="2" s="1"/>
  <c r="N71" i="2" s="1"/>
  <c r="M14" i="2" s="1"/>
  <c r="BV51" i="2"/>
  <c r="BT53" i="2"/>
  <c r="AG74" i="2"/>
  <c r="U74" i="2" s="1"/>
  <c r="O74" i="2" s="1"/>
  <c r="N17" i="2" s="1"/>
  <c r="AD74" i="2"/>
  <c r="R74" i="2" s="1"/>
  <c r="L74" i="2" s="1"/>
  <c r="K17" i="2" s="1"/>
  <c r="CN54" i="2"/>
  <c r="AD70" i="2"/>
  <c r="R70" i="2" s="1"/>
  <c r="L70" i="2" s="1"/>
  <c r="K13" i="2" s="1"/>
  <c r="CN46" i="2"/>
  <c r="BW51" i="2"/>
  <c r="BU53" i="2"/>
  <c r="AE70" i="2"/>
  <c r="S70" i="2" s="1"/>
  <c r="M70" i="2" s="1"/>
  <c r="L13" i="2" s="1"/>
  <c r="CK50" i="2"/>
  <c r="AD71" i="2"/>
  <c r="R71" i="2" s="1"/>
  <c r="L71" i="2" s="1"/>
  <c r="K14" i="2" s="1"/>
  <c r="AC71" i="2"/>
  <c r="Q71" i="2" s="1"/>
  <c r="K71" i="2" s="1"/>
  <c r="J14" i="2" s="1"/>
  <c r="CN51" i="2"/>
  <c r="CK53" i="2"/>
  <c r="AC68" i="2"/>
  <c r="Q68" i="2" s="1"/>
  <c r="K68" i="2" s="1"/>
  <c r="J11" i="2" s="1"/>
  <c r="CG52" i="2"/>
  <c r="CL53" i="2"/>
  <c r="AC66" i="2"/>
  <c r="Q66" i="2" s="1"/>
  <c r="K66" i="2" s="1"/>
  <c r="J9" i="2" s="1"/>
  <c r="AD68" i="2"/>
  <c r="R68" i="2" s="1"/>
  <c r="L68" i="2" s="1"/>
  <c r="K11" i="2" s="1"/>
  <c r="AG70" i="2"/>
  <c r="U70" i="2" s="1"/>
  <c r="O70" i="2" s="1"/>
  <c r="N13" i="2" s="1"/>
  <c r="AC70" i="2"/>
  <c r="Q70" i="2" s="1"/>
  <c r="K70" i="2" s="1"/>
  <c r="J13" i="2" s="1"/>
  <c r="CN50" i="2"/>
  <c r="AG73" i="2"/>
  <c r="U73" i="2" s="1"/>
  <c r="O73" i="2" s="1"/>
  <c r="N16" i="2" s="1"/>
  <c r="AF73" i="2"/>
  <c r="T73" i="2" s="1"/>
  <c r="N73" i="2" s="1"/>
  <c r="M16" i="2" s="1"/>
  <c r="AE73" i="2"/>
  <c r="S73" i="2" s="1"/>
  <c r="M73" i="2" s="1"/>
  <c r="L16" i="2" s="1"/>
  <c r="CN53" i="2"/>
  <c r="AD66" i="2"/>
  <c r="R66" i="2" s="1"/>
  <c r="L66" i="2" s="1"/>
  <c r="K9" i="2" s="1"/>
  <c r="AE68" i="2"/>
  <c r="S68" i="2" s="1"/>
  <c r="M68" i="2" s="1"/>
  <c r="L11" i="2" s="1"/>
  <c r="AD73" i="2"/>
  <c r="R73" i="2" s="1"/>
  <c r="L73" i="2" s="1"/>
  <c r="K16" i="2" s="1"/>
  <c r="CI52" i="2"/>
  <c r="CG54" i="2"/>
  <c r="AE66" i="2"/>
  <c r="S66" i="2" s="1"/>
  <c r="M66" i="2" s="1"/>
  <c r="L9" i="2" s="1"/>
  <c r="AF68" i="2"/>
  <c r="T68" i="2" s="1"/>
  <c r="N68" i="2" s="1"/>
  <c r="M11" i="2" s="1"/>
  <c r="AC74" i="2"/>
  <c r="Q74" i="2" s="1"/>
  <c r="K74" i="2" s="1"/>
  <c r="J17" i="2" s="1"/>
  <c r="CJ52" i="2"/>
  <c r="CH54" i="2"/>
  <c r="AE74" i="2"/>
  <c r="S74" i="2" s="1"/>
  <c r="M74" i="2" s="1"/>
  <c r="L17" i="2" s="1"/>
  <c r="B2" i="3"/>
  <c r="B3" i="3" s="1"/>
  <c r="A2" i="3"/>
  <c r="A3" i="3" s="1"/>
  <c r="BI44" i="2" l="1"/>
  <c r="AG41" i="2" s="1"/>
  <c r="BA58" i="2"/>
  <c r="AU84" i="6"/>
  <c r="AU84" i="5"/>
  <c r="Q80" i="5"/>
  <c r="Q80" i="6"/>
  <c r="Q84" i="6"/>
  <c r="Q84" i="5"/>
  <c r="AF90" i="5"/>
  <c r="AF90" i="6"/>
  <c r="Q10" i="6"/>
  <c r="Q10" i="5"/>
  <c r="AU32" i="5"/>
  <c r="AU32" i="6"/>
  <c r="B30" i="5"/>
  <c r="B30" i="6"/>
  <c r="AU10" i="2"/>
  <c r="BF10" i="2"/>
  <c r="Q30" i="5"/>
  <c r="Q30" i="6"/>
  <c r="Q12" i="6"/>
  <c r="Q12" i="5"/>
  <c r="AF6" i="5"/>
  <c r="AF6" i="6"/>
  <c r="AU54" i="6"/>
  <c r="AU54" i="5"/>
  <c r="AU34" i="6"/>
  <c r="AU34" i="5"/>
  <c r="B32" i="5"/>
  <c r="B32" i="6"/>
  <c r="Q32" i="6"/>
  <c r="Q32" i="5"/>
  <c r="Q90" i="6"/>
  <c r="Q90" i="5"/>
  <c r="Q18" i="5"/>
  <c r="Q18" i="6"/>
  <c r="AF8" i="5"/>
  <c r="AF8" i="6"/>
  <c r="AU56" i="6"/>
  <c r="AU56" i="5"/>
  <c r="AU36" i="5"/>
  <c r="AU36" i="6"/>
  <c r="B34" i="6"/>
  <c r="B34" i="5"/>
  <c r="Q34" i="5"/>
  <c r="Q34" i="6"/>
  <c r="AF84" i="6"/>
  <c r="AF84" i="5"/>
  <c r="B90" i="5"/>
  <c r="B90" i="6"/>
  <c r="AF30" i="6"/>
  <c r="AF30" i="5"/>
  <c r="AF10" i="5"/>
  <c r="AF10" i="6"/>
  <c r="AU58" i="6"/>
  <c r="AU58" i="5"/>
  <c r="B36" i="5"/>
  <c r="B36" i="6"/>
  <c r="Q36" i="5"/>
  <c r="Q36" i="6"/>
  <c r="B78" i="6"/>
  <c r="B78" i="5"/>
  <c r="AF56" i="6"/>
  <c r="AF56" i="5"/>
  <c r="AF32" i="5"/>
  <c r="AF32" i="6"/>
  <c r="AF12" i="5"/>
  <c r="AF12" i="6"/>
  <c r="AU60" i="6"/>
  <c r="AU60" i="5"/>
  <c r="B42" i="5"/>
  <c r="B42" i="6"/>
  <c r="Q42" i="6"/>
  <c r="Q42" i="5"/>
  <c r="AU30" i="5"/>
  <c r="AU30" i="6"/>
  <c r="B58" i="6"/>
  <c r="B58" i="5"/>
  <c r="B54" i="5"/>
  <c r="B54" i="6"/>
  <c r="AF66" i="6"/>
  <c r="AF66" i="5"/>
  <c r="AF34" i="6"/>
  <c r="AF34" i="5"/>
  <c r="AF18" i="6"/>
  <c r="AF18" i="5"/>
  <c r="AU6" i="6"/>
  <c r="AU6" i="5"/>
  <c r="Q78" i="6"/>
  <c r="Q78" i="5"/>
  <c r="AU80" i="6"/>
  <c r="AU80" i="5"/>
  <c r="B66" i="6"/>
  <c r="B66" i="5"/>
  <c r="Q66" i="5"/>
  <c r="Q66" i="6"/>
  <c r="AF36" i="6"/>
  <c r="AF36" i="5"/>
  <c r="AU66" i="5"/>
  <c r="AU66" i="6"/>
  <c r="AU8" i="6"/>
  <c r="AU8" i="5"/>
  <c r="B102" i="6"/>
  <c r="B102" i="5"/>
  <c r="Q82" i="5"/>
  <c r="Q82" i="6"/>
  <c r="AF58" i="6"/>
  <c r="AF58" i="5"/>
  <c r="Q54" i="5"/>
  <c r="Q54" i="6"/>
  <c r="AF42" i="6"/>
  <c r="AF42" i="5"/>
  <c r="AU10" i="6"/>
  <c r="AU10" i="5"/>
  <c r="AU2" i="2"/>
  <c r="BF2" i="2"/>
  <c r="AQ7" i="2"/>
  <c r="AN7" i="2"/>
  <c r="Q8" i="6"/>
  <c r="Q8" i="5"/>
  <c r="B82" i="5"/>
  <c r="B82" i="6"/>
  <c r="B56" i="6"/>
  <c r="B56" i="5"/>
  <c r="AF54" i="6"/>
  <c r="AF54" i="5"/>
  <c r="B104" i="6"/>
  <c r="B104" i="5"/>
  <c r="Q56" i="6"/>
  <c r="Q56" i="5"/>
  <c r="AU12" i="6"/>
  <c r="AU12" i="5"/>
  <c r="AU7" i="2"/>
  <c r="AW7" i="2" s="1"/>
  <c r="BF7" i="2"/>
  <c r="AW10" i="2"/>
  <c r="AV10" i="2"/>
  <c r="O10" i="2" s="1"/>
  <c r="AF60" i="6"/>
  <c r="AF60" i="5"/>
  <c r="AN10" i="2"/>
  <c r="AQ10" i="2"/>
  <c r="B114" i="5"/>
  <c r="B114" i="6"/>
  <c r="AF80" i="6"/>
  <c r="AF80" i="5"/>
  <c r="Q58" i="6"/>
  <c r="Q58" i="5"/>
  <c r="AU42" i="6"/>
  <c r="AU42" i="5"/>
  <c r="AU18" i="6"/>
  <c r="AU18" i="5"/>
  <c r="AU90" i="6"/>
  <c r="AU90" i="5"/>
  <c r="B80" i="5"/>
  <c r="B80" i="6"/>
  <c r="B106" i="6"/>
  <c r="B106" i="5"/>
  <c r="AU82" i="5"/>
  <c r="AU82" i="6"/>
  <c r="AF82" i="5"/>
  <c r="AF82" i="6"/>
  <c r="Q60" i="5"/>
  <c r="Q60" i="6"/>
  <c r="Q6" i="6"/>
  <c r="Q6" i="5"/>
  <c r="CZ54" i="2"/>
  <c r="CL54" i="2"/>
  <c r="CX54" i="2"/>
  <c r="CJ54" i="2"/>
  <c r="AU4" i="2"/>
  <c r="AW4" i="2" s="1"/>
  <c r="BF4" i="2"/>
  <c r="BA70" i="2"/>
  <c r="AT2" i="2"/>
  <c r="CU140" i="2"/>
  <c r="CN106" i="2"/>
  <c r="CN100" i="2"/>
  <c r="CN136" i="2"/>
  <c r="CN129" i="2"/>
  <c r="CN128" i="2"/>
  <c r="CU141" i="2"/>
  <c r="CU138" i="2"/>
  <c r="CN127" i="2"/>
  <c r="CN135" i="2"/>
  <c r="CN134" i="2"/>
  <c r="CN133" i="2"/>
  <c r="CN132" i="2"/>
  <c r="CN126" i="2"/>
  <c r="CN98" i="2"/>
  <c r="CU139" i="2"/>
  <c r="CN137" i="2"/>
  <c r="CN131" i="2"/>
  <c r="CN125" i="2"/>
  <c r="CN122" i="2"/>
  <c r="CN121" i="2"/>
  <c r="CN120" i="2"/>
  <c r="CN123" i="2"/>
  <c r="CN111" i="2"/>
  <c r="CN103" i="2"/>
  <c r="CN96" i="2"/>
  <c r="CN92" i="2"/>
  <c r="CN88" i="2"/>
  <c r="CN84" i="2"/>
  <c r="CN80" i="2"/>
  <c r="CN74" i="2"/>
  <c r="CN116" i="2"/>
  <c r="CN108" i="2"/>
  <c r="CN75" i="2"/>
  <c r="CN114" i="2"/>
  <c r="CN110" i="2"/>
  <c r="CN89" i="2"/>
  <c r="CN85" i="2"/>
  <c r="CN81" i="2"/>
  <c r="CN105" i="2"/>
  <c r="CN112" i="2"/>
  <c r="CN102" i="2"/>
  <c r="CN95" i="2"/>
  <c r="CN93" i="2"/>
  <c r="CN77" i="2"/>
  <c r="CN69" i="2"/>
  <c r="CN130" i="2"/>
  <c r="CN117" i="2"/>
  <c r="CN107" i="2"/>
  <c r="CN90" i="2"/>
  <c r="CN86" i="2"/>
  <c r="CN82" i="2"/>
  <c r="CN70" i="2"/>
  <c r="CN104" i="2"/>
  <c r="CN78" i="2"/>
  <c r="CN119" i="2"/>
  <c r="CN115" i="2"/>
  <c r="CN109" i="2"/>
  <c r="CN97" i="2"/>
  <c r="CN99" i="2"/>
  <c r="CN91" i="2"/>
  <c r="CN87" i="2"/>
  <c r="CN83" i="2"/>
  <c r="CN113" i="2"/>
  <c r="CN101" i="2"/>
  <c r="CN94" i="2"/>
  <c r="CN124" i="2"/>
  <c r="CN118" i="2"/>
  <c r="CN73" i="2"/>
  <c r="CN67" i="2"/>
  <c r="CN66" i="2"/>
  <c r="CN65" i="2"/>
  <c r="CN76" i="2"/>
  <c r="CN71" i="2"/>
  <c r="CN64" i="2"/>
  <c r="CN61" i="2"/>
  <c r="CN58" i="2"/>
  <c r="CN72" i="2"/>
  <c r="CN79" i="2"/>
  <c r="CN68" i="2"/>
  <c r="CN59" i="2"/>
  <c r="CN63" i="2"/>
  <c r="CN62" i="2"/>
  <c r="CN60" i="2"/>
  <c r="CG135" i="2"/>
  <c r="CG134" i="2"/>
  <c r="CG127" i="2"/>
  <c r="CG133" i="2"/>
  <c r="CG109" i="2"/>
  <c r="CG103" i="2"/>
  <c r="CG137" i="2"/>
  <c r="CG131" i="2"/>
  <c r="CG125" i="2"/>
  <c r="CG122" i="2"/>
  <c r="CG121" i="2"/>
  <c r="CG120" i="2"/>
  <c r="CG119" i="2"/>
  <c r="CG118" i="2"/>
  <c r="CG117" i="2"/>
  <c r="CG116" i="2"/>
  <c r="CG115" i="2"/>
  <c r="CG114" i="2"/>
  <c r="CG113" i="2"/>
  <c r="CG112" i="2"/>
  <c r="CG111" i="2"/>
  <c r="CG105" i="2"/>
  <c r="CG99" i="2"/>
  <c r="CG95" i="2"/>
  <c r="CG106" i="2"/>
  <c r="CG100" i="2"/>
  <c r="CG136" i="2"/>
  <c r="CG129" i="2"/>
  <c r="CG128" i="2"/>
  <c r="CG104" i="2"/>
  <c r="CG77" i="2"/>
  <c r="CG124" i="2"/>
  <c r="CG97" i="2"/>
  <c r="CG90" i="2"/>
  <c r="CG86" i="2"/>
  <c r="CG82" i="2"/>
  <c r="CG70" i="2"/>
  <c r="CG123" i="2"/>
  <c r="CG78" i="2"/>
  <c r="CG101" i="2"/>
  <c r="CG94" i="2"/>
  <c r="CG91" i="2"/>
  <c r="CG87" i="2"/>
  <c r="CG83" i="2"/>
  <c r="CG79" i="2"/>
  <c r="CG72" i="2"/>
  <c r="CG96" i="2"/>
  <c r="CG132" i="2"/>
  <c r="CG108" i="2"/>
  <c r="CG73" i="2"/>
  <c r="CG98" i="2"/>
  <c r="CG92" i="2"/>
  <c r="CG88" i="2"/>
  <c r="CG84" i="2"/>
  <c r="CG80" i="2"/>
  <c r="CG74" i="2"/>
  <c r="CG130" i="2"/>
  <c r="CG110" i="2"/>
  <c r="CG126" i="2"/>
  <c r="CG138" i="2"/>
  <c r="CG102" i="2"/>
  <c r="CG89" i="2"/>
  <c r="CG85" i="2"/>
  <c r="CG81" i="2"/>
  <c r="CG76" i="2"/>
  <c r="CG107" i="2"/>
  <c r="CG93" i="2"/>
  <c r="CG68" i="2"/>
  <c r="CG75" i="2"/>
  <c r="CG59" i="2"/>
  <c r="CG63" i="2"/>
  <c r="CG69" i="2"/>
  <c r="CG62" i="2"/>
  <c r="CG60" i="2"/>
  <c r="CG66" i="2"/>
  <c r="CG65" i="2"/>
  <c r="CG71" i="2"/>
  <c r="CG67" i="2"/>
  <c r="CG64" i="2"/>
  <c r="CG61" i="2"/>
  <c r="CG58" i="2"/>
  <c r="CT135" i="2"/>
  <c r="CT134" i="2"/>
  <c r="CT109" i="2"/>
  <c r="CT103" i="2"/>
  <c r="CT133" i="2"/>
  <c r="CT126" i="2"/>
  <c r="CT137" i="2"/>
  <c r="CT131" i="2"/>
  <c r="CT125" i="2"/>
  <c r="CT122" i="2"/>
  <c r="CT121" i="2"/>
  <c r="CT120" i="2"/>
  <c r="CT119" i="2"/>
  <c r="CT118" i="2"/>
  <c r="CT130" i="2"/>
  <c r="CT124" i="2"/>
  <c r="CT123" i="2"/>
  <c r="CT129" i="2"/>
  <c r="CT96" i="2"/>
  <c r="CT136" i="2"/>
  <c r="CT128" i="2"/>
  <c r="CT105" i="2"/>
  <c r="CT93" i="2"/>
  <c r="CT90" i="2"/>
  <c r="CT86" i="2"/>
  <c r="CT82" i="2"/>
  <c r="CT112" i="2"/>
  <c r="CT102" i="2"/>
  <c r="CT95" i="2"/>
  <c r="CT78" i="2"/>
  <c r="CT66" i="2"/>
  <c r="CT117" i="2"/>
  <c r="CT107" i="2"/>
  <c r="CT132" i="2"/>
  <c r="CT104" i="2"/>
  <c r="CT97" i="2"/>
  <c r="CT91" i="2"/>
  <c r="CT87" i="2"/>
  <c r="CT83" i="2"/>
  <c r="CT79" i="2"/>
  <c r="CT115" i="2"/>
  <c r="CT127" i="2"/>
  <c r="CT99" i="2"/>
  <c r="CT94" i="2"/>
  <c r="CT73" i="2"/>
  <c r="CT113" i="2"/>
  <c r="CT101" i="2"/>
  <c r="CT92" i="2"/>
  <c r="CT88" i="2"/>
  <c r="CT84" i="2"/>
  <c r="CT80" i="2"/>
  <c r="CT74" i="2"/>
  <c r="CT106" i="2"/>
  <c r="CT111" i="2"/>
  <c r="CT75" i="2"/>
  <c r="CT116" i="2"/>
  <c r="CT108" i="2"/>
  <c r="CT98" i="2"/>
  <c r="CT89" i="2"/>
  <c r="CT85" i="2"/>
  <c r="CT81" i="2"/>
  <c r="CT114" i="2"/>
  <c r="CT110" i="2"/>
  <c r="CT100" i="2"/>
  <c r="CT77" i="2"/>
  <c r="CT76" i="2"/>
  <c r="CT68" i="2"/>
  <c r="CT59" i="2"/>
  <c r="CT63" i="2"/>
  <c r="CT72" i="2"/>
  <c r="CT62" i="2"/>
  <c r="CT60" i="2"/>
  <c r="CT65" i="2"/>
  <c r="CT69" i="2"/>
  <c r="CT67" i="2"/>
  <c r="CT64" i="2"/>
  <c r="CT70" i="2"/>
  <c r="CT61" i="2"/>
  <c r="CT58" i="2"/>
  <c r="CT71" i="2"/>
  <c r="B36" i="8"/>
  <c r="BA74" i="2"/>
  <c r="BI65" i="2"/>
  <c r="BA76" i="2"/>
  <c r="BA77" i="2"/>
  <c r="BA78" i="2"/>
  <c r="BA79" i="2"/>
  <c r="BE61" i="2"/>
  <c r="BM59" i="2"/>
  <c r="BI66" i="2"/>
  <c r="BP62" i="2"/>
  <c r="BP60" i="2"/>
  <c r="BM58" i="2"/>
  <c r="BI67" i="2"/>
  <c r="BI59" i="2"/>
  <c r="BE66" i="2"/>
  <c r="BI62" i="2"/>
  <c r="BE65" i="2"/>
  <c r="BE59" i="2"/>
  <c r="BE62" i="2"/>
  <c r="BI60" i="2"/>
  <c r="BI68" i="2"/>
  <c r="BI64" i="2"/>
  <c r="BP61" i="2"/>
  <c r="BA75" i="2"/>
  <c r="BE60" i="2"/>
  <c r="BE64" i="2"/>
  <c r="BM61" i="2"/>
  <c r="BI61" i="2"/>
  <c r="BI63" i="2"/>
  <c r="BP58" i="2"/>
  <c r="CS127" i="2"/>
  <c r="CS135" i="2"/>
  <c r="CS134" i="2"/>
  <c r="CS109" i="2"/>
  <c r="CS103" i="2"/>
  <c r="CS132" i="2"/>
  <c r="CS137" i="2"/>
  <c r="CS131" i="2"/>
  <c r="CS125" i="2"/>
  <c r="CS122" i="2"/>
  <c r="CS121" i="2"/>
  <c r="CS120" i="2"/>
  <c r="CS119" i="2"/>
  <c r="CS118" i="2"/>
  <c r="CS117" i="2"/>
  <c r="CS116" i="2"/>
  <c r="CS115" i="2"/>
  <c r="CS114" i="2"/>
  <c r="CS113" i="2"/>
  <c r="CS112" i="2"/>
  <c r="CS111" i="2"/>
  <c r="CS105" i="2"/>
  <c r="CS99" i="2"/>
  <c r="CS95" i="2"/>
  <c r="CS106" i="2"/>
  <c r="CS100" i="2"/>
  <c r="CS129" i="2"/>
  <c r="CS136" i="2"/>
  <c r="CS128" i="2"/>
  <c r="CS110" i="2"/>
  <c r="CS77" i="2"/>
  <c r="CS93" i="2"/>
  <c r="CS90" i="2"/>
  <c r="CS86" i="2"/>
  <c r="CS82" i="2"/>
  <c r="CS70" i="2"/>
  <c r="CS102" i="2"/>
  <c r="CS78" i="2"/>
  <c r="CS133" i="2"/>
  <c r="CS107" i="2"/>
  <c r="CS104" i="2"/>
  <c r="CS97" i="2"/>
  <c r="CS91" i="2"/>
  <c r="CS87" i="2"/>
  <c r="CS83" i="2"/>
  <c r="CS79" i="2"/>
  <c r="CS72" i="2"/>
  <c r="CS130" i="2"/>
  <c r="CS126" i="2"/>
  <c r="CS94" i="2"/>
  <c r="CS73" i="2"/>
  <c r="CS101" i="2"/>
  <c r="CS92" i="2"/>
  <c r="CS88" i="2"/>
  <c r="CS84" i="2"/>
  <c r="CS80" i="2"/>
  <c r="CS74" i="2"/>
  <c r="CS96" i="2"/>
  <c r="CS124" i="2"/>
  <c r="CS123" i="2"/>
  <c r="CS108" i="2"/>
  <c r="CS98" i="2"/>
  <c r="CS89" i="2"/>
  <c r="CS85" i="2"/>
  <c r="CS81" i="2"/>
  <c r="CS76" i="2"/>
  <c r="CS71" i="2"/>
  <c r="CS68" i="2"/>
  <c r="CS59" i="2"/>
  <c r="CS63" i="2"/>
  <c r="CS62" i="2"/>
  <c r="CS60" i="2"/>
  <c r="CS66" i="2"/>
  <c r="CS65" i="2"/>
  <c r="CS75" i="2"/>
  <c r="CS69" i="2"/>
  <c r="CS67" i="2"/>
  <c r="CS64" i="2"/>
  <c r="CS61" i="2"/>
  <c r="CS58" i="2"/>
  <c r="AU78" i="6"/>
  <c r="AU78" i="5"/>
  <c r="CU53" i="2"/>
  <c r="CG53" i="2"/>
  <c r="CW53" i="2"/>
  <c r="CI53" i="2"/>
  <c r="CU51" i="2"/>
  <c r="CG51" i="2"/>
  <c r="CK134" i="2"/>
  <c r="CK137" i="2"/>
  <c r="CK131" i="2"/>
  <c r="CK125" i="2"/>
  <c r="CK122" i="2"/>
  <c r="CK121" i="2"/>
  <c r="CK120" i="2"/>
  <c r="CK119" i="2"/>
  <c r="CK118" i="2"/>
  <c r="CK117" i="2"/>
  <c r="CK116" i="2"/>
  <c r="CK115" i="2"/>
  <c r="CK114" i="2"/>
  <c r="CK113" i="2"/>
  <c r="CK112" i="2"/>
  <c r="CK111" i="2"/>
  <c r="CK105" i="2"/>
  <c r="CO140" i="2"/>
  <c r="CK136" i="2"/>
  <c r="CK129" i="2"/>
  <c r="CK107" i="2"/>
  <c r="CK101" i="2"/>
  <c r="CO141" i="2"/>
  <c r="CO138" i="2"/>
  <c r="CK108" i="2"/>
  <c r="CK102" i="2"/>
  <c r="CK97" i="2"/>
  <c r="CK127" i="2"/>
  <c r="CK135" i="2"/>
  <c r="CK133" i="2"/>
  <c r="CK132" i="2"/>
  <c r="CK126" i="2"/>
  <c r="CK124" i="2"/>
  <c r="CK91" i="2"/>
  <c r="CK87" i="2"/>
  <c r="CK83" i="2"/>
  <c r="CK79" i="2"/>
  <c r="CK123" i="2"/>
  <c r="CK106" i="2"/>
  <c r="CK94" i="2"/>
  <c r="CK65" i="2"/>
  <c r="CK103" i="2"/>
  <c r="CK96" i="2"/>
  <c r="CK92" i="2"/>
  <c r="CK88" i="2"/>
  <c r="CK84" i="2"/>
  <c r="CK80" i="2"/>
  <c r="CK98" i="2"/>
  <c r="CK75" i="2"/>
  <c r="CK110" i="2"/>
  <c r="CK100" i="2"/>
  <c r="CK89" i="2"/>
  <c r="CK85" i="2"/>
  <c r="CK81" i="2"/>
  <c r="CK76" i="2"/>
  <c r="CK130" i="2"/>
  <c r="CK95" i="2"/>
  <c r="CK93" i="2"/>
  <c r="CO139" i="2"/>
  <c r="CK128" i="2"/>
  <c r="CK77" i="2"/>
  <c r="CK90" i="2"/>
  <c r="CK86" i="2"/>
  <c r="CK82" i="2"/>
  <c r="CK109" i="2"/>
  <c r="CK104" i="2"/>
  <c r="CK78" i="2"/>
  <c r="CK99" i="2"/>
  <c r="CK74" i="2"/>
  <c r="CK73" i="2"/>
  <c r="CK69" i="2"/>
  <c r="CK62" i="2"/>
  <c r="CK60" i="2"/>
  <c r="CK70" i="2"/>
  <c r="CK67" i="2"/>
  <c r="CK66" i="2"/>
  <c r="CK71" i="2"/>
  <c r="CK64" i="2"/>
  <c r="CK61" i="2"/>
  <c r="CK58" i="2"/>
  <c r="CK72" i="2"/>
  <c r="CK68" i="2"/>
  <c r="CK59" i="2"/>
  <c r="CK63" i="2"/>
  <c r="CK140" i="2"/>
  <c r="CI137" i="2"/>
  <c r="CI135" i="2"/>
  <c r="CK142" i="2"/>
  <c r="CI132" i="2"/>
  <c r="CI126" i="2"/>
  <c r="CI98" i="2"/>
  <c r="CI94" i="2"/>
  <c r="CK139" i="2"/>
  <c r="CI110" i="2"/>
  <c r="CI104" i="2"/>
  <c r="CI122" i="2"/>
  <c r="CI121" i="2"/>
  <c r="CI120" i="2"/>
  <c r="CI119" i="2"/>
  <c r="CI130" i="2"/>
  <c r="CI124" i="2"/>
  <c r="CI123" i="2"/>
  <c r="CI106" i="2"/>
  <c r="CI100" i="2"/>
  <c r="CI136" i="2"/>
  <c r="CI107" i="2"/>
  <c r="CI101" i="2"/>
  <c r="CK141" i="2"/>
  <c r="CI128" i="2"/>
  <c r="CK138" i="2"/>
  <c r="CI134" i="2"/>
  <c r="CI127" i="2"/>
  <c r="CI109" i="2"/>
  <c r="CI78" i="2"/>
  <c r="CI113" i="2"/>
  <c r="CI99" i="2"/>
  <c r="CI71" i="2"/>
  <c r="CI118" i="2"/>
  <c r="CI91" i="2"/>
  <c r="CI87" i="2"/>
  <c r="CI83" i="2"/>
  <c r="CI79" i="2"/>
  <c r="CI111" i="2"/>
  <c r="CK143" i="2"/>
  <c r="CI116" i="2"/>
  <c r="CI108" i="2"/>
  <c r="CI103" i="2"/>
  <c r="CI96" i="2"/>
  <c r="CI73" i="2"/>
  <c r="CI133" i="2"/>
  <c r="CI92" i="2"/>
  <c r="CI88" i="2"/>
  <c r="CI84" i="2"/>
  <c r="CI80" i="2"/>
  <c r="CI74" i="2"/>
  <c r="CI114" i="2"/>
  <c r="CI131" i="2"/>
  <c r="CI105" i="2"/>
  <c r="CI75" i="2"/>
  <c r="CI129" i="2"/>
  <c r="CI112" i="2"/>
  <c r="CI102" i="2"/>
  <c r="CI89" i="2"/>
  <c r="CI85" i="2"/>
  <c r="CI81" i="2"/>
  <c r="CI76" i="2"/>
  <c r="CI117" i="2"/>
  <c r="CI95" i="2"/>
  <c r="CI93" i="2"/>
  <c r="CI77" i="2"/>
  <c r="CI125" i="2"/>
  <c r="CI115" i="2"/>
  <c r="CI97" i="2"/>
  <c r="CI90" i="2"/>
  <c r="CI86" i="2"/>
  <c r="CI82" i="2"/>
  <c r="CI59" i="2"/>
  <c r="CI63" i="2"/>
  <c r="CI69" i="2"/>
  <c r="CI62" i="2"/>
  <c r="CI60" i="2"/>
  <c r="CI70" i="2"/>
  <c r="CI65" i="2"/>
  <c r="CI67" i="2"/>
  <c r="CI66" i="2"/>
  <c r="CI64" i="2"/>
  <c r="CI72" i="2"/>
  <c r="CI61" i="2"/>
  <c r="CI58" i="2"/>
  <c r="CI68" i="2"/>
  <c r="CZ52" i="2"/>
  <c r="AI49" i="2" s="1"/>
  <c r="AL15" i="2" s="1"/>
  <c r="CL52" i="2"/>
  <c r="CY51" i="2"/>
  <c r="CK51" i="2"/>
  <c r="BI39" i="2"/>
  <c r="AG36" i="2" s="1"/>
  <c r="BI40" i="2"/>
  <c r="AG37" i="2" s="1"/>
  <c r="BM60" i="2"/>
  <c r="Y28" i="2"/>
  <c r="AB28" i="2" s="1"/>
  <c r="Y21" i="2"/>
  <c r="R21" i="2"/>
  <c r="DA137" i="2"/>
  <c r="CQ128" i="2"/>
  <c r="DA141" i="2"/>
  <c r="DA130" i="2"/>
  <c r="DA124" i="2"/>
  <c r="CQ108" i="2"/>
  <c r="CQ102" i="2"/>
  <c r="CQ135" i="2"/>
  <c r="CQ134" i="2"/>
  <c r="DA129" i="2"/>
  <c r="DA136" i="2"/>
  <c r="CQ133" i="2"/>
  <c r="CQ126" i="2"/>
  <c r="DA139" i="2"/>
  <c r="CQ132" i="2"/>
  <c r="DA128" i="2"/>
  <c r="CQ110" i="2"/>
  <c r="CQ104" i="2"/>
  <c r="CQ137" i="2"/>
  <c r="DA127" i="2"/>
  <c r="CQ122" i="2"/>
  <c r="CQ121" i="2"/>
  <c r="CQ120" i="2"/>
  <c r="CQ119" i="2"/>
  <c r="CQ118" i="2"/>
  <c r="CQ117" i="2"/>
  <c r="CQ116" i="2"/>
  <c r="CQ115" i="2"/>
  <c r="CQ114" i="2"/>
  <c r="CQ113" i="2"/>
  <c r="CQ112" i="2"/>
  <c r="CQ111" i="2"/>
  <c r="CQ105" i="2"/>
  <c r="CQ99" i="2"/>
  <c r="CQ95" i="2"/>
  <c r="CQ130" i="2"/>
  <c r="DA140" i="2"/>
  <c r="DA135" i="2"/>
  <c r="DA134" i="2"/>
  <c r="DA133" i="2"/>
  <c r="DA126" i="2"/>
  <c r="DA132" i="2"/>
  <c r="CQ129" i="2"/>
  <c r="CQ98" i="2"/>
  <c r="CQ89" i="2"/>
  <c r="CQ85" i="2"/>
  <c r="CQ81" i="2"/>
  <c r="CQ76" i="2"/>
  <c r="CQ100" i="2"/>
  <c r="CQ136" i="2"/>
  <c r="CQ93" i="2"/>
  <c r="CQ77" i="2"/>
  <c r="DA131" i="2"/>
  <c r="CQ90" i="2"/>
  <c r="CQ86" i="2"/>
  <c r="CQ82" i="2"/>
  <c r="CQ78" i="2"/>
  <c r="CQ131" i="2"/>
  <c r="CQ107" i="2"/>
  <c r="CQ97" i="2"/>
  <c r="CQ71" i="2"/>
  <c r="CQ127" i="2"/>
  <c r="DA125" i="2"/>
  <c r="CQ109" i="2"/>
  <c r="CQ91" i="2"/>
  <c r="CQ87" i="2"/>
  <c r="CQ83" i="2"/>
  <c r="CQ79" i="2"/>
  <c r="CQ72" i="2"/>
  <c r="CQ125" i="2"/>
  <c r="CQ94" i="2"/>
  <c r="DA138" i="2"/>
  <c r="CQ106" i="2"/>
  <c r="CQ101" i="2"/>
  <c r="CQ92" i="2"/>
  <c r="CQ88" i="2"/>
  <c r="CQ84" i="2"/>
  <c r="CQ80" i="2"/>
  <c r="CQ124" i="2"/>
  <c r="CQ103" i="2"/>
  <c r="CQ96" i="2"/>
  <c r="CQ123" i="2"/>
  <c r="CQ70" i="2"/>
  <c r="CQ64" i="2"/>
  <c r="CQ61" i="2"/>
  <c r="CQ58" i="2"/>
  <c r="CQ68" i="2"/>
  <c r="CQ59" i="2"/>
  <c r="CQ63" i="2"/>
  <c r="CQ62" i="2"/>
  <c r="CQ60" i="2"/>
  <c r="CQ74" i="2"/>
  <c r="CQ75" i="2"/>
  <c r="CQ73" i="2"/>
  <c r="CQ69" i="2"/>
  <c r="CQ67" i="2"/>
  <c r="CQ66" i="2"/>
  <c r="CQ65" i="2"/>
  <c r="CU137" i="2"/>
  <c r="CU135" i="2"/>
  <c r="CU133" i="2"/>
  <c r="CU126" i="2"/>
  <c r="CU98" i="2"/>
  <c r="CU94" i="2"/>
  <c r="CU132" i="2"/>
  <c r="CU110" i="2"/>
  <c r="CU104" i="2"/>
  <c r="CU122" i="2"/>
  <c r="CU121" i="2"/>
  <c r="CU120" i="2"/>
  <c r="CU119" i="2"/>
  <c r="CU118" i="2"/>
  <c r="CU130" i="2"/>
  <c r="CU124" i="2"/>
  <c r="CU123" i="2"/>
  <c r="CU106" i="2"/>
  <c r="CU100" i="2"/>
  <c r="CU136" i="2"/>
  <c r="CU107" i="2"/>
  <c r="CU101" i="2"/>
  <c r="CU128" i="2"/>
  <c r="CU127" i="2"/>
  <c r="CU112" i="2"/>
  <c r="CU102" i="2"/>
  <c r="CU95" i="2"/>
  <c r="CU78" i="2"/>
  <c r="CU117" i="2"/>
  <c r="CU71" i="2"/>
  <c r="CU97" i="2"/>
  <c r="CU91" i="2"/>
  <c r="CU87" i="2"/>
  <c r="CU83" i="2"/>
  <c r="CU79" i="2"/>
  <c r="CU134" i="2"/>
  <c r="CU115" i="2"/>
  <c r="CU131" i="2"/>
  <c r="CU109" i="2"/>
  <c r="CU99" i="2"/>
  <c r="CU73" i="2"/>
  <c r="CU129" i="2"/>
  <c r="CU113" i="2"/>
  <c r="CU92" i="2"/>
  <c r="CU88" i="2"/>
  <c r="CU84" i="2"/>
  <c r="CU80" i="2"/>
  <c r="CU74" i="2"/>
  <c r="CU125" i="2"/>
  <c r="CU111" i="2"/>
  <c r="CU96" i="2"/>
  <c r="CU75" i="2"/>
  <c r="CU116" i="2"/>
  <c r="CU108" i="2"/>
  <c r="CU103" i="2"/>
  <c r="CU89" i="2"/>
  <c r="CU85" i="2"/>
  <c r="CU81" i="2"/>
  <c r="CU76" i="2"/>
  <c r="CU114" i="2"/>
  <c r="CU77" i="2"/>
  <c r="CU105" i="2"/>
  <c r="CU93" i="2"/>
  <c r="CU90" i="2"/>
  <c r="CU86" i="2"/>
  <c r="CU82" i="2"/>
  <c r="CU68" i="2"/>
  <c r="CU59" i="2"/>
  <c r="CU63" i="2"/>
  <c r="CU72" i="2"/>
  <c r="CU62" i="2"/>
  <c r="CU60" i="2"/>
  <c r="CU65" i="2"/>
  <c r="CU69" i="2"/>
  <c r="CU67" i="2"/>
  <c r="CU66" i="2"/>
  <c r="CU64" i="2"/>
  <c r="CU70" i="2"/>
  <c r="CU61" i="2"/>
  <c r="CU58" i="2"/>
  <c r="CW50" i="2"/>
  <c r="CI50" i="2"/>
  <c r="CU50" i="2"/>
  <c r="CG50" i="2"/>
  <c r="AX58" i="2"/>
  <c r="CV51" i="2"/>
  <c r="CH51" i="2"/>
  <c r="AF78" i="6"/>
  <c r="AF78" i="5"/>
  <c r="BF3" i="2"/>
  <c r="AU3" i="2"/>
  <c r="AW3" i="2" s="1"/>
  <c r="CW51" i="2"/>
  <c r="CI51" i="2"/>
  <c r="AU11" i="2"/>
  <c r="AW11" i="2" s="1"/>
  <c r="BF11" i="2"/>
  <c r="AY58" i="2"/>
  <c r="B60" i="5"/>
  <c r="B60" i="6"/>
  <c r="CW138" i="2"/>
  <c r="CO136" i="2"/>
  <c r="CO132" i="2"/>
  <c r="CW132" i="2"/>
  <c r="CO129" i="2"/>
  <c r="CO96" i="2"/>
  <c r="CW131" i="2"/>
  <c r="CW125" i="2"/>
  <c r="CO107" i="2"/>
  <c r="CO101" i="2"/>
  <c r="CW141" i="2"/>
  <c r="CW130" i="2"/>
  <c r="CW124" i="2"/>
  <c r="CO127" i="2"/>
  <c r="CO135" i="2"/>
  <c r="CO134" i="2"/>
  <c r="CW129" i="2"/>
  <c r="CO109" i="2"/>
  <c r="CO103" i="2"/>
  <c r="CW136" i="2"/>
  <c r="CW139" i="2"/>
  <c r="CW128" i="2"/>
  <c r="CO110" i="2"/>
  <c r="CO104" i="2"/>
  <c r="CO137" i="2"/>
  <c r="CO131" i="2"/>
  <c r="CW127" i="2"/>
  <c r="CW134" i="2"/>
  <c r="CO130" i="2"/>
  <c r="CO124" i="2"/>
  <c r="CO123" i="2"/>
  <c r="CO116" i="2"/>
  <c r="CO108" i="2"/>
  <c r="CO122" i="2"/>
  <c r="CO98" i="2"/>
  <c r="CO75" i="2"/>
  <c r="CW133" i="2"/>
  <c r="CO114" i="2"/>
  <c r="CO89" i="2"/>
  <c r="CO85" i="2"/>
  <c r="CO81" i="2"/>
  <c r="CO76" i="2"/>
  <c r="CO121" i="2"/>
  <c r="CO105" i="2"/>
  <c r="CO100" i="2"/>
  <c r="CW135" i="2"/>
  <c r="CO133" i="2"/>
  <c r="CO112" i="2"/>
  <c r="CO102" i="2"/>
  <c r="CO95" i="2"/>
  <c r="CO93" i="2"/>
  <c r="CO77" i="2"/>
  <c r="CW126" i="2"/>
  <c r="CO120" i="2"/>
  <c r="CO117" i="2"/>
  <c r="CO90" i="2"/>
  <c r="CO86" i="2"/>
  <c r="CO82" i="2"/>
  <c r="CO70" i="2"/>
  <c r="CW140" i="2"/>
  <c r="CO78" i="2"/>
  <c r="CO128" i="2"/>
  <c r="CO126" i="2"/>
  <c r="CO119" i="2"/>
  <c r="CO115" i="2"/>
  <c r="CO97" i="2"/>
  <c r="CO71" i="2"/>
  <c r="CO99" i="2"/>
  <c r="CO91" i="2"/>
  <c r="CO87" i="2"/>
  <c r="CO83" i="2"/>
  <c r="CO79" i="2"/>
  <c r="CO125" i="2"/>
  <c r="CO113" i="2"/>
  <c r="CO94" i="2"/>
  <c r="CO118" i="2"/>
  <c r="CW137" i="2"/>
  <c r="CO111" i="2"/>
  <c r="CO106" i="2"/>
  <c r="CO92" i="2"/>
  <c r="CO88" i="2"/>
  <c r="CO84" i="2"/>
  <c r="CO80" i="2"/>
  <c r="CO73" i="2"/>
  <c r="CO69" i="2"/>
  <c r="CO67" i="2"/>
  <c r="CO66" i="2"/>
  <c r="CO65" i="2"/>
  <c r="CO64" i="2"/>
  <c r="CO61" i="2"/>
  <c r="CO58" i="2"/>
  <c r="CO72" i="2"/>
  <c r="CO68" i="2"/>
  <c r="CO59" i="2"/>
  <c r="CO63" i="2"/>
  <c r="CO74" i="2"/>
  <c r="CO62" i="2"/>
  <c r="CO60" i="2"/>
  <c r="CM139" i="2"/>
  <c r="CJ110" i="2"/>
  <c r="CJ104" i="2"/>
  <c r="CJ137" i="2"/>
  <c r="CJ131" i="2"/>
  <c r="CJ125" i="2"/>
  <c r="CJ130" i="2"/>
  <c r="CJ124" i="2"/>
  <c r="CJ123" i="2"/>
  <c r="CM140" i="2"/>
  <c r="CJ136" i="2"/>
  <c r="CJ129" i="2"/>
  <c r="CJ96" i="2"/>
  <c r="CM141" i="2"/>
  <c r="CJ128" i="2"/>
  <c r="CM138" i="2"/>
  <c r="CJ134" i="2"/>
  <c r="CJ127" i="2"/>
  <c r="CJ135" i="2"/>
  <c r="CJ133" i="2"/>
  <c r="CJ113" i="2"/>
  <c r="CJ99" i="2"/>
  <c r="CJ118" i="2"/>
  <c r="CJ101" i="2"/>
  <c r="CJ91" i="2"/>
  <c r="CJ87" i="2"/>
  <c r="CJ83" i="2"/>
  <c r="CJ79" i="2"/>
  <c r="CJ72" i="2"/>
  <c r="CJ111" i="2"/>
  <c r="CJ106" i="2"/>
  <c r="CJ94" i="2"/>
  <c r="CJ122" i="2"/>
  <c r="CJ116" i="2"/>
  <c r="CJ108" i="2"/>
  <c r="CJ103" i="2"/>
  <c r="CJ92" i="2"/>
  <c r="CJ88" i="2"/>
  <c r="CJ84" i="2"/>
  <c r="CJ80" i="2"/>
  <c r="CJ74" i="2"/>
  <c r="CJ132" i="2"/>
  <c r="CJ121" i="2"/>
  <c r="CJ114" i="2"/>
  <c r="CJ98" i="2"/>
  <c r="CJ105" i="2"/>
  <c r="CJ75" i="2"/>
  <c r="CJ120" i="2"/>
  <c r="CJ112" i="2"/>
  <c r="CJ102" i="2"/>
  <c r="CJ100" i="2"/>
  <c r="CJ89" i="2"/>
  <c r="CJ85" i="2"/>
  <c r="CJ81" i="2"/>
  <c r="CJ76" i="2"/>
  <c r="CJ126" i="2"/>
  <c r="CJ117" i="2"/>
  <c r="CJ95" i="2"/>
  <c r="CJ93" i="2"/>
  <c r="CJ107" i="2"/>
  <c r="CJ119" i="2"/>
  <c r="CJ115" i="2"/>
  <c r="CJ97" i="2"/>
  <c r="CJ90" i="2"/>
  <c r="CJ86" i="2"/>
  <c r="CJ82" i="2"/>
  <c r="CJ109" i="2"/>
  <c r="CJ78" i="2"/>
  <c r="CJ63" i="2"/>
  <c r="CJ73" i="2"/>
  <c r="CJ69" i="2"/>
  <c r="CJ62" i="2"/>
  <c r="CJ60" i="2"/>
  <c r="CJ70" i="2"/>
  <c r="CJ65" i="2"/>
  <c r="CJ67" i="2"/>
  <c r="CJ66" i="2"/>
  <c r="CJ71" i="2"/>
  <c r="CJ77" i="2"/>
  <c r="CJ64" i="2"/>
  <c r="CJ61" i="2"/>
  <c r="CJ58" i="2"/>
  <c r="CJ68" i="2"/>
  <c r="CJ59" i="2"/>
  <c r="BI52" i="2"/>
  <c r="AG49" i="2" s="1"/>
  <c r="CY54" i="2"/>
  <c r="CK54" i="2"/>
  <c r="CV110" i="2"/>
  <c r="CV104" i="2"/>
  <c r="CV123" i="2"/>
  <c r="CV96" i="2"/>
  <c r="CV92" i="2"/>
  <c r="CV121" i="2"/>
  <c r="CV117" i="2"/>
  <c r="CV107" i="2"/>
  <c r="CV97" i="2"/>
  <c r="CV91" i="2"/>
  <c r="CV87" i="2"/>
  <c r="CV83" i="2"/>
  <c r="CV79" i="2"/>
  <c r="CV72" i="2"/>
  <c r="CV120" i="2"/>
  <c r="CV115" i="2"/>
  <c r="CV109" i="2"/>
  <c r="CV99" i="2"/>
  <c r="CV119" i="2"/>
  <c r="CV113" i="2"/>
  <c r="CV94" i="2"/>
  <c r="CV88" i="2"/>
  <c r="CV84" i="2"/>
  <c r="CV80" i="2"/>
  <c r="CV74" i="2"/>
  <c r="CV101" i="2"/>
  <c r="CV111" i="2"/>
  <c r="CV106" i="2"/>
  <c r="CV75" i="2"/>
  <c r="CV118" i="2"/>
  <c r="CV116" i="2"/>
  <c r="CV108" i="2"/>
  <c r="CV103" i="2"/>
  <c r="CV89" i="2"/>
  <c r="CV85" i="2"/>
  <c r="CV81" i="2"/>
  <c r="CV76" i="2"/>
  <c r="CV98" i="2"/>
  <c r="CV114" i="2"/>
  <c r="CV122" i="2"/>
  <c r="CV105" i="2"/>
  <c r="CV100" i="2"/>
  <c r="CV93" i="2"/>
  <c r="CV90" i="2"/>
  <c r="CV86" i="2"/>
  <c r="CV82" i="2"/>
  <c r="CV112" i="2"/>
  <c r="CV102" i="2"/>
  <c r="CV95" i="2"/>
  <c r="CV78" i="2"/>
  <c r="CV63" i="2"/>
  <c r="CV62" i="2"/>
  <c r="CV60" i="2"/>
  <c r="CV65" i="2"/>
  <c r="CV77" i="2"/>
  <c r="CV69" i="2"/>
  <c r="CV67" i="2"/>
  <c r="CV66" i="2"/>
  <c r="CV64" i="2"/>
  <c r="CV70" i="2"/>
  <c r="CV61" i="2"/>
  <c r="CV58" i="2"/>
  <c r="CV73" i="2"/>
  <c r="CV71" i="2"/>
  <c r="CV68" i="2"/>
  <c r="CV59" i="2"/>
  <c r="B84" i="6"/>
  <c r="B84" i="5"/>
  <c r="B108" i="6"/>
  <c r="B108" i="5"/>
  <c r="CU45" i="2"/>
  <c r="AI42" i="2" s="1"/>
  <c r="AL8" i="2" s="1"/>
  <c r="CG45" i="2"/>
  <c r="BI45" i="2" s="1"/>
  <c r="AG42" i="2" s="1"/>
  <c r="CU42" i="2"/>
  <c r="AI39" i="2" s="1"/>
  <c r="AL5" i="2" s="1"/>
  <c r="CG42" i="2"/>
  <c r="BI42" i="2" s="1"/>
  <c r="AG39" i="2" s="1"/>
  <c r="CH133" i="2"/>
  <c r="CH109" i="2"/>
  <c r="CH103" i="2"/>
  <c r="CH132" i="2"/>
  <c r="CH126" i="2"/>
  <c r="CH131" i="2"/>
  <c r="CH125" i="2"/>
  <c r="CH122" i="2"/>
  <c r="CH121" i="2"/>
  <c r="CH120" i="2"/>
  <c r="CH119" i="2"/>
  <c r="CH130" i="2"/>
  <c r="CH124" i="2"/>
  <c r="CH123" i="2"/>
  <c r="CH136" i="2"/>
  <c r="CH129" i="2"/>
  <c r="CH96" i="2"/>
  <c r="CH128" i="2"/>
  <c r="CI138" i="2"/>
  <c r="CH115" i="2"/>
  <c r="CH97" i="2"/>
  <c r="CH90" i="2"/>
  <c r="CH86" i="2"/>
  <c r="CH82" i="2"/>
  <c r="CH137" i="2"/>
  <c r="CH78" i="2"/>
  <c r="CH66" i="2"/>
  <c r="CH113" i="2"/>
  <c r="CH101" i="2"/>
  <c r="CH99" i="2"/>
  <c r="CH118" i="2"/>
  <c r="CH106" i="2"/>
  <c r="CH94" i="2"/>
  <c r="CH91" i="2"/>
  <c r="CH87" i="2"/>
  <c r="CH83" i="2"/>
  <c r="CH79" i="2"/>
  <c r="CH111" i="2"/>
  <c r="CH134" i="2"/>
  <c r="CH116" i="2"/>
  <c r="CH108" i="2"/>
  <c r="CH73" i="2"/>
  <c r="CH135" i="2"/>
  <c r="CH98" i="2"/>
  <c r="CH92" i="2"/>
  <c r="CH88" i="2"/>
  <c r="CH84" i="2"/>
  <c r="CH80" i="2"/>
  <c r="CH74" i="2"/>
  <c r="CH114" i="2"/>
  <c r="CH110" i="2"/>
  <c r="CH127" i="2"/>
  <c r="CH105" i="2"/>
  <c r="CH100" i="2"/>
  <c r="CH112" i="2"/>
  <c r="CH102" i="2"/>
  <c r="CH89" i="2"/>
  <c r="CH85" i="2"/>
  <c r="CH81" i="2"/>
  <c r="CH117" i="2"/>
  <c r="CH107" i="2"/>
  <c r="CH95" i="2"/>
  <c r="CH93" i="2"/>
  <c r="CH104" i="2"/>
  <c r="CH77" i="2"/>
  <c r="CH75" i="2"/>
  <c r="CH59" i="2"/>
  <c r="CH63" i="2"/>
  <c r="CH76" i="2"/>
  <c r="CH69" i="2"/>
  <c r="CH62" i="2"/>
  <c r="CH60" i="2"/>
  <c r="CH70" i="2"/>
  <c r="CH65" i="2"/>
  <c r="CH71" i="2"/>
  <c r="CH67" i="2"/>
  <c r="CH64" i="2"/>
  <c r="CH72" i="2"/>
  <c r="CH61" i="2"/>
  <c r="CH58" i="2"/>
  <c r="CH68" i="2"/>
  <c r="CV50" i="2"/>
  <c r="CH50" i="2"/>
  <c r="CU49" i="2"/>
  <c r="AI46" i="2" s="1"/>
  <c r="AL12" i="2" s="1"/>
  <c r="CG49" i="2"/>
  <c r="BI49" i="2" s="1"/>
  <c r="AG46" i="2" s="1"/>
  <c r="CU43" i="2"/>
  <c r="AI40" i="2" s="1"/>
  <c r="AL6" i="2" s="1"/>
  <c r="CG43" i="2"/>
  <c r="BI43" i="2" s="1"/>
  <c r="AG40" i="2" s="1"/>
  <c r="AW2" i="2"/>
  <c r="AV2" i="2"/>
  <c r="O2" i="2" s="1"/>
  <c r="CQ141" i="2"/>
  <c r="CL122" i="2"/>
  <c r="CL121" i="2"/>
  <c r="CL120" i="2"/>
  <c r="CL119" i="2"/>
  <c r="CL118" i="2"/>
  <c r="CL117" i="2"/>
  <c r="CL116" i="2"/>
  <c r="CL115" i="2"/>
  <c r="CL114" i="2"/>
  <c r="CL113" i="2"/>
  <c r="CL112" i="2"/>
  <c r="CL111" i="2"/>
  <c r="CL105" i="2"/>
  <c r="CL99" i="2"/>
  <c r="CL95" i="2"/>
  <c r="CL130" i="2"/>
  <c r="CL124" i="2"/>
  <c r="CL123" i="2"/>
  <c r="CL136" i="2"/>
  <c r="CL129" i="2"/>
  <c r="CL128" i="2"/>
  <c r="CQ138" i="2"/>
  <c r="CL127" i="2"/>
  <c r="CL135" i="2"/>
  <c r="CL134" i="2"/>
  <c r="CL133" i="2"/>
  <c r="CL132" i="2"/>
  <c r="CL126" i="2"/>
  <c r="CQ139" i="2"/>
  <c r="CL137" i="2"/>
  <c r="CL106" i="2"/>
  <c r="CL101" i="2"/>
  <c r="CL94" i="2"/>
  <c r="CL103" i="2"/>
  <c r="CL73" i="2"/>
  <c r="CL108" i="2"/>
  <c r="CL96" i="2"/>
  <c r="CL92" i="2"/>
  <c r="CL88" i="2"/>
  <c r="CL84" i="2"/>
  <c r="CL80" i="2"/>
  <c r="CL98" i="2"/>
  <c r="CL75" i="2"/>
  <c r="CL110" i="2"/>
  <c r="CL100" i="2"/>
  <c r="CL89" i="2"/>
  <c r="CL85" i="2"/>
  <c r="CL81" i="2"/>
  <c r="CL76" i="2"/>
  <c r="CL131" i="2"/>
  <c r="CL102" i="2"/>
  <c r="CL93" i="2"/>
  <c r="CQ140" i="2"/>
  <c r="CL77" i="2"/>
  <c r="CL69" i="2"/>
  <c r="CL68" i="2"/>
  <c r="CL107" i="2"/>
  <c r="CL90" i="2"/>
  <c r="CL86" i="2"/>
  <c r="CL82" i="2"/>
  <c r="CL109" i="2"/>
  <c r="CL104" i="2"/>
  <c r="CL97" i="2"/>
  <c r="CL125" i="2"/>
  <c r="CL91" i="2"/>
  <c r="CL87" i="2"/>
  <c r="CL83" i="2"/>
  <c r="CL79" i="2"/>
  <c r="CL78" i="2"/>
  <c r="CL62" i="2"/>
  <c r="CL60" i="2"/>
  <c r="CL70" i="2"/>
  <c r="CL67" i="2"/>
  <c r="CL66" i="2"/>
  <c r="CL65" i="2"/>
  <c r="CL71" i="2"/>
  <c r="CL64" i="2"/>
  <c r="CL61" i="2"/>
  <c r="CL58" i="2"/>
  <c r="CL72" i="2"/>
  <c r="CL59" i="2"/>
  <c r="CL63" i="2"/>
  <c r="CL74" i="2"/>
  <c r="CV53" i="2"/>
  <c r="CH53" i="2"/>
  <c r="BI48" i="2"/>
  <c r="AG45" i="2" s="1"/>
  <c r="CM133" i="2"/>
  <c r="CM130" i="2"/>
  <c r="CM124" i="2"/>
  <c r="CM123" i="2"/>
  <c r="CS140" i="2"/>
  <c r="CM106" i="2"/>
  <c r="CM128" i="2"/>
  <c r="CS141" i="2"/>
  <c r="CS138" i="2"/>
  <c r="CM108" i="2"/>
  <c r="CM102" i="2"/>
  <c r="CM97" i="2"/>
  <c r="CM93" i="2"/>
  <c r="CM135" i="2"/>
  <c r="CM134" i="2"/>
  <c r="CM109" i="2"/>
  <c r="CM103" i="2"/>
  <c r="CM132" i="2"/>
  <c r="CM126" i="2"/>
  <c r="CS139" i="2"/>
  <c r="CM137" i="2"/>
  <c r="CM131" i="2"/>
  <c r="CM125" i="2"/>
  <c r="CM118" i="2"/>
  <c r="CM73" i="2"/>
  <c r="CM111" i="2"/>
  <c r="CM96" i="2"/>
  <c r="CM92" i="2"/>
  <c r="CM88" i="2"/>
  <c r="CM84" i="2"/>
  <c r="CM80" i="2"/>
  <c r="CM74" i="2"/>
  <c r="CM122" i="2"/>
  <c r="CM116" i="2"/>
  <c r="CM98" i="2"/>
  <c r="CM136" i="2"/>
  <c r="CM121" i="2"/>
  <c r="CM114" i="2"/>
  <c r="CM110" i="2"/>
  <c r="CM100" i="2"/>
  <c r="CM89" i="2"/>
  <c r="CM85" i="2"/>
  <c r="CM81" i="2"/>
  <c r="CM76" i="2"/>
  <c r="CM105" i="2"/>
  <c r="CM120" i="2"/>
  <c r="CM112" i="2"/>
  <c r="CM95" i="2"/>
  <c r="CM77" i="2"/>
  <c r="CM129" i="2"/>
  <c r="CM127" i="2"/>
  <c r="CM117" i="2"/>
  <c r="CM107" i="2"/>
  <c r="CM90" i="2"/>
  <c r="CM86" i="2"/>
  <c r="CM82" i="2"/>
  <c r="CM70" i="2"/>
  <c r="CM104" i="2"/>
  <c r="CM78" i="2"/>
  <c r="CM119" i="2"/>
  <c r="CM115" i="2"/>
  <c r="CM99" i="2"/>
  <c r="CM91" i="2"/>
  <c r="CM87" i="2"/>
  <c r="CM83" i="2"/>
  <c r="CM79" i="2"/>
  <c r="CM113" i="2"/>
  <c r="CM101" i="2"/>
  <c r="CM94" i="2"/>
  <c r="CM62" i="2"/>
  <c r="CM60" i="2"/>
  <c r="CM69" i="2"/>
  <c r="CM67" i="2"/>
  <c r="CM66" i="2"/>
  <c r="CM65" i="2"/>
  <c r="CM71" i="2"/>
  <c r="CM64" i="2"/>
  <c r="CM61" i="2"/>
  <c r="CM58" i="2"/>
  <c r="CM72" i="2"/>
  <c r="CM68" i="2"/>
  <c r="CM59" i="2"/>
  <c r="CM63" i="2"/>
  <c r="CM75" i="2"/>
  <c r="CR108" i="2"/>
  <c r="CR102" i="2"/>
  <c r="CR97" i="2"/>
  <c r="CR93" i="2"/>
  <c r="CR127" i="2"/>
  <c r="CR133" i="2"/>
  <c r="CR126" i="2"/>
  <c r="CR132" i="2"/>
  <c r="CR137" i="2"/>
  <c r="CR131" i="2"/>
  <c r="CR125" i="2"/>
  <c r="CR130" i="2"/>
  <c r="CR124" i="2"/>
  <c r="CR123" i="2"/>
  <c r="CR129" i="2"/>
  <c r="CR136" i="2"/>
  <c r="CR114" i="2"/>
  <c r="CR100" i="2"/>
  <c r="CR121" i="2"/>
  <c r="CR110" i="2"/>
  <c r="CR105" i="2"/>
  <c r="CR77" i="2"/>
  <c r="CR69" i="2"/>
  <c r="CR68" i="2"/>
  <c r="CR67" i="2"/>
  <c r="CR112" i="2"/>
  <c r="CR95" i="2"/>
  <c r="CR90" i="2"/>
  <c r="CR86" i="2"/>
  <c r="CR82" i="2"/>
  <c r="CR120" i="2"/>
  <c r="CR117" i="2"/>
  <c r="CR78" i="2"/>
  <c r="CR134" i="2"/>
  <c r="CR107" i="2"/>
  <c r="CR135" i="2"/>
  <c r="CR119" i="2"/>
  <c r="CR115" i="2"/>
  <c r="CR109" i="2"/>
  <c r="CR104" i="2"/>
  <c r="CR91" i="2"/>
  <c r="CR87" i="2"/>
  <c r="CR83" i="2"/>
  <c r="CR79" i="2"/>
  <c r="CR72" i="2"/>
  <c r="CR128" i="2"/>
  <c r="CR99" i="2"/>
  <c r="CR113" i="2"/>
  <c r="CR94" i="2"/>
  <c r="CR73" i="2"/>
  <c r="CR118" i="2"/>
  <c r="CR106" i="2"/>
  <c r="CR101" i="2"/>
  <c r="CR92" i="2"/>
  <c r="CR88" i="2"/>
  <c r="CR84" i="2"/>
  <c r="CR80" i="2"/>
  <c r="CR111" i="2"/>
  <c r="CR103" i="2"/>
  <c r="CR96" i="2"/>
  <c r="CR116" i="2"/>
  <c r="CR75" i="2"/>
  <c r="CR122" i="2"/>
  <c r="CR98" i="2"/>
  <c r="CR89" i="2"/>
  <c r="CR85" i="2"/>
  <c r="CR81" i="2"/>
  <c r="CR76" i="2"/>
  <c r="CR61" i="2"/>
  <c r="CR58" i="2"/>
  <c r="CR71" i="2"/>
  <c r="CR59" i="2"/>
  <c r="CR63" i="2"/>
  <c r="CR62" i="2"/>
  <c r="CR60" i="2"/>
  <c r="CR74" i="2"/>
  <c r="CR66" i="2"/>
  <c r="CR65" i="2"/>
  <c r="CR70" i="2"/>
  <c r="CR64" i="2"/>
  <c r="CX51" i="2"/>
  <c r="CJ51" i="2"/>
  <c r="CK46" i="2"/>
  <c r="CY46" i="2"/>
  <c r="CJ46" i="2"/>
  <c r="CX46" i="2"/>
  <c r="BI41" i="2"/>
  <c r="AG38" i="2" s="1"/>
  <c r="CY134" i="2"/>
  <c r="CP136" i="2"/>
  <c r="CY131" i="2"/>
  <c r="CY125" i="2"/>
  <c r="CP107" i="2"/>
  <c r="CP101" i="2"/>
  <c r="CY137" i="2"/>
  <c r="CP128" i="2"/>
  <c r="CY138" i="2"/>
  <c r="CP127" i="2"/>
  <c r="CP135" i="2"/>
  <c r="CP134" i="2"/>
  <c r="CY129" i="2"/>
  <c r="CY136" i="2"/>
  <c r="CP133" i="2"/>
  <c r="CP126" i="2"/>
  <c r="CP98" i="2"/>
  <c r="CP94" i="2"/>
  <c r="CY139" i="2"/>
  <c r="CP137" i="2"/>
  <c r="CP131" i="2"/>
  <c r="CP125" i="2"/>
  <c r="CY127" i="2"/>
  <c r="CP130" i="2"/>
  <c r="CP124" i="2"/>
  <c r="CP123" i="2"/>
  <c r="CY140" i="2"/>
  <c r="CY135" i="2"/>
  <c r="CY133" i="2"/>
  <c r="CY126" i="2"/>
  <c r="CP122" i="2"/>
  <c r="CP75" i="2"/>
  <c r="CP114" i="2"/>
  <c r="CP89" i="2"/>
  <c r="CP85" i="2"/>
  <c r="CP81" i="2"/>
  <c r="CP76" i="2"/>
  <c r="CY132" i="2"/>
  <c r="CP121" i="2"/>
  <c r="CP110" i="2"/>
  <c r="CP105" i="2"/>
  <c r="CP100" i="2"/>
  <c r="CP112" i="2"/>
  <c r="CP102" i="2"/>
  <c r="CP95" i="2"/>
  <c r="CP93" i="2"/>
  <c r="CP77" i="2"/>
  <c r="CP132" i="2"/>
  <c r="CY130" i="2"/>
  <c r="CP120" i="2"/>
  <c r="CP117" i="2"/>
  <c r="CP90" i="2"/>
  <c r="CP86" i="2"/>
  <c r="CP82" i="2"/>
  <c r="CY141" i="2"/>
  <c r="CY128" i="2"/>
  <c r="CP78" i="2"/>
  <c r="CP129" i="2"/>
  <c r="CP119" i="2"/>
  <c r="CP115" i="2"/>
  <c r="CP104" i="2"/>
  <c r="CP97" i="2"/>
  <c r="CP71" i="2"/>
  <c r="CP109" i="2"/>
  <c r="CP99" i="2"/>
  <c r="CP91" i="2"/>
  <c r="CP87" i="2"/>
  <c r="CP83" i="2"/>
  <c r="CP79" i="2"/>
  <c r="CP72" i="2"/>
  <c r="CY124" i="2"/>
  <c r="CP113" i="2"/>
  <c r="CP118" i="2"/>
  <c r="CP111" i="2"/>
  <c r="CP106" i="2"/>
  <c r="CP92" i="2"/>
  <c r="CP88" i="2"/>
  <c r="CP84" i="2"/>
  <c r="CP80" i="2"/>
  <c r="CP74" i="2"/>
  <c r="CP116" i="2"/>
  <c r="CP108" i="2"/>
  <c r="CP103" i="2"/>
  <c r="CP96" i="2"/>
  <c r="CP70" i="2"/>
  <c r="CP64" i="2"/>
  <c r="CP61" i="2"/>
  <c r="CP58" i="2"/>
  <c r="CP68" i="2"/>
  <c r="CP59" i="2"/>
  <c r="CP63" i="2"/>
  <c r="CP62" i="2"/>
  <c r="CP60" i="2"/>
  <c r="CP73" i="2"/>
  <c r="CP69" i="2"/>
  <c r="CP67" i="2"/>
  <c r="CP66" i="2"/>
  <c r="CP65" i="2"/>
  <c r="AI43" i="2" l="1"/>
  <c r="AL9" i="2" s="1"/>
  <c r="BI46" i="2"/>
  <c r="AG43" i="2" s="1"/>
  <c r="AZ58" i="2"/>
  <c r="AI51" i="2"/>
  <c r="AL17" i="2" s="1"/>
  <c r="BI54" i="2"/>
  <c r="AG51" i="2" s="1"/>
  <c r="BF9" i="2"/>
  <c r="AU9" i="2"/>
  <c r="AQ17" i="2"/>
  <c r="AN17" i="2"/>
  <c r="AQ6" i="2"/>
  <c r="AN6" i="2"/>
  <c r="AF47" i="6"/>
  <c r="AF47" i="5"/>
  <c r="AQ4" i="2"/>
  <c r="AN4" i="2"/>
  <c r="AQ12" i="2"/>
  <c r="AN12" i="2"/>
  <c r="BI50" i="2"/>
  <c r="AG47" i="2" s="1"/>
  <c r="AC36" i="8"/>
  <c r="AC35" i="8" s="1"/>
  <c r="Q36" i="8"/>
  <c r="Q35" i="8" s="1"/>
  <c r="E36" i="8"/>
  <c r="E35" i="8" s="1"/>
  <c r="AB36" i="8"/>
  <c r="AB35" i="8" s="1"/>
  <c r="P36" i="8"/>
  <c r="P35" i="8" s="1"/>
  <c r="D36" i="8"/>
  <c r="D35" i="8" s="1"/>
  <c r="AA36" i="8"/>
  <c r="AA35" i="8" s="1"/>
  <c r="O36" i="8"/>
  <c r="O35" i="8" s="1"/>
  <c r="C36" i="8"/>
  <c r="C35" i="8" s="1"/>
  <c r="Z36" i="8"/>
  <c r="Z35" i="8" s="1"/>
  <c r="N36" i="8"/>
  <c r="N35" i="8" s="1"/>
  <c r="Y36" i="8"/>
  <c r="Y35" i="8" s="1"/>
  <c r="M36" i="8"/>
  <c r="M35" i="8" s="1"/>
  <c r="X36" i="8"/>
  <c r="X35" i="8" s="1"/>
  <c r="L36" i="8"/>
  <c r="L35" i="8" s="1"/>
  <c r="W36" i="8"/>
  <c r="W35" i="8" s="1"/>
  <c r="K36" i="8"/>
  <c r="K35" i="8" s="1"/>
  <c r="V36" i="8"/>
  <c r="V35" i="8" s="1"/>
  <c r="J36" i="8"/>
  <c r="J35" i="8" s="1"/>
  <c r="U36" i="8"/>
  <c r="U35" i="8" s="1"/>
  <c r="I36" i="8"/>
  <c r="I35" i="8" s="1"/>
  <c r="T36" i="8"/>
  <c r="T35" i="8" s="1"/>
  <c r="H36" i="8"/>
  <c r="H35" i="8" s="1"/>
  <c r="AE36" i="8"/>
  <c r="AE35" i="8" s="1"/>
  <c r="S36" i="8"/>
  <c r="S35" i="8" s="1"/>
  <c r="G36" i="8"/>
  <c r="G35" i="8" s="1"/>
  <c r="AD36" i="8"/>
  <c r="AD35" i="8" s="1"/>
  <c r="R36" i="8"/>
  <c r="R35" i="8" s="1"/>
  <c r="F36" i="8"/>
  <c r="F35" i="8" s="1"/>
  <c r="BF12" i="2"/>
  <c r="AU12" i="2"/>
  <c r="AN5" i="2"/>
  <c r="AQ5" i="2"/>
  <c r="AI47" i="2"/>
  <c r="AL13" i="2" s="1"/>
  <c r="BF17" i="2"/>
  <c r="AU17" i="2"/>
  <c r="AQ9" i="2"/>
  <c r="AN9" i="2"/>
  <c r="AU5" i="2"/>
  <c r="BF5" i="2"/>
  <c r="D7" i="5"/>
  <c r="D7" i="6"/>
  <c r="BI51" i="2"/>
  <c r="AG48" i="2" s="1"/>
  <c r="S69" i="5"/>
  <c r="S63" i="6"/>
  <c r="AV4" i="2"/>
  <c r="O4" i="2" s="1"/>
  <c r="AQ8" i="2"/>
  <c r="AN8" i="2"/>
  <c r="AB21" i="2"/>
  <c r="AK30" i="2"/>
  <c r="AN30" i="2" s="1"/>
  <c r="AI48" i="2"/>
  <c r="AL14" i="2" s="1"/>
  <c r="AU8" i="2"/>
  <c r="BF8" i="2"/>
  <c r="AV11" i="2"/>
  <c r="O11" i="2" s="1"/>
  <c r="AQ11" i="2"/>
  <c r="AN11" i="2"/>
  <c r="AQ15" i="2"/>
  <c r="AN15" i="2"/>
  <c r="AN3" i="2"/>
  <c r="AQ3" i="2"/>
  <c r="BI53" i="2"/>
  <c r="AG50" i="2" s="1"/>
  <c r="AI76" i="2"/>
  <c r="AQ2" i="2"/>
  <c r="AN2" i="2"/>
  <c r="AI50" i="2"/>
  <c r="AL16" i="2" s="1"/>
  <c r="BF6" i="2"/>
  <c r="AU6" i="2"/>
  <c r="BF15" i="2"/>
  <c r="AU15" i="2"/>
  <c r="Q71" i="5"/>
  <c r="Q71" i="6"/>
  <c r="S21" i="5"/>
  <c r="S15" i="6"/>
  <c r="AV3" i="2"/>
  <c r="O3" i="2" s="1"/>
  <c r="AV7" i="2"/>
  <c r="O7" i="2" s="1"/>
  <c r="AV6" i="2" l="1"/>
  <c r="O6" i="2" s="1"/>
  <c r="AW6" i="2"/>
  <c r="AF71" i="5"/>
  <c r="AF71" i="6"/>
  <c r="B47" i="6"/>
  <c r="B47" i="5"/>
  <c r="AQ14" i="2"/>
  <c r="AN14" i="2"/>
  <c r="AW12" i="2"/>
  <c r="AV12" i="2"/>
  <c r="O12" i="2" s="1"/>
  <c r="B55" i="8"/>
  <c r="AU23" i="6"/>
  <c r="AU23" i="5"/>
  <c r="AU71" i="5"/>
  <c r="AU71" i="6"/>
  <c r="AU16" i="2"/>
  <c r="BF16" i="2"/>
  <c r="AH63" i="6"/>
  <c r="AH69" i="5"/>
  <c r="Q23" i="5"/>
  <c r="Q23" i="6"/>
  <c r="AH45" i="5"/>
  <c r="AH39" i="6"/>
  <c r="AW8" i="2"/>
  <c r="AV8" i="2"/>
  <c r="O8" i="2" s="1"/>
  <c r="AH15" i="6"/>
  <c r="AH21" i="5"/>
  <c r="J29" i="2"/>
  <c r="AU14" i="2"/>
  <c r="BF14" i="2"/>
  <c r="AW5" i="2"/>
  <c r="AV5" i="2"/>
  <c r="O5" i="2" s="1"/>
  <c r="Q47" i="6"/>
  <c r="Q47" i="5"/>
  <c r="B71" i="5"/>
  <c r="B71" i="6"/>
  <c r="AN16" i="2"/>
  <c r="AQ16" i="2"/>
  <c r="B119" i="5"/>
  <c r="B119" i="6"/>
  <c r="AU47" i="6"/>
  <c r="AU47" i="5"/>
  <c r="AW17" i="2"/>
  <c r="AV17" i="2"/>
  <c r="O17" i="2" s="1"/>
  <c r="AF23" i="6"/>
  <c r="AF23" i="5"/>
  <c r="AW9" i="2"/>
  <c r="AV9" i="2"/>
  <c r="O9" i="2" s="1"/>
  <c r="AW15" i="2"/>
  <c r="AV15" i="2"/>
  <c r="O15" i="2" s="1"/>
  <c r="AF95" i="6"/>
  <c r="AF95" i="5"/>
  <c r="AW15" i="6"/>
  <c r="AW21" i="5"/>
  <c r="AU13" i="2"/>
  <c r="BF13" i="2"/>
  <c r="AN13" i="2"/>
  <c r="AQ13" i="2"/>
  <c r="J27" i="2" l="1"/>
  <c r="D117" i="5"/>
  <c r="D111" i="6"/>
  <c r="AW63" i="6"/>
  <c r="AW69" i="5"/>
  <c r="AW13" i="2"/>
  <c r="AV13" i="2"/>
  <c r="O13" i="2" s="1"/>
  <c r="D45" i="5"/>
  <c r="D39" i="6"/>
  <c r="Q95" i="5"/>
  <c r="Q95" i="6"/>
  <c r="B95" i="5"/>
  <c r="B95" i="6"/>
  <c r="AW14" i="2"/>
  <c r="AV14" i="2"/>
  <c r="O14" i="2" s="1"/>
  <c r="AH87" i="6"/>
  <c r="AH93" i="5"/>
  <c r="AW16" i="2"/>
  <c r="AV16" i="2"/>
  <c r="O16" i="2" s="1"/>
  <c r="D69" i="5"/>
  <c r="D63" i="6"/>
  <c r="AU95" i="6"/>
  <c r="AU95" i="5"/>
  <c r="AW45" i="5"/>
  <c r="AW39" i="6"/>
  <c r="B74" i="8"/>
  <c r="C74" i="8" s="1"/>
  <c r="B64" i="8"/>
  <c r="C64" i="8" s="1"/>
  <c r="B58" i="8"/>
  <c r="C58" i="8" s="1"/>
  <c r="B67" i="8"/>
  <c r="C67" i="8" s="1"/>
  <c r="B63" i="8"/>
  <c r="C63" i="8" s="1"/>
  <c r="B62" i="8"/>
  <c r="C62" i="8" s="1"/>
  <c r="B73" i="8"/>
  <c r="C73" i="8" s="1"/>
  <c r="B68" i="8"/>
  <c r="C68" i="8" s="1"/>
  <c r="B57" i="8"/>
  <c r="C57" i="8" s="1"/>
  <c r="B61" i="8"/>
  <c r="C61" i="8" s="1"/>
  <c r="B75" i="8"/>
  <c r="C75" i="8" s="1"/>
  <c r="B66" i="8"/>
  <c r="C66" i="8" s="1"/>
  <c r="B56" i="8"/>
  <c r="C56" i="8" s="1"/>
  <c r="B69" i="8"/>
  <c r="C69" i="8" s="1"/>
  <c r="B60" i="8"/>
  <c r="C60" i="8" s="1"/>
  <c r="B72" i="8"/>
  <c r="C72" i="8" s="1"/>
  <c r="B70" i="8"/>
  <c r="C70" i="8" s="1"/>
  <c r="B65" i="8"/>
  <c r="C65" i="8" s="1"/>
  <c r="B59" i="8"/>
  <c r="C59" i="8" s="1"/>
  <c r="B71" i="8"/>
  <c r="C71" i="8" s="1"/>
  <c r="S45" i="5"/>
  <c r="S39" i="6"/>
  <c r="I18" i="2" l="1"/>
  <c r="AS18" i="2" s="1"/>
  <c r="J18" i="2"/>
  <c r="M18" i="2"/>
  <c r="K18" i="2"/>
  <c r="J19" i="2"/>
  <c r="L18" i="2"/>
  <c r="N18" i="2"/>
  <c r="M19" i="2"/>
  <c r="AW87" i="6"/>
  <c r="AW93" i="5"/>
  <c r="D87" i="6"/>
  <c r="D93" i="5"/>
  <c r="AN18" i="2"/>
  <c r="L19" i="2"/>
  <c r="K19" i="2"/>
  <c r="N19" i="2"/>
  <c r="I19" i="2"/>
  <c r="S87" i="6"/>
  <c r="S93" i="5"/>
  <c r="AN19" i="2"/>
  <c r="O18" i="2" l="1"/>
  <c r="Z18" i="2"/>
  <c r="AF119" i="5"/>
  <c r="AF119" i="6"/>
  <c r="AQ19" i="2"/>
  <c r="AF108" i="6"/>
  <c r="AF108" i="5"/>
  <c r="Q114" i="6"/>
  <c r="Q114" i="5"/>
  <c r="Q106" i="6"/>
  <c r="Q106" i="5"/>
  <c r="Z19" i="2"/>
  <c r="O19" i="2"/>
  <c r="AS19" i="2"/>
  <c r="AF102" i="5"/>
  <c r="AF102" i="6"/>
  <c r="AF114" i="6"/>
  <c r="AF114" i="5"/>
  <c r="S117" i="5"/>
  <c r="S114" i="6"/>
  <c r="AF104" i="6"/>
  <c r="AF104" i="5"/>
  <c r="S111" i="5"/>
  <c r="S104" i="6"/>
  <c r="AF106" i="6"/>
  <c r="AF106" i="5"/>
  <c r="Q119" i="5"/>
  <c r="Q119" i="6"/>
  <c r="AQ18" i="2"/>
  <c r="J26" i="2"/>
  <c r="BB58" i="2"/>
  <c r="Q104" i="6"/>
  <c r="Q104" i="5"/>
  <c r="Q108" i="6"/>
  <c r="Q108" i="5"/>
  <c r="Q102" i="6"/>
  <c r="Q102" i="5"/>
  <c r="AH104" i="6" l="1"/>
  <c r="AH111" i="5"/>
  <c r="J31" i="2"/>
  <c r="J28" i="2"/>
  <c r="J30" i="2" s="1"/>
  <c r="B58" i="2" s="1"/>
  <c r="F32" i="2" s="1"/>
  <c r="AH117" i="5"/>
  <c r="AH114" i="6"/>
  <c r="D6" i="5" l="1"/>
  <c r="D6" i="6"/>
</calcChain>
</file>

<file path=xl/sharedStrings.xml><?xml version="1.0" encoding="utf-8"?>
<sst xmlns="http://schemas.openxmlformats.org/spreadsheetml/2006/main" count="3577" uniqueCount="1235">
  <si>
    <t>Blood Bowl 2020 Roster League v3.8</t>
  </si>
  <si>
    <t>Compatible with Excel, Google Sheets (just upload Excel to Google Drive) and Libre Office</t>
  </si>
  <si>
    <t>Compatible con Excel, Google Sheets (solo debes subir al Excel a Google Drive) y Libre Office</t>
  </si>
  <si>
    <t>Kompatibel mit Excel, Google Sheets (Sie müssen Excel nur in Google Drive hochladen) und Libre Office.</t>
  </si>
  <si>
    <t>Compatible avec Excel, Google Sheets (il suffit de télécharger Excel sur Google Drive) et Libre Office.</t>
  </si>
  <si>
    <t>Update English</t>
  </si>
  <si>
    <t>Update Spanish</t>
  </si>
  <si>
    <t>ENGLISH</t>
  </si>
  <si>
    <t>SPANISH</t>
  </si>
  <si>
    <t>DEUTCH</t>
  </si>
  <si>
    <t>FRENCH</t>
  </si>
  <si>
    <t>ITALIAN</t>
  </si>
  <si>
    <t>Update 3.8
-Fixed a bug in the counting of matches won, drawn or lost with a home result of 0.
-Fixed Animosity skill in Pact being displayed in German instead of English with English language.
-Fixed bug in the fourth skill that didn't count SPP cost.
Update 3.7
-Add the special rule "Masters of Undeath" to Undead and Necromantic because was missing
-Corrected translation in French « Poignardilité » by «  Stabilité »
-Unblock logos and card picture cells
Update 3.6
-Added missing loner skill to treeman from AWO
Update 3.5
-Improved the skill selection dropdown. Now only the skills available for each player type are listed, if a player can't take pass or mutation skills they won't be listed
-Sorted the races alphabetically in the dropdown for all languages
-Black and white version of cards intended to be printed for handing out to opponents
-Fixed error with player number 3 not counting experience points and skill costs
-Fixed error human halfling having 8+ armour instead of 7+
-Fixed error with star player Bryce 'The Slice' Cambuel not appearing in the list of selectable star players
-Fixed translation error in the Games tab for the Points cell
-Fixed error in the player dropdown that was coming up from the bottom instead of the top
Update v3.4
-Fixed skill player 3 error
-Fixed block sheet Dead &amp; Retired Players error
-Add sheet with team cards
Update v3.3
-Compatible with Google Sheets
-Fixed Ogre Kicker bug had pass as secondary
-Fixed bug Treeman AVM had FU abilities as secondary and AG abilities as primary
-Fixed bug on some teams when removing star player an error was shown
-Fixed bug when deleting some players because they had exceeded the minimum, others were left with their skills blank
-Fixed bug with free skills and attributes for tournaments
-Fixed bug "You have spent too much" message when adding skills to players
-Fixed bug journeys subtracting value from the treasury
Update v3.2
-Removed first skill comma if player had none
-Fixed Chaos Chosen Mino’s armour value
-Fixed bug with snotlings valuation on underworld team
-Fixed the block to choose the Chosen of…
-Reduced minimum budget option to 600.000
Update v3.1
-Fixed error with features in languages other than English
-Fixed error with initial Dedicated Fans being added to team value
Update v3.0
-Added new Death Zone features: Sponsors, Wizards, (In)Famous Coaches, Biased Referee and Other Inducements
-Solved problem with SPP costs
-Fixed problem with the colours indicating attribute upgrades or downgrades
-Improvements when changing language
-Improved player dropdown
-Minor aesthetic and usability improvements</t>
  </si>
  <si>
    <t>Actualización 3.8
-Corregido el error en la contabilización de partidos ganados, empatados o perdidos con resultado local de 0
-Corregida la habilidad Animosidad en Pacto que salía en Alemán en vez de Inglés con lenguaje en Inglés
-Corregido error de la cuarta subida que no contabilizaba el coste de SPP
Actualización 3.7
-Añadida la regla especial "Señores de los No Muertos a los No Muertos y los Nigrománticos que no aparecía
-Corregida la traducción del francés « Poignardilité » por «  Stabilité »
-Desbloqueadas las celdas de logos e imágenes de las cartas
Actualización 3.6
-Añadida la habilidad solitario al hombre árbol de AVM
Actualización 3.5
-Mejorado el desplegable de selección de habilidades. Ahora solo aparecen las habilidades disponibles para cada tipo de jugador, si un jugador no puede coger habilidades de pase o mutaciones no aparecerá en la lista
-Ordenadas las razas por orden alfabético en el desplegable para todos los idiomas
-Versión en blanco y negro de las fichas pensado en imprimir para entregar a los oponentes
-Corregido el error del jugador número 3 que no contabilizaba los puntos de experiencia ni el coste de las habilidades
-Corregido el error del halfling humano que tenía armadura 8+ en vez de 7+
-Corregido el error del jugador estrella Bryce 'The Slice' Cambuel que no aparecía en la lista de jugadores estrella seleccionables
-Corregido el error de traducción en la pestaña Games para la celda de Puntos
-Corregido el error del desplegable de jugadores que salía desde abajo en vez de desde arriba
Actualización v3.4
-Corregido error habilidades jugador 3
-Corregido error bloqueo pestaña jugadores Muertos y Retirados
-Añadida pestaña con fichas del equipo
Actualización v3.3
-Compatible con Google Sheets
-Corregido fallo Ogro Pateador tenía pase como secundaria
-Corregido fallo Treeman AVM tenía habilidades de FU como secundaria y habilidades AG como primaria
-Corregido fallo en algunos equipos al quitar jugador estrella salía error
-Corregido fallo al borrar algunos jugadores porque se había excedido el mínimo, otros se quedaban con sus habilidades en blanco
-Corregido fallo de habilidades y atributos gratuitos para torneos
-Corregido error mensaje "Has gastado demasiado" al añadir habilidades a jugadores
-Corregido error los journeys restaban valor de la tesorería
Actualización v3.2
-Eliminada coma de primera habilidad si el jugador no tenía ninguna
-Corregido el valor de armadura del Mino de Chaos Chosen
-Corredigo error valoración snotlings en el equipo inframundo
-Corregido el bloqueo para elegir el Elegido de…
-Reducido opción mínima de presupuesto a 600.000
Actualización v3.1
-Corregido error con las características en otros idiomas que no fuera inglés
-Corregido error con los Fans Dedicados iniciales que se añadían al valor de equipo
Actualización v3.0
-Añadidas las novedades del Death Zone: Sponsors, Wizards, (In)Famous Coaches, Biased Referee y Other Inducements
-Solucionado problema con el coste de los SPP
-Solucionado problema con los colores indicando subidas o bajadas en los atributos
-Mejoras de cuando se cambia el idioma
-Mejorado desplegable de jugadores
-Pequeñas mejoras estéticas y de uso</t>
  </si>
  <si>
    <t>To print with Excel select the cells you want to print and in Print options choose the option print selected cells.</t>
  </si>
  <si>
    <t>Para imprimir con Excel selecciona las celdas que quieres imprimir y en opciones de Imprimir elige la opción imprimir celdas seleccionadas.</t>
  </si>
  <si>
    <t>Um mit Excel zu drucken, markieren Sie die Zellen, die Sie drucken möchten, und wählen Sie in den Druckoptionen die Option Markierte Zellen drucken.</t>
  </si>
  <si>
    <t>Pour imprimer avec Excel, sélectionnez les cellules que vous souhaitez imprimer et, dans les options d'impression, choisissez l'option d'impression des cellules sélectionnées.</t>
  </si>
  <si>
    <t>The first step is to choose the language for the roster, once chosen the language choose the race so that the system recognizes the options associated with that race.</t>
  </si>
  <si>
    <t>El primer paso es elegir el idioma para el roster, una vez elegido el idioma escoge la raza para que el sistema reconozca las opciones asociadas a dicha raza.</t>
  </si>
  <si>
    <t>Im ersten Schritt die Sprache wählen. Danach die Rasse wählen, damit das System deine Wahlmöglichkeiten vorgeben kann.</t>
  </si>
  <si>
    <t>La première étape consiste à choisir la langue dans la liste, puis à choisir le type d’équipe afin que le système reconnaisse les options associées à ce type.</t>
  </si>
  <si>
    <t>When creating the roster you can choose the available players that are automatically deployed, as well as the incentives. All prices are calculated automatically.</t>
  </si>
  <si>
    <t>A la hora de crear el roster puedes elegir los jugadores disponibles que se despliegan automáticamente, así como los incentivos. Todos los precios se calculan automáticamente.</t>
  </si>
  <si>
    <t>Wenn du ein Team erstellst, kann du von den vom System zur Verfügung gestellten Spielern wählen ebenso wie von der Zusatzausrüstung.  Die Kosten werden automatisch berechnet.</t>
  </si>
  <si>
    <t>Lors de la création d’équipe, vous pouvez choisir les joueurs parmi les postes disponibles pour le type d'équipe choisi (ils sont automatiquement repris), ainsi que les éléments du staff.  Tous les prix sont calculés automatiquement.</t>
  </si>
  <si>
    <t>The skill of snotlings Low Cost Linemen is activated by default.</t>
  </si>
  <si>
    <t>La habilidad de los snotlings de Líneas de Bajo Coste está activada por defecto.</t>
  </si>
  <si>
    <t>Die Fähigkeit Billige Linemen der Snotlinge ist automatisch aktiviert.</t>
  </si>
  <si>
    <t>La compétence des snotlings Linemen à Vil Prix est activée par défaut.</t>
  </si>
  <si>
    <t>In the case of leagues (or some tournaments) for experience points you should note the number of TDs, injuries, passes, diversions, interceptions, etc. that each player makes. Excel will automatically calculate how many experience points your player has in total.</t>
  </si>
  <si>
    <t>En el caso de las ligas (o algunos torneos) para los puntos de experiencia deberás anotar el número de TD, heridas, pases, desvios, intercepciones, etcétera que realice cada jugador. El Excel calculará automáticamente cuantos puntos de experiencia en total tiene tu jugador.</t>
  </si>
  <si>
    <t xml:space="preserve">Für Ligen (und einige Turniere) notiere die Anzahl an Touchdowns, verursachte Verletzungen, erfolgreiche Pässe, Abfangen, etc.  Excel berechnet automatisch die Anzahl der Starspielerpunkte für jeden </t>
  </si>
  <si>
    <t>Dans le cas de ligues (ou de certains tournois), pour suivre les PSP gagnés par vos joueurs, vous devez noter le nombre de TD, blessures, passes, détournements, interceptions, etc. que chaque joueur effectue. Excel calculera automatiquement le nombre total de PSP.</t>
  </si>
  <si>
    <t>The new skills or attribute raises can be chosen in the table below the roster, in this table you select the skill or attribute and if it was chosen or in a random roll. You can also include custom raises or custom price variations. Excel will automatically calculate the price of the raise and subtract it from the total experience points, showing also the experience points you have not yet spent.</t>
  </si>
  <si>
    <t>Las nuevas habilidades o subidas de atributos se pueden elegir en la tabla inferior al roster, en dicha tabla se selecciona la habilidad o atributo y si fue elegida o en una tirada al azar. También puedes incluir subidas personalizadas o variaciones de precio personalizados. El Excel calculará automáticamente el precio de dicha subida y se lo restará al total de puntos de experiencia, mostrando también los puntos de experiencia que no has gastado todavía.</t>
  </si>
  <si>
    <t xml:space="preserve">Neue Fertigkeiten und Eigenschaftenerhöhungen können in der Tabelle unterhalb der Teamkaderliste gewählt werden.  Dort bestimmst du die Fertigkeit oder die Eigenschaft und ob es eine gewählte oder </t>
  </si>
  <si>
    <t xml:space="preserve">Les nouvelles compétences ou augmentations de caractéristiques peuvent être choisies dans le tableau sous la liste d'équipe. Dans ce tableau, vous sélectionnez la compétence ou l'amélioration de caractéristique et si elle est ‘choisie’ ou ‘aléatoire’. Excel calculera automatiquement le coût en PSP de l'amélioration et le soustraira de votre total de PSP, actualisant le nombre de PSP que vous n'avez pas encore dépensés. Vous pouvez également ajouter des compétences personnalisées ou des variations de prix personnalisées. Ces dernières n'ont pas de coût en PSP. </t>
  </si>
  <si>
    <t>You can also register the injuries suffered, any loss of attributes will be reflected in the roster, in case of permanent injuries it will be marked in the skills box. If the player misses a match or is withdrawn for the rest of the season, you can mark it in the first box next to the player's action record, automatically the Excel will not count that player for the assessment.</t>
  </si>
  <si>
    <t>Se pueden registrar también las heridas sufridas, cualquier perdida de atributos se verá reflejada en el roster, en caso de lesiones permanentes quedará marcada en la casilla de habilidades. Si el jugador se pierde un partido o lo retiras para el resto de temporada, lo puedes marcar en la primera casilla que hay junto al registro de acciones que ha realizado el jugador, automáticamente el Excel no contará a ese jugador para la valoración.</t>
  </si>
  <si>
    <t xml:space="preserve">Du kannst in der Tabelle Spielerverbesserungen auch erlittene Verletzungen notieren.  Jeder Eigenschaftsverlust taucht in der Kaderliste auf. Wenn der Spieler ein spiel verpasst oder außer Dienst geht, kann </t>
  </si>
  <si>
    <t>Vous pouvez également enregistrer les blessures subies. Toute perte de caractéristique sera reflétée dans la feuille d'équipe. En cas de Blessures Persistante (BP), elle sera marquée dans la case des compétences du joueur. Si le joueur rate le prochain match ou se retire pour le reste de la saison, vous devrez l'indiquer dans la case RPM/RT du profil du joueur, Excel ne comptera pas ce joueur pour la Valeur d'Equipe Actualisée (VAE).</t>
  </si>
  <si>
    <t>Excel will highlight in colour when an attribute has been increased or decreased, as well as when a player misses the next match.</t>
  </si>
  <si>
    <t>El Excel remarcará en colores cuando un atributo ha sido incrementado o reducido, así como cuando un jugador se pierde el siguiente partido.</t>
  </si>
  <si>
    <t>Excel hebt es farbig hervor, wenn eine Eigenschaft erhöht oder gesenkt wurde, ebenso wie VNS oder AD.</t>
  </si>
  <si>
    <t>A l'aide de couleurs, Excel met en évidence les augmentations ou baissent de caractéristique, ainsi que lorsqu'un joueur manque le prochain match.</t>
  </si>
  <si>
    <t>In the games tab you can keep track of all the games the team has played, automatically the Excel will calculate the number of wins, losses and draws, their percentages. As well as all the data you enter.</t>
  </si>
  <si>
    <t>En la pestaña de partidos puedes llevar un control de todos los partidos que ha jugado el equipo, automáticamente el Excel calculará el número de victorias, derrotas y empates, sus porcentajes. Así como el de todos los datos que introduzcas.</t>
  </si>
  <si>
    <t xml:space="preserve">Auf dem Arbeitsblatt "Games" kannst du die Spiele deines Teams notieren.  Excel berechnet automatisch die Anzahl der Siege, Niederlagen oder Unentschieden, die entsprechenden Prozente und alle </t>
  </si>
  <si>
    <t>Dans l'onglet Games, vous pouvez conserver les résultats de toutes les rencontres de votre équipe. Excel calculera automatiquement les statistiques générales de victoires, défaites et nuls. Ainsi que toutes les données que vous y entrerez.</t>
  </si>
  <si>
    <t>In the match tab you can include the winnings and the variation of Dedicated Fans that will be shown with the calculation made automatically in the roster tab.</t>
  </si>
  <si>
    <t>En la pestaña de partidos puedes incluir las ganancias y la variación de Fans Dedicados que se mostrará con el cálculo hecho automáticamente en la pestaña del roster.</t>
  </si>
  <si>
    <t>In der Registerkarte "Spiel" können Sie die Gewinne und die Variation der Dedicated Fans einbeziehen, die mit der automatisch durchgeführten Berechnung in der Registerkarte "Dienstplan" angezeigt werden.</t>
  </si>
  <si>
    <t>Dans l'onglet du match, vous pouvez inclure les gains et la variation des fans dédiés qui seront affichés avec le calcul effectué automatiquement dans l'onglet du roster.</t>
  </si>
  <si>
    <t>If you are starting a league in the second season and you are starting with more than one million budget, you can add in the match winnings tab for one match even if the rest of the values are left blank.</t>
  </si>
  <si>
    <t>Si estás comenzando una liga en segunda temporada y vas a empezar con más de un millón de presupuesto puedes añadir en la pestaña de partidos ganancias en un partido aunque se deje el resto de valores en blanco.</t>
  </si>
  <si>
    <t>Wenn Sie eine Liga in der zweiten Saison starten und mit einem Budget von mehr als 1 Million beginnen, können Sie in der Registerkarte Spiele Gewinne in einem Spiel hinzufügen, auch wenn die restlichen Werte leer bleiben.</t>
  </si>
  <si>
    <t>Si vous démarrez une ligue en deuxième saison et que vous commencez avec un budget supérieur à 1 million, vous pouvez ajouter dans l'onglet Matches les gains d'un match même si les autres valeurs sont laissées vides.</t>
  </si>
  <si>
    <t>The Team Cards sheet is fully automatic, it is only necessary, if desired, to add images for the players or to change the NAF logo to the team logo.</t>
  </si>
  <si>
    <t>La pestaña de Cartas de Equipo es totalmente automática, tan solo es necesario, si se quiere, añadir imágenes para los jugadores o cambiar el logo NAF por el logo del equipo.</t>
  </si>
  <si>
    <t>Die Registerkarte "Team Cards" (Mannschaftskarten) ist vollautomatisch, es ist nur notwendig, wenn Sie möchten, Bilder für die Spieler hinzuzufügen oder das NAF-Logo in das Team-Logo zu ändern.</t>
  </si>
  <si>
    <t>L'onglet Cartes d'équipe est entièrement automatique, il est seulement nécessaire, si vous le souhaitez, d'ajouter des images pour les joueurs ou de changer le logo NAF en logo d'équipe.</t>
  </si>
  <si>
    <t>#</t>
  </si>
  <si>
    <t>VALUE</t>
  </si>
  <si>
    <t>BIG GUY</t>
  </si>
  <si>
    <t>UPGRADES</t>
  </si>
  <si>
    <t>Frankie Doodle</t>
  </si>
  <si>
    <t>Flesh Golem</t>
  </si>
  <si>
    <t>/</t>
  </si>
  <si>
    <t>RACES COMBO</t>
  </si>
  <si>
    <t>REROLL</t>
  </si>
  <si>
    <t>APO</t>
  </si>
  <si>
    <t>BIG GUYS</t>
  </si>
  <si>
    <t>SPECIAL RULES</t>
  </si>
  <si>
    <t>COMBO STAR PLAYERS</t>
  </si>
  <si>
    <t>Elton Joke</t>
  </si>
  <si>
    <t>Amazon</t>
  </si>
  <si>
    <t>LustrianSuperleague</t>
  </si>
  <si>
    <t>Amazonas</t>
  </si>
  <si>
    <t>Amazonen</t>
  </si>
  <si>
    <t>Amazones</t>
  </si>
  <si>
    <t>Brown Sugar</t>
  </si>
  <si>
    <t>Werewolf</t>
  </si>
  <si>
    <t>Black Orc</t>
  </si>
  <si>
    <t>BlackOrc</t>
  </si>
  <si>
    <t>BadlandsBrawl</t>
  </si>
  <si>
    <t>Bribery and Corruption</t>
  </si>
  <si>
    <t>Orcos Negros</t>
  </si>
  <si>
    <t>Black Orks</t>
  </si>
  <si>
    <t>Orques noirs</t>
  </si>
  <si>
    <t>Coal Chamber</t>
  </si>
  <si>
    <t>Chaos Chosen</t>
  </si>
  <si>
    <t>ChaosChosen</t>
  </si>
  <si>
    <t>Favouredof</t>
  </si>
  <si>
    <t>Caos</t>
  </si>
  <si>
    <t xml:space="preserve">Chaos Chosen </t>
  </si>
  <si>
    <t>Élus du chaos</t>
  </si>
  <si>
    <t>Slender Jet</t>
  </si>
  <si>
    <t>Ghoul</t>
  </si>
  <si>
    <t>Chaos Dwarf</t>
  </si>
  <si>
    <t>ChaosDwarf</t>
  </si>
  <si>
    <t>FavouredofWorldsEdgeSuperleagueBadlandsBrawl</t>
  </si>
  <si>
    <t>Enanos del Caos</t>
  </si>
  <si>
    <t>Chaoszwerge</t>
  </si>
  <si>
    <t>Nains du Chaos</t>
  </si>
  <si>
    <t>Spekter Grey</t>
  </si>
  <si>
    <t>Wraiths</t>
  </si>
  <si>
    <t>Chaos Renegades</t>
  </si>
  <si>
    <t>ChaosRenegades</t>
  </si>
  <si>
    <t>Pacto del Caos</t>
  </si>
  <si>
    <t xml:space="preserve">Chaos Renegade </t>
  </si>
  <si>
    <t>Renegats du Chaos</t>
  </si>
  <si>
    <t>Jon Slow</t>
  </si>
  <si>
    <t>Zombie</t>
  </si>
  <si>
    <t>Daemons of Khorne</t>
  </si>
  <si>
    <t>DaemonsofKhorne</t>
  </si>
  <si>
    <t>Demonios de Khorne</t>
  </si>
  <si>
    <t xml:space="preserve">Daemons of Khorne </t>
  </si>
  <si>
    <t>Démons de Khorne</t>
  </si>
  <si>
    <t>Manny Late</t>
  </si>
  <si>
    <t>Dark Elf</t>
  </si>
  <si>
    <t>DarkElf</t>
  </si>
  <si>
    <t>ElvenKingdomsLeague</t>
  </si>
  <si>
    <t>Elfos Oscuros</t>
  </si>
  <si>
    <t>Dunkelelfen</t>
  </si>
  <si>
    <t>Elfes noirs</t>
  </si>
  <si>
    <t>Jimmy Pace</t>
  </si>
  <si>
    <t>Dwarf</t>
  </si>
  <si>
    <t>OldWorldClassicWorldsEdgeSuperleague</t>
  </si>
  <si>
    <t>Enanos</t>
  </si>
  <si>
    <t>Zwerge</t>
  </si>
  <si>
    <t>Nains</t>
  </si>
  <si>
    <t>Ronnie Boh</t>
  </si>
  <si>
    <t>Elven Union</t>
  </si>
  <si>
    <t>ElvenUnion</t>
  </si>
  <si>
    <t>Elfos Pro</t>
  </si>
  <si>
    <t>Elfen-Union</t>
  </si>
  <si>
    <t>Union Elfique</t>
  </si>
  <si>
    <t>Cam Maybe</t>
  </si>
  <si>
    <t>Goblin</t>
  </si>
  <si>
    <t>BadlandsBrawlUnderworldChallenge</t>
  </si>
  <si>
    <t>Goblins</t>
  </si>
  <si>
    <t xml:space="preserve">Goblins </t>
  </si>
  <si>
    <t>Gobelins</t>
  </si>
  <si>
    <t>Halfling</t>
  </si>
  <si>
    <t>HalflingThimbleCupOldWorldClassic</t>
  </si>
  <si>
    <t>Halflings</t>
  </si>
  <si>
    <t>Halflinge</t>
  </si>
  <si>
    <t xml:space="preserve">Halflings </t>
  </si>
  <si>
    <t>High Elf</t>
  </si>
  <si>
    <t>HighElf</t>
  </si>
  <si>
    <t>Altos Elfos</t>
  </si>
  <si>
    <t>Hochelfen</t>
  </si>
  <si>
    <t>Hauts Elfes</t>
  </si>
  <si>
    <t>Human</t>
  </si>
  <si>
    <t>OldWorldClassic</t>
  </si>
  <si>
    <t>Humanos</t>
  </si>
  <si>
    <t>Menschen</t>
  </si>
  <si>
    <t>Humains</t>
  </si>
  <si>
    <t>Imperial Nobility</t>
  </si>
  <si>
    <t>ImperialNobility</t>
  </si>
  <si>
    <t>Nobles Imperiales</t>
  </si>
  <si>
    <t xml:space="preserve">Imperial Nobility </t>
  </si>
  <si>
    <t>Noblesse Impériale</t>
  </si>
  <si>
    <t>Lizardman</t>
  </si>
  <si>
    <t>Lagartos</t>
  </si>
  <si>
    <t xml:space="preserve">Lizardman </t>
  </si>
  <si>
    <t>Hommes-Lézards</t>
  </si>
  <si>
    <t>*</t>
  </si>
  <si>
    <t>Necromantic</t>
  </si>
  <si>
    <t>SylvanianSpotlight</t>
  </si>
  <si>
    <t>Sylvanian</t>
  </si>
  <si>
    <t>Nigromanticos</t>
  </si>
  <si>
    <t>Necromantic-Horror</t>
  </si>
  <si>
    <t>Horreurs Nécromantiques</t>
  </si>
  <si>
    <t>Norse</t>
  </si>
  <si>
    <t>LustrianSuperleagueOldWorldClassic</t>
  </si>
  <si>
    <t>Nórdicos</t>
  </si>
  <si>
    <t xml:space="preserve">Norse </t>
  </si>
  <si>
    <t>Nordiques</t>
  </si>
  <si>
    <t>SPONSORS</t>
  </si>
  <si>
    <t xml:space="preserve">x </t>
  </si>
  <si>
    <t>Nurgle</t>
  </si>
  <si>
    <t xml:space="preserve">Nurgle </t>
  </si>
  <si>
    <t xml:space="preserve">Nurgle  </t>
  </si>
  <si>
    <t xml:space="preserve">Nurgle   </t>
  </si>
  <si>
    <t>Fabio Paride</t>
  </si>
  <si>
    <t>Ogre</t>
  </si>
  <si>
    <t>BadlandsBrawlOldWorldClassic</t>
  </si>
  <si>
    <t>LowCost</t>
  </si>
  <si>
    <t>Ogros</t>
  </si>
  <si>
    <t>Oger</t>
  </si>
  <si>
    <t>Ogres</t>
  </si>
  <si>
    <t>Old World Alliance</t>
  </si>
  <si>
    <t>OldWorldAlliance</t>
  </si>
  <si>
    <t>Alianza del Viejo Mundo</t>
  </si>
  <si>
    <t xml:space="preserve">Old World Alliance </t>
  </si>
  <si>
    <t>Alliance du Vieux Monde</t>
  </si>
  <si>
    <t>Midnight Stalkers</t>
  </si>
  <si>
    <t>Orc</t>
  </si>
  <si>
    <t>Orcos</t>
  </si>
  <si>
    <t>Orks</t>
  </si>
  <si>
    <t>Orques</t>
  </si>
  <si>
    <t>English</t>
  </si>
  <si>
    <t>WIZARDS</t>
  </si>
  <si>
    <t>Shambling Undead</t>
  </si>
  <si>
    <t>ShamblingUndead</t>
  </si>
  <si>
    <t>No Muertos</t>
  </si>
  <si>
    <t xml:space="preserve">Shambling Undead </t>
  </si>
  <si>
    <t>Morts-Vivants</t>
  </si>
  <si>
    <t>(IN)FAMOUS COACHES</t>
  </si>
  <si>
    <t>Slann</t>
  </si>
  <si>
    <t xml:space="preserve">Slann </t>
  </si>
  <si>
    <t xml:space="preserve">Slann  </t>
  </si>
  <si>
    <t>Slans</t>
  </si>
  <si>
    <t>Skaven</t>
  </si>
  <si>
    <t>UnderworldChallenge</t>
  </si>
  <si>
    <t xml:space="preserve">Skaven </t>
  </si>
  <si>
    <t xml:space="preserve">Skaven  </t>
  </si>
  <si>
    <t xml:space="preserve">Skaven   </t>
  </si>
  <si>
    <t>BIASED REFEREE</t>
  </si>
  <si>
    <t>Snotling</t>
  </si>
  <si>
    <t xml:space="preserve">Snotling </t>
  </si>
  <si>
    <t>Snotlinge</t>
  </si>
  <si>
    <t>Snotlings</t>
  </si>
  <si>
    <t>OTHER INDUCEMENTS</t>
  </si>
  <si>
    <t>Tomb King</t>
  </si>
  <si>
    <t>TombKing</t>
  </si>
  <si>
    <t>Khemri</t>
  </si>
  <si>
    <t xml:space="preserve">Tomb King </t>
  </si>
  <si>
    <t>Roi des Tombes Kehmri</t>
  </si>
  <si>
    <t>Underworld Denizens</t>
  </si>
  <si>
    <t>UnderworldDenizens</t>
  </si>
  <si>
    <t>Inframundo</t>
  </si>
  <si>
    <t xml:space="preserve">Underworld Denizen </t>
  </si>
  <si>
    <t>Bas-Fonds</t>
  </si>
  <si>
    <t>Vampire</t>
  </si>
  <si>
    <t>Vampiros</t>
  </si>
  <si>
    <t xml:space="preserve">Vampire </t>
  </si>
  <si>
    <t>Vampires</t>
  </si>
  <si>
    <t/>
  </si>
  <si>
    <t>Wood Elf</t>
  </si>
  <si>
    <t>WoodElf</t>
  </si>
  <si>
    <t>Elfos Silvanos</t>
  </si>
  <si>
    <t>Waldelfen</t>
  </si>
  <si>
    <t>Elfes Sylvains</t>
  </si>
  <si>
    <t>Type</t>
  </si>
  <si>
    <t>G</t>
  </si>
  <si>
    <t>A</t>
  </si>
  <si>
    <t>S</t>
  </si>
  <si>
    <t>P</t>
  </si>
  <si>
    <t>M</t>
  </si>
  <si>
    <t>MA</t>
  </si>
  <si>
    <t>AV</t>
  </si>
  <si>
    <t>AG</t>
  </si>
  <si>
    <t>PA</t>
  </si>
  <si>
    <t>ST</t>
  </si>
  <si>
    <t>Cost</t>
  </si>
  <si>
    <t>Upgrade Category Skills</t>
  </si>
  <si>
    <t>Upgrade Primary/Secondary/Stat Skills</t>
  </si>
  <si>
    <t>Upgrade Chosen/Random Skills</t>
  </si>
  <si>
    <t>Upgrade Cost Skills</t>
  </si>
  <si>
    <t>Upgrade Cost Stats</t>
  </si>
  <si>
    <t>Upgrade SPP Cost Skills</t>
  </si>
  <si>
    <t>CONDICIONES LIGA / TORNEO</t>
  </si>
  <si>
    <t>CHARACTERISTICS FINAL</t>
  </si>
  <si>
    <t>CHARACTERISTICS FULL</t>
  </si>
  <si>
    <t>CHARACTERISTICS BASE</t>
  </si>
  <si>
    <t>CHARACTERISTICS UPG.</t>
  </si>
  <si>
    <t>CHARACTERISTICS INJ.</t>
  </si>
  <si>
    <t>TV</t>
  </si>
  <si>
    <t>Primary</t>
  </si>
  <si>
    <t>Secon.</t>
  </si>
  <si>
    <t>Total</t>
  </si>
  <si>
    <t>Stats</t>
  </si>
  <si>
    <t>Stars</t>
  </si>
  <si>
    <t>FULL</t>
  </si>
  <si>
    <t>PM</t>
  </si>
  <si>
    <t>#1</t>
  </si>
  <si>
    <t>#2</t>
  </si>
  <si>
    <t>#3</t>
  </si>
  <si>
    <t>#4</t>
  </si>
  <si>
    <t>#5</t>
  </si>
  <si>
    <t>#6</t>
  </si>
  <si>
    <t>#7</t>
  </si>
  <si>
    <t>#8</t>
  </si>
  <si>
    <t>#9</t>
  </si>
  <si>
    <t>#10</t>
  </si>
  <si>
    <t>#11</t>
  </si>
  <si>
    <t>#12</t>
  </si>
  <si>
    <t>#13</t>
  </si>
  <si>
    <t>#14</t>
  </si>
  <si>
    <t>#15</t>
  </si>
  <si>
    <t>#16</t>
  </si>
  <si>
    <t>JOSEF BUGMAN</t>
  </si>
  <si>
    <t>Español</t>
  </si>
  <si>
    <t xml:space="preserve"> </t>
  </si>
  <si>
    <t>Deutsch</t>
  </si>
  <si>
    <t>Français</t>
  </si>
  <si>
    <t>NO</t>
  </si>
  <si>
    <t>YES</t>
  </si>
  <si>
    <t>Total BG</t>
  </si>
  <si>
    <t>Limit BG</t>
  </si>
  <si>
    <t>Favoured of…</t>
  </si>
  <si>
    <t>D. Fans</t>
  </si>
  <si>
    <t>-</t>
  </si>
  <si>
    <t>WON</t>
  </si>
  <si>
    <t>TIE</t>
  </si>
  <si>
    <t>LOST</t>
  </si>
  <si>
    <t>SSP</t>
  </si>
  <si>
    <t>RACE</t>
  </si>
  <si>
    <t>HELPER</t>
  </si>
  <si>
    <t>TYPE</t>
  </si>
  <si>
    <t>Combo</t>
  </si>
  <si>
    <t>SKILLS</t>
  </si>
  <si>
    <t>PRIZE</t>
  </si>
  <si>
    <t>QTY</t>
  </si>
  <si>
    <t>BG</t>
  </si>
  <si>
    <t>S. ENGLISH</t>
  </si>
  <si>
    <t>S. SPANISH</t>
  </si>
  <si>
    <t>S. DEUTCH</t>
  </si>
  <si>
    <t>S. FRENCH</t>
  </si>
  <si>
    <t>S. ITALIAN</t>
  </si>
  <si>
    <t>Linewoman</t>
  </si>
  <si>
    <t>Dodge</t>
  </si>
  <si>
    <t>Esquivar</t>
  </si>
  <si>
    <t>Ausweichen</t>
  </si>
  <si>
    <t>Esquive</t>
  </si>
  <si>
    <t>Thrower</t>
  </si>
  <si>
    <t>Dodge, Pass</t>
  </si>
  <si>
    <t>Esquivar, Pasar</t>
  </si>
  <si>
    <t>Ausweichen, Wurfsicher</t>
  </si>
  <si>
    <t>Esquive, Passe</t>
  </si>
  <si>
    <t>Catcher</t>
  </si>
  <si>
    <t>Dodge, Catch</t>
  </si>
  <si>
    <t>Esquivar, Atrapar</t>
  </si>
  <si>
    <t>Ausweichen, Fangsicher</t>
  </si>
  <si>
    <t xml:space="preserve">Esquive, Réception </t>
  </si>
  <si>
    <t>Blitzer</t>
  </si>
  <si>
    <t>Dodge, Block</t>
  </si>
  <si>
    <t>Esquivar, Placar</t>
  </si>
  <si>
    <t>Ausweichen, Block</t>
  </si>
  <si>
    <t>Esquive, Blocage</t>
  </si>
  <si>
    <t>Journey Linewoman</t>
  </si>
  <si>
    <t>Loner (4+), Dodge</t>
  </si>
  <si>
    <t>Solitario (4+), Esquivar</t>
  </si>
  <si>
    <t>Einzelgänger (4+), Ausweichen</t>
  </si>
  <si>
    <t>Solitaire (4+), Esquive</t>
  </si>
  <si>
    <t>Goblin Bruiser</t>
  </si>
  <si>
    <t>Dodge, Right Stuff, Stunty, Thick Skull</t>
  </si>
  <si>
    <t>Esquivar, Humanoide bala, Escurridizo, Cabeza dura</t>
  </si>
  <si>
    <t>Ausweichen, Lebensmüde, Kleinwüchsig, Robust</t>
  </si>
  <si>
    <t>Esquive, Poids Plume, Minus, Crâne épais</t>
  </si>
  <si>
    <t>Brawler, Grab</t>
  </si>
  <si>
    <t>Luchador, Apartar</t>
  </si>
  <si>
    <t>Raufbold, Greifer</t>
  </si>
  <si>
    <t>Bagarreur, Projection</t>
  </si>
  <si>
    <t>Trained Troll</t>
  </si>
  <si>
    <t>Always Hungry, Loner (3+), Mighty Blow (+1), Projectile Vomit, Really Stupid, Regeneration, Throw Team-mate</t>
  </si>
  <si>
    <t>Siempre hambriento, Solitario (3+), Golpe mortífero (+1), Proyectil de vómito, Realmente estúpido, Regeneración, Lanzar compañero</t>
  </si>
  <si>
    <t>Nimmersatt, Einzelgänger (3+), Knochenbrecher (+1), Schwallartiges Erbrechen, Saublöd, Regeneration, Mitspieler werfen</t>
  </si>
  <si>
    <t>Toujours Affamé, Solitaire (3+), Châtaigne (+1), Gerbe de Vomit, Gros Débile, Régénération, Lancer de Coéquipier</t>
  </si>
  <si>
    <t>Journey Goblin</t>
  </si>
  <si>
    <t>Loner (4+), Dodge, Right Stuff, Stunty, Thick Skull</t>
  </si>
  <si>
    <t>Solitario (4+), Esquivar, Humanoide bala, Escurridizo, Cabeza dura</t>
  </si>
  <si>
    <t>Einzelgänger (4+), Ausweichen, Lebensmüde, Kleinwüchsig, Robust</t>
  </si>
  <si>
    <t>Solitaire (4+), Esquive, Poids Plume, Minus, Crâne épais</t>
  </si>
  <si>
    <t>Beastman</t>
  </si>
  <si>
    <t>Horns</t>
  </si>
  <si>
    <t>Cuernos</t>
  </si>
  <si>
    <t>Hörner</t>
  </si>
  <si>
    <t>Cornes</t>
  </si>
  <si>
    <t>Chaos Warrior</t>
  </si>
  <si>
    <t>Chaos Troll</t>
  </si>
  <si>
    <t>Always Hungry, Loner (4+), Mighty Blow (+1), Projectile Vomit, Really Stupid, Regeneration, Throw Team-mate</t>
  </si>
  <si>
    <t>Siempre hambriento, Solitario (4+), Golpe mortífero (+1), Proyectil de vómito, Realmente estúpido, Regeneración, Lanzar compañero</t>
  </si>
  <si>
    <t>Nimmersatt, Einzelgänger (4+), Knochenbrecher (+1), Schwallartiges Erbrechen, Saublöd, Regeneration, Mitspieler werfen</t>
  </si>
  <si>
    <t>Toujours Affamé, Solitaire (4+), Châtaigne (+1), Gerbe de Vomit, Gros Débile, Régénération, Lancer de Coéquipier</t>
  </si>
  <si>
    <t>Chaos Ogre</t>
  </si>
  <si>
    <t>Bone Head, Loner (4+), Mighty Blow (+1), Thick Skull, Throw Team-mate</t>
  </si>
  <si>
    <t>Estúpido, Solitario (4+), Golpe mortífero (+1), Cabeza dura, Lanzar Compañero</t>
  </si>
  <si>
    <t>Blöd, Einzelgänger (4+), Knochenbrecher (+1), Robust, Mitspieler werfen</t>
  </si>
  <si>
    <t>Cerveau Lent, Solitaire (4+), Châtaigne (+1), Crâne épais, Lancer de Coéquipier</t>
  </si>
  <si>
    <t>Minotaur</t>
  </si>
  <si>
    <t>Loner (4+), Frenzy, Horns, Mighty Blow (+1), Thick Skull, Unchannelled Fury</t>
  </si>
  <si>
    <t>Solitario (4+), Furia, Cuernos, Golpe mortífero (+1), Cabeza dura, Ira descontrolada</t>
  </si>
  <si>
    <t>Einzelgänger (4+), Rasend, Hörner, Knochenbrecher (+1), Robust, Zielloser Zorn</t>
  </si>
  <si>
    <t>Solitaire (4+), Frénésie, Cornes, Châtaigne (+1), Crâne épais, Fureur Débridée</t>
  </si>
  <si>
    <t>Journey Beastman</t>
  </si>
  <si>
    <t>Loner (4+), Horns</t>
  </si>
  <si>
    <t>Solitario (4+),Cuernos</t>
  </si>
  <si>
    <t>Einzelgänger (4+), Hörner</t>
  </si>
  <si>
    <t>Solitaire (4+), Cornes</t>
  </si>
  <si>
    <t>Hobgoblin</t>
  </si>
  <si>
    <t>Blocker</t>
  </si>
  <si>
    <t>Block, Tackle, Thick Skull</t>
  </si>
  <si>
    <t>Placar, Placaje defensivo, Cabeza dura</t>
  </si>
  <si>
    <t>Block, Tackle, Robust</t>
  </si>
  <si>
    <t>Blocage, Tacle, Crâne épais</t>
  </si>
  <si>
    <t>Bull Centaur</t>
  </si>
  <si>
    <t>Sprint, Sure Feet, Thick Skull</t>
  </si>
  <si>
    <t>Esprintar, Pies firmes, Cabeza dura</t>
  </si>
  <si>
    <t>Sprinten, Sprintensicher, Robust</t>
  </si>
  <si>
    <t>Sprint, Équilibre, Crâne épais</t>
  </si>
  <si>
    <t>Enlasved Minotaur</t>
  </si>
  <si>
    <t>Loner (4+), Frenzy, Horns, Mighty Blow (+1), Thick Skull, Animal Savagery</t>
  </si>
  <si>
    <t>Solitario (4+), Furia, Cuernos, Golpe mortífero (+1), Cabeza dura, Ferocidad animal</t>
  </si>
  <si>
    <t>Einzelgänger (4+), Rasend, Hörner, Knochenbrecher (+1), Robust, Animalische Brutalität</t>
  </si>
  <si>
    <t>Solitaire (4+), Frénésie, Cornes, Châtaigne (+1), Crâne épais, Sauvagerie Animale</t>
  </si>
  <si>
    <t>Journey Hobgoblin</t>
  </si>
  <si>
    <t>Loner (4+)</t>
  </si>
  <si>
    <t>Solitario (4+)</t>
  </si>
  <si>
    <t>Einzelgänger (4+)</t>
  </si>
  <si>
    <t>Solitaire (4+)</t>
  </si>
  <si>
    <t>Linemen Renegade</t>
  </si>
  <si>
    <t>Thrower Renegade</t>
  </si>
  <si>
    <t>Animosity (all team-mates), Pass, Safe Pair of Hands</t>
  </si>
  <si>
    <t>Animosidad (todo el equipo), Pasar, Proteger el cuero</t>
  </si>
  <si>
    <t>Animosität (alle Mitspieler), Wurfsicher, Sichere Hände</t>
  </si>
  <si>
    <t>Animosité (tout coéquipier), Passe, Libération contrôlée</t>
  </si>
  <si>
    <t>Goblin Renegade</t>
  </si>
  <si>
    <t>Animosity (all team-mates), Dodge, Right Stuff, Stunty</t>
  </si>
  <si>
    <t>Animosidad (todo el equipo), Esquivar, Humanoide bala, Escurridizo</t>
  </si>
  <si>
    <t>Animosität (alle Mitspieler), Ausweichen, Lebensmüde, Kleinwüchsig</t>
  </si>
  <si>
    <t>Animosité (tout coéquipier), Esquive, Poids Plume, Minus</t>
  </si>
  <si>
    <t>Skaven Renegade</t>
  </si>
  <si>
    <t>Animosity (all team-mates)</t>
  </si>
  <si>
    <t>Animosidad (todo el equipo)</t>
  </si>
  <si>
    <t>Animosität (alle Mitspieler)</t>
  </si>
  <si>
    <t>Animosité (tout coéquipier)</t>
  </si>
  <si>
    <t>Orc Renegade</t>
  </si>
  <si>
    <t>Dark Elf Renegade</t>
  </si>
  <si>
    <t>Troll Renegade</t>
  </si>
  <si>
    <t>Ogre Renegade</t>
  </si>
  <si>
    <t>Minotaur Renegade</t>
  </si>
  <si>
    <t>Rat Ogre Renegade</t>
  </si>
  <si>
    <t>Animal Savagery, Frenzy, Loner (4+), Mighty Blow (+1), Prehensile Tail</t>
  </si>
  <si>
    <t>Ferocidad animal, Furia, Solitario (4+), Golpe mortífero (+1), Cola prensil</t>
  </si>
  <si>
    <t>Animalische Brutalität, Rasend, Einzelgänger (4+), Knochenbrecher (+1), Klammerschwanz</t>
  </si>
  <si>
    <t>Sauvagerie Animale, Frénésie, Solitaire (4+), Châtaigne (+1), Queue préhensile</t>
  </si>
  <si>
    <t>Journey Lineman</t>
  </si>
  <si>
    <t>Pit Fighter</t>
  </si>
  <si>
    <t>Frenzy</t>
  </si>
  <si>
    <t>Furia</t>
  </si>
  <si>
    <t>Rasend</t>
  </si>
  <si>
    <t>Frénésie</t>
  </si>
  <si>
    <t>Bloodletter Daemon</t>
  </si>
  <si>
    <t>Horns, Juggernaut, Regeneration</t>
  </si>
  <si>
    <t>Cuernos, Imparable, Regeneración</t>
  </si>
  <si>
    <t>Hörner, Schweres Gerät, Regeneration</t>
  </si>
  <si>
    <t>Cornes, Juggernaut, Régénération</t>
  </si>
  <si>
    <t>Khorne Herald</t>
  </si>
  <si>
    <t>Frenzy, Horns, Juggernaut</t>
  </si>
  <si>
    <t>Furia, Cuernos, Imparable</t>
  </si>
  <si>
    <t>Rasend, Hörner, Schweres Gerät</t>
  </si>
  <si>
    <t>Frénésie, Cornes, Juggernaut</t>
  </si>
  <si>
    <t>Bloodthirster</t>
  </si>
  <si>
    <t>Claws, Frenzy, Horns, Juggernaut, Loner (4+), Unchanneled Fury, Regeneration</t>
  </si>
  <si>
    <t>Garras, Furia, Cuernos, Imparable, Solitario (4+), Ira descontrolada, Regeneración</t>
  </si>
  <si>
    <t>Klauen, Rasend, Hörner, Schweres Gerät, Einzelgänger (4+), Unchanneled Fury, Regeneration</t>
  </si>
  <si>
    <t>Griffes, Frénésie, Cornes, Juggernaut, Solitaire (4+), Fureur Débridée, Régénération</t>
  </si>
  <si>
    <t>Journey Fighter</t>
  </si>
  <si>
    <t>Loner (4+), Frenzy</t>
  </si>
  <si>
    <t>Solitario (4+), Furia</t>
  </si>
  <si>
    <t>Einzelgänger (4+), Rasend</t>
  </si>
  <si>
    <t>Solitaire (4+), Frénésie</t>
  </si>
  <si>
    <t>Lineman</t>
  </si>
  <si>
    <t>Runner</t>
  </si>
  <si>
    <t>Dump Off</t>
  </si>
  <si>
    <t>Pase precipitado</t>
  </si>
  <si>
    <t>Abspiel</t>
  </si>
  <si>
    <t>Délestage</t>
  </si>
  <si>
    <t>Assassin</t>
  </si>
  <si>
    <t>Shadowing, Stab</t>
  </si>
  <si>
    <t>Perseguir, Puñal</t>
  </si>
  <si>
    <t>Manndeckung, Niederstechen</t>
  </si>
  <si>
    <t>Poursuite, Poignard</t>
  </si>
  <si>
    <t>Block</t>
  </si>
  <si>
    <t>Placar</t>
  </si>
  <si>
    <t>Blocage</t>
  </si>
  <si>
    <t>Witch Elf</t>
  </si>
  <si>
    <t>Dodge, Frenzy, Jump Up</t>
  </si>
  <si>
    <t>Esquivar, Furia, En pie de un salto</t>
  </si>
  <si>
    <t>Ausweichen, Rasend, Aufspringen</t>
  </si>
  <si>
    <t>Esquive, Frénésie, Rétablissement</t>
  </si>
  <si>
    <t>Journey Elf</t>
  </si>
  <si>
    <t>Sure Hands, Thick Skull</t>
  </si>
  <si>
    <t>Manos seguras, Cabeza dura</t>
  </si>
  <si>
    <t>Ballgefühl, Robust</t>
  </si>
  <si>
    <t>Prise Sûre, Crâne épais</t>
  </si>
  <si>
    <t>Block, Thick Skull</t>
  </si>
  <si>
    <t>Placar, Cabeza dura</t>
  </si>
  <si>
    <t>Block, Robust</t>
  </si>
  <si>
    <t>Blocage, Crâne épais</t>
  </si>
  <si>
    <t>Troll Slayer</t>
  </si>
  <si>
    <t>Block, Frenzy, Dauntless, Thick Skull</t>
  </si>
  <si>
    <t>Placar, Furia, Agallas, Cabeza dura</t>
  </si>
  <si>
    <t>Block, Rasend, Unerschrocken, Robust</t>
  </si>
  <si>
    <t>Blocage, Frénésie, Intrépide, Crâne épais</t>
  </si>
  <si>
    <t>Deathroller</t>
  </si>
  <si>
    <t>Break Tackle, Dirty Player (+2), Juggernaut, Loner (5+), Mighty Blow (+1), No Hands, Secret Weapon, Stand Firm</t>
  </si>
  <si>
    <t>Abrirse paso, Juego sucio (+2), Imparable, Solitario (5+), Golpe mortífero (+1), Sin manos, Arma secreta, Mantenerse firme</t>
  </si>
  <si>
    <t>Tackle durchbrechen, Brutal (+2), Schweres Gerät, Einzelgänger (5+), Knochenbrecher (+1), Keine Hände, Versteckte Waffe, Standfest</t>
  </si>
  <si>
    <t>Esquive en Force, Joueur Déloyal (+2), Juggernaut, Solitaire (5+), Châtaigne (+1), Sans les Mains, Arme Secrète, Stabilité</t>
  </si>
  <si>
    <t>Journey Dwarf</t>
  </si>
  <si>
    <t>Loner (4+), Block, Tackle, Thick Skull</t>
  </si>
  <si>
    <t>Solitario (4+), Placar, Placaje defensivo, Cabeza dura</t>
  </si>
  <si>
    <t>Einzelgänger (4+), Block, Tackle, Robust</t>
  </si>
  <si>
    <t>Solitaire (4+), Blocage, Tacle, Crâne épais</t>
  </si>
  <si>
    <t>Pass</t>
  </si>
  <si>
    <t>Pasar</t>
  </si>
  <si>
    <t>Wurfsicher</t>
  </si>
  <si>
    <t>Passe</t>
  </si>
  <si>
    <t>Catch, Nerves of Steel</t>
  </si>
  <si>
    <t>Atrapar, Nervios de acero</t>
  </si>
  <si>
    <t>Fangsicher, Nerven aus Stahl</t>
  </si>
  <si>
    <t>Réception , Nerfs d’acier</t>
  </si>
  <si>
    <t>Block, Side Step</t>
  </si>
  <si>
    <t>Placar, Echarse a un lado</t>
  </si>
  <si>
    <t>Block, Gewandt</t>
  </si>
  <si>
    <t>Blocage, Glissade contrôlée</t>
  </si>
  <si>
    <t>Dodge, Right Stuff, Stunty</t>
  </si>
  <si>
    <t>Esquivar, Humanoide bala, Escurridizo</t>
  </si>
  <si>
    <t>Ausweichen, Lebensmüde, Kleinwüchsig</t>
  </si>
  <si>
    <t>Esquive, Poids Plume, Minus</t>
  </si>
  <si>
    <t>Bombardier</t>
  </si>
  <si>
    <t>Bombardier, Dodge, Secret Weapon, Stunty</t>
  </si>
  <si>
    <t>Bombardero, Esquivar, Arma secreta, Escurridizo</t>
  </si>
  <si>
    <t>Bombardier, Ausweichen, Versteckte Waffe, Kleinwüchsig</t>
  </si>
  <si>
    <t>Bombardier, Esquive, Arme Secrète, Minus</t>
  </si>
  <si>
    <t>Looney</t>
  </si>
  <si>
    <t>Chainsaw, Secret Weapon, Stunty</t>
  </si>
  <si>
    <t>Motosierra, Arma secreta, Escurridizo</t>
  </si>
  <si>
    <t>Kettensäge, Versteckte Waffe, Kleinwüchsig</t>
  </si>
  <si>
    <t>Tronçonneuse, Arme Secrète, Minus</t>
  </si>
  <si>
    <t>Doom Diver</t>
  </si>
  <si>
    <t>Right Stuff, Stunty, Swoop</t>
  </si>
  <si>
    <t>Humanoide bala, Escurridizo, Planear</t>
  </si>
  <si>
    <t>Lebensmüde, Kleinwüchsig, Flügel</t>
  </si>
  <si>
    <t>Poids Plume, Minus, Piqué</t>
  </si>
  <si>
    <t>Ooligan</t>
  </si>
  <si>
    <t>Dirty Player (+1), Disturbing Presence, Dodge, Right Stuff, Stunty</t>
  </si>
  <si>
    <t>Juego sucio (+1), Presencia perturbadora, Esquivar, Humanoide bala, Escurridizo</t>
  </si>
  <si>
    <t>Brutal (+1), Verstörende Präsenz, Ausweichen, Lebensmüde, Kleinwüchsig</t>
  </si>
  <si>
    <t>Joueur Déloyal (+1), Présence Perturbante, Esquive, Poids Plume, Minus</t>
  </si>
  <si>
    <t xml:space="preserve">Fanatic </t>
  </si>
  <si>
    <t>Ball &amp; Chain, No Hands, Secret Weapon, Stunty</t>
  </si>
  <si>
    <t>Bola y cadena, Sin manos, Arma secreta, Escurridizo</t>
  </si>
  <si>
    <t>Morgenstern, Keine Hände, Versteckte Waffe, Kleinwüchsig</t>
  </si>
  <si>
    <t>Chaîne et Boulet, Sans les Mains, Arme Secrète, Minus</t>
  </si>
  <si>
    <t>Pogoer</t>
  </si>
  <si>
    <t>Dodge, Pogo Stick, Stunty</t>
  </si>
  <si>
    <t>Esquivar, Pogo saltarín, Escurridizo</t>
  </si>
  <si>
    <t>Ausweichen, Pogo-Stick, Kleinwüchsig</t>
  </si>
  <si>
    <t>Esquive, Echasse à Ressort, Minus</t>
  </si>
  <si>
    <t xml:space="preserve">Troll </t>
  </si>
  <si>
    <t>Loner (4+), Dodge, Right Stuff, Stunty</t>
  </si>
  <si>
    <t>Solitario (4+), Esquivar, Humanoide bala, Escurridizo</t>
  </si>
  <si>
    <t>Einzelgänger (4+), Ausweichen, Lebensmüde, Kleinwüchsig</t>
  </si>
  <si>
    <t>Solitaire (4+), Esquive, Poids Plume, Minus</t>
  </si>
  <si>
    <t>Halfling Hopeful</t>
  </si>
  <si>
    <t>Halfling Catcher</t>
  </si>
  <si>
    <t>Catch, Dodge, Right Stuff, Sprint, Stunty</t>
  </si>
  <si>
    <t>Atrapar, Esquivar, Humanoide bala, Esprintar, Escurridizo</t>
  </si>
  <si>
    <t>Fangsicher, Ausweichen, Lebensmüde, Sprinten, Kleinwüchsig</t>
  </si>
  <si>
    <t>Réception , Esquive, Poids Plume, Sprint, Minus</t>
  </si>
  <si>
    <t>Halfling Hefty</t>
  </si>
  <si>
    <t>Dodge, Fend, Stunty</t>
  </si>
  <si>
    <t>Esquivar, Zafarse, Escurridizo</t>
  </si>
  <si>
    <t>Ausweichen, Abwehren, Kleinwüchsig</t>
  </si>
  <si>
    <t>Esquive, Parade, Minus</t>
  </si>
  <si>
    <t>Forest Treeman</t>
  </si>
  <si>
    <t>Mighty Blow (+1), Stand Firm, Strong Arm, Take Root, Thick Skull, Throw Team-mate, Timmm-ber!</t>
  </si>
  <si>
    <t>Golpe mortífero (+1), Mantenerse firme, Brazo fuerte, Echar raíces, Cabeza dura, Lanzar compañero, ¡Tronco va!</t>
  </si>
  <si>
    <t>Knochenbrecher (+1), Standfest, Robust, Wurzeln schlagen, Robust, Mitspieler werfen, Baum fällt!</t>
  </si>
  <si>
    <t>Châtaigne (+1), Stabilité, Bras musclé, Prendre Racine, Crâne épais, Lancer de Coéquipier, Timmm-ber!</t>
  </si>
  <si>
    <t>Journey Halfling</t>
  </si>
  <si>
    <t>Cloud Burster, Pass, Safe Pass</t>
  </si>
  <si>
    <t>Partenubes, Pasar, Pase seguro</t>
  </si>
  <si>
    <t>In die Wolken, Wurfsicher, Sicherer Pass</t>
  </si>
  <si>
    <t>Perce-nuage, Passe, Passee Assurée</t>
  </si>
  <si>
    <t>Catch</t>
  </si>
  <si>
    <t>Atrapar</t>
  </si>
  <si>
    <t>Fangsicher</t>
  </si>
  <si>
    <t xml:space="preserve">Réception </t>
  </si>
  <si>
    <t>Catch, Dodge</t>
  </si>
  <si>
    <t>Atrapar, Esquivar</t>
  </si>
  <si>
    <t>Fangsicher, Ausweichen</t>
  </si>
  <si>
    <t>Réception , Esquive</t>
  </si>
  <si>
    <t>Pass, Sure Hands</t>
  </si>
  <si>
    <t>Pasar, Manos seguras</t>
  </si>
  <si>
    <t>Wurfsicher, Ballgefühl</t>
  </si>
  <si>
    <t>Passe, Prise Sûre</t>
  </si>
  <si>
    <t>Journeyman</t>
  </si>
  <si>
    <t>Fend</t>
  </si>
  <si>
    <t>Zafarse</t>
  </si>
  <si>
    <t>Abwehren</t>
  </si>
  <si>
    <t>Parade</t>
  </si>
  <si>
    <t>Pass, Running Pass</t>
  </si>
  <si>
    <t>Pasar, Pase a la carrera</t>
  </si>
  <si>
    <t>Wurfsicher, Im Laufen passenen</t>
  </si>
  <si>
    <t>Passe, Passee dans la course</t>
  </si>
  <si>
    <t>Block, Catch</t>
  </si>
  <si>
    <t>Placar, Atrapar</t>
  </si>
  <si>
    <t>Block, Fangsicher</t>
  </si>
  <si>
    <t xml:space="preserve">Blocage, Réception </t>
  </si>
  <si>
    <t>Bodyguard</t>
  </si>
  <si>
    <t>Stand Firm, Wrestle</t>
  </si>
  <si>
    <t>Mantenerse firme, Forcejear</t>
  </si>
  <si>
    <t>Standfest, Wrestling</t>
  </si>
  <si>
    <t>Stabilité, Lutte</t>
  </si>
  <si>
    <t>Loner (4+), Fend</t>
  </si>
  <si>
    <t>Solitario (4+), Zafarse</t>
  </si>
  <si>
    <t>Einzelgänger (4+), Abwehren</t>
  </si>
  <si>
    <t>Solitaire (4+), Parade</t>
  </si>
  <si>
    <t>Skink</t>
  </si>
  <si>
    <t>Dodge, Stunty</t>
  </si>
  <si>
    <t>Esquivar, Escurridizo</t>
  </si>
  <si>
    <t>Ausweichen, Kleinwüchsig</t>
  </si>
  <si>
    <t>Esquive, Minus</t>
  </si>
  <si>
    <t>Chameleon Skink</t>
  </si>
  <si>
    <t>Dodge, On the Ball, Shadowing, Stunty</t>
  </si>
  <si>
    <t>Esquivar, Atento al balón, Perseguir, Escurridizo</t>
  </si>
  <si>
    <t>Ausweichen, Immer am Ball, Manndeckung, Kleinwüchsig</t>
  </si>
  <si>
    <t>Esquive, Sur le ballon, Poursuite, Minus</t>
  </si>
  <si>
    <t>Saurus</t>
  </si>
  <si>
    <t>Kroxigor</t>
  </si>
  <si>
    <t>Bone Head, Loner (4+), Mighty Blow (+1), Prehensile Tail, Thick Skull</t>
  </si>
  <si>
    <t>Estúpido, Solitario (4+), Golpe mortífero (+1), Cola prensil, Cabeza dura</t>
  </si>
  <si>
    <t>Blöd, Einzelgänger (4+), Knochenbrecher (+1), Klammerschwanz, Robust</t>
  </si>
  <si>
    <t>Cerveau Lent, Solitaire (4+), Châtaigne (+1), Queue préhensile, Crâne épais</t>
  </si>
  <si>
    <t>Journey Skink</t>
  </si>
  <si>
    <t>Loner (4+), Dodge, Stunty</t>
  </si>
  <si>
    <t>Solitario (4+), Esquivar, Escurridizo</t>
  </si>
  <si>
    <t>Einzelgänger (4+), Ausweichen, Kleinwüchsig</t>
  </si>
  <si>
    <t>Solitaire (4+), Esquive, Minus</t>
  </si>
  <si>
    <t>Regeneration</t>
  </si>
  <si>
    <t>Regeneración</t>
  </si>
  <si>
    <t>Régénération</t>
  </si>
  <si>
    <t>Block, Foul Appearance, No Hands, Regeneration, Side Step</t>
  </si>
  <si>
    <t>Placar, Apariencia asquerosa, Sin manos, Regeneración, Echarse a un lado</t>
  </si>
  <si>
    <t>Block, Abstoßendes Aussehen, Keine Hände, Regeneration, Gewandt</t>
  </si>
  <si>
    <t>Blocage, Répulsion, Sans les Mains, Régénération, Glissade contrôlée</t>
  </si>
  <si>
    <t>Regeneration, Stand Firm, Thick Skull</t>
  </si>
  <si>
    <t>Regeneración, Mantenerse firme, Cabeza dura</t>
  </si>
  <si>
    <t>Regeneration, Standfest, Robust</t>
  </si>
  <si>
    <t>Régénération, Stabilité, Crâne épais</t>
  </si>
  <si>
    <t>Claws, Frenzy, Regeneration</t>
  </si>
  <si>
    <t>Garras, Furia, Regeneración</t>
  </si>
  <si>
    <t>Klauen, Rasend, Regeneration</t>
  </si>
  <si>
    <t>Griffes, Frénésie, Régénération</t>
  </si>
  <si>
    <t>Raised Zombie</t>
  </si>
  <si>
    <t>Journey Zombie</t>
  </si>
  <si>
    <t>Loner (4+), Regeneration</t>
  </si>
  <si>
    <t>Solitario (4+), Regeneración</t>
  </si>
  <si>
    <t>Einzelgänger (4+), Regeneration</t>
  </si>
  <si>
    <t>Solitaire (4+), Régénération</t>
  </si>
  <si>
    <t>Block, Pass</t>
  </si>
  <si>
    <t>Placar, Pasar</t>
  </si>
  <si>
    <t>Block, Wurfsicher</t>
  </si>
  <si>
    <t>Blocage, Passe</t>
  </si>
  <si>
    <t>Block, Dauntless</t>
  </si>
  <si>
    <t>Placar, Agallas</t>
  </si>
  <si>
    <t>Block, Unerschrocken</t>
  </si>
  <si>
    <t>Blocage, Intrépide</t>
  </si>
  <si>
    <t>Berserker</t>
  </si>
  <si>
    <t>Block, Frenzy, Jump Up</t>
  </si>
  <si>
    <t>Placar, Furia, En pie de un salto</t>
  </si>
  <si>
    <t>Block, Rasend, Aufspringen</t>
  </si>
  <si>
    <t>Blocage, Frénésie, Rétablissement</t>
  </si>
  <si>
    <t>Ulfwerener</t>
  </si>
  <si>
    <t>Snow Troll</t>
  </si>
  <si>
    <t>Claws, Disturbing Presence, Frenzy, Loner (4+), Unchannelled Fury</t>
  </si>
  <si>
    <t>Garras, Presencia perturbadora, Furia, Solitario (4+), Ira descontrolada</t>
  </si>
  <si>
    <t>Klauen, Verstörende Präsenz, Rasend, Einzelgänger (4+), Zielloser Zorn</t>
  </si>
  <si>
    <t>Griffes, Présence Perturbante, Frénésie, Solitaire (4+), Fureur Débridée</t>
  </si>
  <si>
    <t>Loner (4+), Block</t>
  </si>
  <si>
    <t>Solitario (4+), Placar</t>
  </si>
  <si>
    <t>Einzelgänger (4+), Block</t>
  </si>
  <si>
    <t>Solitaire (4+), Blocage</t>
  </si>
  <si>
    <t>Rotter</t>
  </si>
  <si>
    <t>Decay, Plague Ridden</t>
  </si>
  <si>
    <t>Descomposición, Infectado</t>
  </si>
  <si>
    <t>Pestilenzialisch, Verweseung</t>
  </si>
  <si>
    <t>Décomposition, Contagieux</t>
  </si>
  <si>
    <t>Pestigor</t>
  </si>
  <si>
    <t>Horns, Plague Ridden, Regeneration</t>
  </si>
  <si>
    <t>Cuernos, Infectado, Regeneración</t>
  </si>
  <si>
    <t>Hörner, Pestilenzialisch, Regeneration</t>
  </si>
  <si>
    <t>Cornes, Contagieux, Régénération</t>
  </si>
  <si>
    <t>Bloater</t>
  </si>
  <si>
    <t>Disturbing Presence, Foul Appearance, Plague Ridden, Regeneration</t>
  </si>
  <si>
    <t>Presencia perturbadora, Apariencia asquerosa, Infectado, Regeneración</t>
  </si>
  <si>
    <t>Verstörende Präsenz, Abstoßendes Aussehen, Pestilenzialisch, Regeneration</t>
  </si>
  <si>
    <t>Présence Perturbante, Répulsion, Contagieux, Régénération</t>
  </si>
  <si>
    <t>Rotspawn</t>
  </si>
  <si>
    <t>Disturbing Presence, Foul Appearance, Loner (4+), Mighty Blow (+1), Plague Ridden, Really Stupid, Regeneration, Tentacles</t>
  </si>
  <si>
    <t>Presencia perturbadora, Apariencia asquerosa, Solitario (4+), Golpe mortífero (+1), Infectado, Realmente estúpido, Regeneración</t>
  </si>
  <si>
    <t>Verstörende Präsenz, Abstoßendes Aussehen, Einzelgänger (4+), Knochenbrecher (+1), Pestilenzialisch, Saublöd, Regeneration, Tentakel</t>
  </si>
  <si>
    <t>Présence Perturbante, Répulsion, Solitaire (4+), Châtaigne (+1), Contagieux, Gros Débile, Régénération, Tentacule</t>
  </si>
  <si>
    <t>Journey Rotter</t>
  </si>
  <si>
    <t>Loner (4+), Decay, Plague Ridden</t>
  </si>
  <si>
    <t>Soltario (4+), Descomposición, Infectado</t>
  </si>
  <si>
    <t>Einzelgänger (4+), Pestilenzialisch, Verweseung</t>
  </si>
  <si>
    <t>Solitaire (4+), Décomposition, Contagieux</t>
  </si>
  <si>
    <t>Gnoblar</t>
  </si>
  <si>
    <t>Dodge, Right Stuff, Side Step, Stunty, Titchy</t>
  </si>
  <si>
    <t>Esquivar, Humanoide bala, Echarse a un lado, Escurridizo, Canijo</t>
  </si>
  <si>
    <t>Ausweichen, Lebensmüde, Gewandt, Kleinwüchsig, Winzig</t>
  </si>
  <si>
    <t>Esquive, Poids Plume, Glissade contrôlée, Minus, Microbe</t>
  </si>
  <si>
    <t xml:space="preserve">Ogre </t>
  </si>
  <si>
    <t>Bone Head, Mighty Blow (+1), Thick Skull, Throw Team-mate</t>
  </si>
  <si>
    <t>Estúpido, Golpe mortífero (+1), Cabeza dura, Lanzar Compañero</t>
  </si>
  <si>
    <t>Blöd, Knochenbrecher (+1), Robust, Mitspieler werfen</t>
  </si>
  <si>
    <t>Cerveau Lent, Châtaigne (+1), Crâne épais, Lancer de Coéquipier</t>
  </si>
  <si>
    <t>Runt Punter</t>
  </si>
  <si>
    <t>Bone Head, Kick Teammate, Mighty Blow (+1), Thick Skull</t>
  </si>
  <si>
    <t>Estúpido, Patear compañero, Golpe mortífero (+1), Cabeza dura</t>
  </si>
  <si>
    <t>Blöd, Mitspieler schießen, Knochenbrecher (+1), Robust</t>
  </si>
  <si>
    <t>Cerveau Lent, Botter de coéquipier, Châtaigne (+1), Crâne épais</t>
  </si>
  <si>
    <t>Journey Gnoblar</t>
  </si>
  <si>
    <t>Loner (4+), Dodge, Right Stuff, Side Step, Stunty, Titchy</t>
  </si>
  <si>
    <t>Solitario (4+), Esquivar, Humanoide bala, Echarse a un lado, Escurridizo, Canijo</t>
  </si>
  <si>
    <t>Einzelgänger (4+), Ausweichen, Lebensmüde, Gewandt, Kleinwüchsig, Winzig</t>
  </si>
  <si>
    <t>Solitaire (4+), Esquive, Poids Plume, Glissade contrôlée, Minus, Microbe</t>
  </si>
  <si>
    <t>Animosity (all Dwarf and Halfling team-mates), Catch, Dodge</t>
  </si>
  <si>
    <t>Animosidad (todos los Enanos y Halflings), Atrapar, Esquivar</t>
  </si>
  <si>
    <t>Animosität (alle Zwergen und Halbling Mitspieler), Fangsicher, Ausweichen</t>
  </si>
  <si>
    <t>Animosité (tout coéquipier Dwarf ou Halfling), Réception , Esquive</t>
  </si>
  <si>
    <t>Animosity (all Dwarf and Halfling team-mates), Pass, Sure Hands</t>
  </si>
  <si>
    <t>Animosidad (todos los Enanos y Halflings), Pasar, Manos seguras</t>
  </si>
  <si>
    <t>Animosität (alle Zwergen und Halbling Mitspieler), Wurfsicher, Ballgefühl</t>
  </si>
  <si>
    <t>Animosité (tout coéquipier Dwarf ou Halfling), Passe, Prise Sûre</t>
  </si>
  <si>
    <t>Animosity (all Dwarf and Halfling team-mates), Block</t>
  </si>
  <si>
    <t>Animosidad (todos los Enanos y Halflings), Placar</t>
  </si>
  <si>
    <t>Animosität (alle Zwergen und Halbling Mitspieler), Block</t>
  </si>
  <si>
    <t>Animosité (tout coéquipier Dwarf ou Halfling), Blocage</t>
  </si>
  <si>
    <t>Animosity (all Dwarf and Human team-mates), Dodge, Right Stuff, Stunty</t>
  </si>
  <si>
    <t>Animosidad (todos los Enanos y Humanos), Esquivar, Humanoide bala, Escurridizo</t>
  </si>
  <si>
    <t>Animosität (alle Zwergen und Menschen Mitspieler), Ausweichen, Lebensmüde, Kleinwüchsig</t>
  </si>
  <si>
    <t>Animosité (tout coéquipier Dwarf ou Human), Esquive, Poids Plume, Minus</t>
  </si>
  <si>
    <t>Dwarf Blocker</t>
  </si>
  <si>
    <t>Arm Bar, Brawler, Loner (3+), Thick Skull</t>
  </si>
  <si>
    <t>Llave de brazo, Luchador, Solitario (3+), Cabeza dura</t>
  </si>
  <si>
    <t>Armhebel, Raufbold, Einzelgänger (3+), Robust</t>
  </si>
  <si>
    <t>Clé de bras, Bagarreur, Solitaire (3+), Crâne épais</t>
  </si>
  <si>
    <t>Dwarf Runner</t>
  </si>
  <si>
    <t>Loner (3+), Sure Hands, Thick Skull</t>
  </si>
  <si>
    <t>Solitario (3+), Manos seguras, Cabeza dura</t>
  </si>
  <si>
    <t>Einzelgänger (3+), Ballgefühl, Robust</t>
  </si>
  <si>
    <t>Solitaire (3+), Prise Sûre, Crâne épais</t>
  </si>
  <si>
    <t>Dwarf Blitzer</t>
  </si>
  <si>
    <t>Block, Loner (3+), Thick Skull</t>
  </si>
  <si>
    <t>Placar, Solitario (3+), Cabeza dura</t>
  </si>
  <si>
    <t>Block, Einzelgänger (3+), Robust</t>
  </si>
  <si>
    <t>Blocage, Solitaire (3+), Crâne épais</t>
  </si>
  <si>
    <t>Dwarf Troll Slayer</t>
  </si>
  <si>
    <t>Block, Dauntless, Frenzy, Loner (3+), Thick Skull</t>
  </si>
  <si>
    <t>Placar, Furia, Agallas, Solitario (3+), Cabeza dura</t>
  </si>
  <si>
    <t>Block, Unerschrocken, Rasend, Einzelgänger (3+), Robust</t>
  </si>
  <si>
    <t>Blocage, Intrépide, Frénésie, Solitaire (3+), Crâne épais</t>
  </si>
  <si>
    <t>Mighty Blow (+1), Loner (4+), Stand Firm, Strong Arm, Take Root, Thick Skull, Throw Team-mate, Timmm-ber!</t>
  </si>
  <si>
    <t>Golpe mortífero (+1), Solitario (4+), Mantenerse firme, Brazo fuerte, Echar raíces, Cabeza dura, Lanzar compañero, ¡Tronco va!</t>
  </si>
  <si>
    <t>Knochenbrecher (+1), Einzelgänger (4+), Standfest, Robust, Wurzeln schlagen, Robust, Mitspieler werfen, Baum fällt!</t>
  </si>
  <si>
    <t>Châtaigne (+1), Solitaire (4+), Stabilité, Bras musclé, Prendre Racine, Crâne épais, Lancer de Coéquipier, Timmm-ber!</t>
  </si>
  <si>
    <t>Animosity (Orc Linemen)</t>
  </si>
  <si>
    <t>Animosidad (Orc Linemen)</t>
  </si>
  <si>
    <t>Animosität (Ork Linemen)</t>
  </si>
  <si>
    <t>Animosité (Orc Linemen)</t>
  </si>
  <si>
    <t xml:space="preserve">Goblin </t>
  </si>
  <si>
    <t>Animosity (alle Mitspieler), Pass, Sure Hands</t>
  </si>
  <si>
    <t>Animosidad (todo el equipo), Pasar, Manos seguras</t>
  </si>
  <si>
    <t>Animosität (alle Mitspieler), Wurfsicher, Ballgefühl</t>
  </si>
  <si>
    <t>Animosité (tout coéquipier), Passe, Prise Sûre</t>
  </si>
  <si>
    <t>Big Un</t>
  </si>
  <si>
    <t>Animosity (Big Un Blockers)</t>
  </si>
  <si>
    <t>Animosidad (Big Un Blockers)</t>
  </si>
  <si>
    <t>Animosität (Big Un Blockers)</t>
  </si>
  <si>
    <t>Animosité (Big Un Blocageers)</t>
  </si>
  <si>
    <t>Animosity (alle Mitspieler), Block</t>
  </si>
  <si>
    <t>Animosidad (todo el equipo), Placar</t>
  </si>
  <si>
    <t>Animosität (alle Mitspieler), Block</t>
  </si>
  <si>
    <t>Animosité (tout coéquipier), Blocage</t>
  </si>
  <si>
    <t>Untrained Troll</t>
  </si>
  <si>
    <t>Journey Orc</t>
  </si>
  <si>
    <t>Loner (4+), Animosity (Orc Linemen)</t>
  </si>
  <si>
    <t>Solitario (4+), Animosidad (Orc Linemen)</t>
  </si>
  <si>
    <t>Einzelgänger (4+), Animosität (Ork Linemen)</t>
  </si>
  <si>
    <t>Solitaire (4+), Animosité (Orc Linemen)</t>
  </si>
  <si>
    <t>Skeleton</t>
  </si>
  <si>
    <t>Regeneration, Thick Skull</t>
  </si>
  <si>
    <t>Regeneración, Cabeza dura</t>
  </si>
  <si>
    <t>Regeneration, Robust</t>
  </si>
  <si>
    <t>Régénération, Crâne épais</t>
  </si>
  <si>
    <t>Wight</t>
  </si>
  <si>
    <t>Block, Regeneration</t>
  </si>
  <si>
    <t>Placar, Regeneración</t>
  </si>
  <si>
    <t>Blocage, Régénération</t>
  </si>
  <si>
    <t>Mummy</t>
  </si>
  <si>
    <t>Mighty Blow (+1), Regeneration</t>
  </si>
  <si>
    <t>Golpe mortífero (+1), Regeneración</t>
  </si>
  <si>
    <t>Knochenbrecher (+1), Regeneration</t>
  </si>
  <si>
    <t>Châtaigne (+1), Régénération</t>
  </si>
  <si>
    <t>Skeleton Journeyman</t>
  </si>
  <si>
    <t>Loner (4+), Regeneration, Thick Skull</t>
  </si>
  <si>
    <t>Solitario (4+), Regeneración, Cabeza dura</t>
  </si>
  <si>
    <t>Einzelgänger (4+), Regeneration, Robust</t>
  </si>
  <si>
    <t>Solitaire (4+), Régénération, Crâne épais</t>
  </si>
  <si>
    <t>Zombie Journeyman</t>
  </si>
  <si>
    <t>Pogo Stick, Very Long Legs</t>
  </si>
  <si>
    <t>Pogo saltarín, Piernas muy largas</t>
  </si>
  <si>
    <t>Pogo-Stick, Sehr lange Beine</t>
  </si>
  <si>
    <t>Echasse à Ressort, Très longues jambes</t>
  </si>
  <si>
    <t>Diving Catch, Pogo Stick, Very Long Legs</t>
  </si>
  <si>
    <t>Recepción heroica, Pogo saltarín, Piernas muy largas</t>
  </si>
  <si>
    <t>Hechtsprung, Pogo-Stick, Sehr lange Beine</t>
  </si>
  <si>
    <t>Réception plongeante , Echasse à Ressort, Très longues jambes</t>
  </si>
  <si>
    <t>Diving Tackle, Jump Up, Pogo Stick, Very Long Legs</t>
  </si>
  <si>
    <t>Placaje heroico, En pie de un salto, Pogo saltarín, Piernas muy largas</t>
  </si>
  <si>
    <t>Fliegender Tackle, Aufspringen, Pogo-Stick, Sehr lange Beine</t>
  </si>
  <si>
    <t>Tacle plongeant , Rétablissement, Echasse à Ressort, Très longues jambes</t>
  </si>
  <si>
    <t>Bonehead, Loner (4+), Mighty Blow (+1), Prehensile Tail, Thick Skull</t>
  </si>
  <si>
    <t>Bonehead, Einzelgänger (4+), Knochenbrecher (+1), Klammerschwanz, Robust</t>
  </si>
  <si>
    <t>Bonehead, Solitaire (4+), Châtaigne (+1), Queue préhensile, Crâne épais</t>
  </si>
  <si>
    <t>Journey Slann</t>
  </si>
  <si>
    <t>Loner (4+), Pogo Stick, Very Long Legs</t>
  </si>
  <si>
    <t>Solitario (4+), Pogo saltarín, Piernas muy largas</t>
  </si>
  <si>
    <t>Einzelgänger (4+), Pogo-Stick, Sehr lange Beine</t>
  </si>
  <si>
    <t>Solitaire (4+), Echasse à Ressort, Très longues jambes</t>
  </si>
  <si>
    <t>Gutter Runner</t>
  </si>
  <si>
    <t>Rat Ogre</t>
  </si>
  <si>
    <t>Journey Skaven</t>
  </si>
  <si>
    <t>Anointed Throwers</t>
  </si>
  <si>
    <t>Pass, Regeneration, Sure Hands, Thick Skull</t>
  </si>
  <si>
    <t>Pasar, Regeneración, Manos seguras, Cabeza dura</t>
  </si>
  <si>
    <t>Wurfsicher, Regeneration, Ballgefühl, Robust</t>
  </si>
  <si>
    <t>Passe, Régénération, Prise Sûre, Crâne épais</t>
  </si>
  <si>
    <t>Anointed Blitzers</t>
  </si>
  <si>
    <t>Block, Regeneration, Thick Skull</t>
  </si>
  <si>
    <t>Placar, Regeneración, Cabeza dura</t>
  </si>
  <si>
    <t>Block, Regeneration, Robust</t>
  </si>
  <si>
    <t>Blocage, Régénération, Crâne épais</t>
  </si>
  <si>
    <t>Tomb Guardian</t>
  </si>
  <si>
    <t>Decay, Regeneration</t>
  </si>
  <si>
    <t>Descomposición, Regeneración</t>
  </si>
  <si>
    <t>Verwesung, Regeneration</t>
  </si>
  <si>
    <t>Décomposition, Régénération</t>
  </si>
  <si>
    <t>Journey Skeleton</t>
  </si>
  <si>
    <t>Dodge, Right Stuff, Side Step, Stunty, Swarming, Titchy</t>
  </si>
  <si>
    <t>Esquivar, Humanoide bala, Echarse a un lado, Escurridizo, Colocarse, Canijo</t>
  </si>
  <si>
    <t>Ausweichen, Lebensmüde, Gewandt, Kleinwüchsig, Wuseln, Winzig</t>
  </si>
  <si>
    <t>Esquive, Poids Plume, Glissade contrôlée, Minus, Déferlement, Microbe</t>
  </si>
  <si>
    <t>Fungus Flinga</t>
  </si>
  <si>
    <t>Bombardier, Dodge, Right Stuff, Secret Weapon, Side Step, Stunty</t>
  </si>
  <si>
    <t>Bombardero, Esquivar, Humanoide bala, Arma secreta, Echarse a un lado, Escurridizo</t>
  </si>
  <si>
    <t>Bombardier, Ausweichen, Lebensmüde, Versteckte Waffe, Gewandt, Kleinwüchsig</t>
  </si>
  <si>
    <t>Bombardier, Esquive, Poids Plume, Arme Secrète, Glissade contrôlée, Minus</t>
  </si>
  <si>
    <t>Fun-hoppa</t>
  </si>
  <si>
    <t>Dodge, Pogo Stick, Right Stuff, Side Step, Stunty</t>
  </si>
  <si>
    <t>Esquivar, Pogo saltarín, Humanoide bala, Echarse a un lado, Escurridizo</t>
  </si>
  <si>
    <t>Ausweichen, Pogo-Stick, Lebensmüde, Gewandt, Kleinwüchsig</t>
  </si>
  <si>
    <t>Esquive, Echasse à Ressort, Poids Plume, Glissade contrôlée, Minus</t>
  </si>
  <si>
    <t>Stilty Runna</t>
  </si>
  <si>
    <t>Dodge, Right Stuff, Side Step, Sprint, Stunty</t>
  </si>
  <si>
    <t>Esquivar, Humanoide bala, Echarse a un lado, Carrera, Escurridizo</t>
  </si>
  <si>
    <t>Ausweichen, Lebensmüde, Gewandt, Sprinten, Kleinwüchsig</t>
  </si>
  <si>
    <t>Esquive, Poids Plume, Glissade contrôlée, Sprint, Minus</t>
  </si>
  <si>
    <t>Pump Wagon</t>
  </si>
  <si>
    <t>Dirty Player (+1), Juggernaut, Mighty Blow (+1), Really Stupid, Secret Weapon, Stand Firm</t>
  </si>
  <si>
    <t>Juego sucio (+1), Imparable, Golpe mortífero (+1), Realmente estúpido, Arma secreta, Mantenerse firme</t>
  </si>
  <si>
    <t>Brutal (+1), Schweres Gerät, Knochenbrecher (+1), Saublöd, Versteckte Waffe, Standfest</t>
  </si>
  <si>
    <t>Joueur Déloyal (+1), Juggernaut, Châtaigne (+1), Gros Débile, Arme Secrète, Stabilité</t>
  </si>
  <si>
    <t>Journey Snotling</t>
  </si>
  <si>
    <t>Loner (4+), Dodge, Right Stuff, Side Step, Stunty, Swarming, Titchy</t>
  </si>
  <si>
    <t>Solitario (4+), Esquivar, Humanoide bala, Echarse a un lado, Escurridizo, Colocarse, Canijo</t>
  </si>
  <si>
    <t>Einzelgänger (4+), Ausweichen, Lebensmüde, Gewandt, Kleinwüchsig, Wuseln, Winzig</t>
  </si>
  <si>
    <t>Solitaire (4+), Esquive, Poids Plume, Glissade contrôlée, Minus, Déferlement, Microbe</t>
  </si>
  <si>
    <t>Skaven Clanrat</t>
  </si>
  <si>
    <t>Animosity (Underworld Goblin Linemen)</t>
  </si>
  <si>
    <t>Animosidad (Underworld Goblin Linemen)</t>
  </si>
  <si>
    <t>Animosität (Underworld Goblin Linemen)</t>
  </si>
  <si>
    <t>Animosité (Underworld Goblin Linemen)</t>
  </si>
  <si>
    <t>Skaven Thrower</t>
  </si>
  <si>
    <t>Animosity (Underworld Goblin Linemen), Pass, Sure Hands</t>
  </si>
  <si>
    <t>Animosidad (Underworld Goblin Linemen), Pasar, Manos seguras</t>
  </si>
  <si>
    <t>Animosität (Underworld Goblin Linemen), Wurfsicher, Ballgefühl</t>
  </si>
  <si>
    <t>Animosité (Underworld Goblin Linemen), Passe, Prise Sûre</t>
  </si>
  <si>
    <t>Animosity (Underworld Goblin Linemen), Dodge</t>
  </si>
  <si>
    <t>Animosidad (Underworld Goblin Linemen), Esquivar</t>
  </si>
  <si>
    <t>Animosität (Underworld Goblin Linemen), Ausweichen</t>
  </si>
  <si>
    <t>Animosité (Underworld Goblin Linemen), Esquive</t>
  </si>
  <si>
    <t>Skaven Blitzer</t>
  </si>
  <si>
    <t>Animosity (Underworld Goblin Linemen), Block</t>
  </si>
  <si>
    <t>Animosidad (Underworld Goblin Linemen), Placar</t>
  </si>
  <si>
    <t>Animosität (Underworld Goblin Linemen), Block</t>
  </si>
  <si>
    <t>Animosité (Underworld Goblin Linemen), Blocage</t>
  </si>
  <si>
    <t>Underworld Troll</t>
  </si>
  <si>
    <t>Mutant Rat Ogre</t>
  </si>
  <si>
    <t>Thrall</t>
  </si>
  <si>
    <t>Animal Savagery, Hypnotic Gaze, Regeneration</t>
  </si>
  <si>
    <t>Ferocidad animal, Mirada hipnótica, Regeneración</t>
  </si>
  <si>
    <t>Animalische Brutalität, Hypnotischer Blick, Regeneration</t>
  </si>
  <si>
    <t>Sauvagerie Animale, Regard Hypnotique, Régénération</t>
  </si>
  <si>
    <t>Journey Thrall</t>
  </si>
  <si>
    <t>Wardancer</t>
  </si>
  <si>
    <t>Block, Dodge, Leap</t>
  </si>
  <si>
    <t>Placar, Esquivar, Saltar</t>
  </si>
  <si>
    <t>Block, Ausweichen, Springen</t>
  </si>
  <si>
    <t>Blocage, Esquive, Saut</t>
  </si>
  <si>
    <t>Treeman</t>
  </si>
  <si>
    <t>Loner (4+), Mighty Blow (+1), Stand Firm, Strong Arm, Take Root, Thick Skull, Throw Team-Mate</t>
  </si>
  <si>
    <t>Solitario (4+), Golpe mortífero (+1), Mantenerse firme, Brazo fuerte, Echar raíces, Cabeza dura, Lanzar compañero</t>
  </si>
  <si>
    <t>Einzelgänger (4+), Knochenbrecher (+1), Standfest, Robust, Wurzeln schlagen, Robust, Mitspieler werfen</t>
  </si>
  <si>
    <t>Solitaire (4+), Châtaigne (+1), Stabilité, Bras musclé, Prendre Racine, Crâne épais, Lancer de Coéquipier</t>
  </si>
  <si>
    <t>NAME</t>
  </si>
  <si>
    <t>SPECIAL RULE</t>
  </si>
  <si>
    <t>SR ENGLISH</t>
  </si>
  <si>
    <t>SR SPANISH</t>
  </si>
  <si>
    <t>SR DEUTCH</t>
  </si>
  <si>
    <t>SR FRENCH</t>
  </si>
  <si>
    <t>SR ITALIAN</t>
  </si>
  <si>
    <t>S ENGLISH</t>
  </si>
  <si>
    <t>S SPANISH</t>
  </si>
  <si>
    <t>S DEUTCH</t>
  </si>
  <si>
    <t>S FRENCH</t>
  </si>
  <si>
    <t>S ITALIAN</t>
  </si>
  <si>
    <t>BASE</t>
  </si>
  <si>
    <t>AAA</t>
  </si>
  <si>
    <t>Akhorne the Squirrel</t>
  </si>
  <si>
    <t>2+</t>
  </si>
  <si>
    <t>6+</t>
  </si>
  <si>
    <t>Blind Rage: Akhorne may choose to re-roll the D6 when rolling for the Dauntless skill</t>
  </si>
  <si>
    <t>Furia ciega: Akhorne puede elegir volver a tirar el D6 cuando tira la habilidad de Agallas</t>
  </si>
  <si>
    <t>Blinde Wut: Akhorne darf einen D6 erneut würfeln, wenn es die Fertigkeit UNERSCHROCKEN einsetzt.</t>
  </si>
  <si>
    <t>Rage Aveulge : Akhorne peut choisir de relancer le dé durant un jet pour la compétence Intrépide</t>
  </si>
  <si>
    <t>Claws, Dauntless, Dodge, Frenzy, Jump Up, Loner (4+), No Hands, Sidestep, Stunty, Titchy</t>
  </si>
  <si>
    <t>Garras, Agallas, Furia, En pie de un salto, Solitario (4+), Sin manos, Echarse a un lado, Escurridizo, Canijo</t>
  </si>
  <si>
    <t>Klauen, Unerschrocken, Ausweichen, Rasend, Aufspringen, Einzelgänger (4+), Keine Hände, Gewandt, Kleinwüchsig, Winzig</t>
  </si>
  <si>
    <t>Griffes, Intrépide, Esquive, Frénésie, Rétablissement, Solitaire (4+), Sans les Mains, Glissade Contrôlée, Minus, Microbe</t>
  </si>
  <si>
    <t>AAC</t>
  </si>
  <si>
    <t>Helmut Wulf</t>
  </si>
  <si>
    <t>3+</t>
  </si>
  <si>
    <t>9+</t>
  </si>
  <si>
    <t>Old Pro: Once per game, Helmut may use his Pro skill to re-roll a single dice rolled as part of an Armour roll</t>
  </si>
  <si>
    <t>Viejo profesional: Una vez por partido, Helmut puese usar su habilidad Pro para repetir un solo dado de la tirada de Armadura</t>
  </si>
  <si>
    <t>Alter Profi: Einmal pro Spile darf Helmut seine Fertigkeit Profi einsetzen, um einen einzelnen Würfel neu zu werfen, der als Teil eines Rüstungswurfs geworfen wurde.</t>
  </si>
  <si>
    <t>Vieux Pro : Une fois par match Helmut peut utiliser sa compténce Pro pour relancer un seul dé d'un jet d'Armure</t>
  </si>
  <si>
    <t>Chainsaw, Loner (4+), Pro, Secret Weapon, Stand Firm</t>
  </si>
  <si>
    <t>Motosierra, Solitario (4+), Pro, Arma secreta, Mantenerse firme</t>
  </si>
  <si>
    <t>Kettensäge, Einzelgänger (4+), Profi, Versteckte Waffe, Standfest</t>
  </si>
  <si>
    <t>Tronçonneuse, Solitaire (4+), Pro, Arme Secrète, Stabilité</t>
  </si>
  <si>
    <t>AAO</t>
  </si>
  <si>
    <t>The Black Gobbo</t>
  </si>
  <si>
    <t>Sneakiest of the Lot: If your team includes the Black Gobbo, you may commit two Foul actions per team turn, provided one of your Foul actions is committed by the Black Gobbo himself</t>
  </si>
  <si>
    <t>El más astuto de todos: Si tu equipo incluye al Black Gobbo, puedes cometer dos acciones de falta por turno, siempre que una de las faltas sea cometida por el mismo Black Gobbo.</t>
  </si>
  <si>
    <t>Der Heimtückischte von allen: Wenn dein Team den Black Gobbo enthält, darfst du zwei Foulen-Aktionen pro Team-Spielzug durchführen, vorausgesetzt eine Foulen-Aktion wird vom Black Gobbo selbst ausgeführt.</t>
  </si>
  <si>
    <t xml:space="preserve">Le Plus Sournois de Tous : Si votre équipe inclut le Black Gobo, vous pouvez effectuer deux Agression par tour d'équipe, tant que l'une d'elles est comise par le Black Gobo </t>
  </si>
  <si>
    <t>Bombardier, Disturbing Presence, Dodge, Loner (3+), Side Step, Sneaky Git, Stab, Stunty</t>
  </si>
  <si>
    <t>Bombardero, Presencia perturbadora, Esquivar, Solitario (3+), Echarse a un lado, Rastrero, Puñal, Escurridizo</t>
  </si>
  <si>
    <t>Bombardier, Verstörende Präsenz, Ausweichen, Einzelgänger (3+), Gewandt, Heimtückisch, Niederstechen, Kleinwüchsig</t>
  </si>
  <si>
    <t>Bombardier, Présence Perturbante, Esquive, Solitaire (3+), Glissade Contrôlée, Sournois, Poignard, Minus</t>
  </si>
  <si>
    <t>AAS</t>
  </si>
  <si>
    <t>Grak</t>
  </si>
  <si>
    <t>4+</t>
  </si>
  <si>
    <t>10+</t>
  </si>
  <si>
    <t>Two for One: Grak and Crumbleberry must be hired as a pair and count as two Star Players. However, if either Grak or Crumbleberry is removed from play due to suffering a KO’d or Casualty! result on the Injury table, the other replaces the Loner (4+) trait with the Loner (2+) trait</t>
  </si>
  <si>
    <t>Dos por uno: Grak y Crumbleberry deben ser contratados en pareja y cuentan como dos Jugadores Estrella. Sin embargo, si Grak o Crumbleberry es retirado del juego debido a un resultado de KO'd o Casualty! en la tabla de lesiones, el otro sustituye el rasgo de Solitario (4+) por el rasgo de Solitario (2+)</t>
  </si>
  <si>
    <t>Zwei zum Preis von einem: Grak und Crumbleberry müssen als Paar angeheuert werden und zählen als zwei Starspieler.  Aber wenn Grak oder Crumbleberry durch ein Ereignis K.O. oder Verlust auf der Verletzungstabelle aus dem Spiel entfernt werden, ersetzt der andere das Merkmal Einzelgänger (4+) durch Einzelgänger (2+).</t>
  </si>
  <si>
    <t>Deux pour Un : Grak et Crumbleberry doivent être recrutés ensemble et comptent comme deux Star Players. Cependant, si Grak ou Crumbleberry est retiré du jeu à cause d'un résultat KO ou Eliminé ! sur le tableau des blessures, l'autre remplace le trait Solitaire (4+) par Solitaire (2+).</t>
  </si>
  <si>
    <t>Bone Head, Kick Team-mate, Loner (4+), Mighty Blow (+1), Thick Skull</t>
  </si>
  <si>
    <t>Estúpido, Patear compañero, Solitario (4+), Golpe mortífero (+1), Cabeza dura</t>
  </si>
  <si>
    <t>Blöd, Kicken Team-mate, Einzelgänger (4+), Knochenbrecher (+1), Thick Skull</t>
  </si>
  <si>
    <t>Cerveau Lent, Botter de coéquipier, Solitaire (4+), Châtaigne (+1), Crâne épais</t>
  </si>
  <si>
    <t>AAT</t>
  </si>
  <si>
    <t>Crumbleberry</t>
  </si>
  <si>
    <t>7+</t>
  </si>
  <si>
    <t>Dodge, Loner (4+), Right Stuff, Stunty, Sure Hands</t>
  </si>
  <si>
    <t>Esquivar, Solitario (4+), Humanoide bala, Escurridizo, Manos seguras</t>
  </si>
  <si>
    <t>Ausweichen, Einzelgänger (4+), Lebensmüde, Kleinwüchsig, Ballgefühl</t>
  </si>
  <si>
    <t>Esquive, Solitaire (4+), Poids Plume, Minus, Prise Sûre</t>
  </si>
  <si>
    <t>ABB</t>
  </si>
  <si>
    <t>Varag Ghoul-Chewer</t>
  </si>
  <si>
    <t>5+</t>
  </si>
  <si>
    <t>Crushing Blow: Once per game, when an opposition player is Knocked Down as the result of a Block action performed by Varag, you may apply an additional +1 modifier to the Armour roll. This modifier may be applied after the roll has been made</t>
  </si>
  <si>
    <t>Golpe de aplastamiento: Una vez por partida, cuando un jugador oponente es derribado como resultado de una acción de bloqueo realizada por Varag, puedes aplicar un modificador adicional +1 a la tirada de Armadura. Este modificador puede aplicarse después de que se haya realizado la tirada)</t>
  </si>
  <si>
    <t>Schmetterschlag: Einmal pro Spiel, wenn ein gegnerischer Spieler als Folge einer von Varag ausgeführten Blocken-Aktion zu Boden geht,  kannst du einen zusätzlichen Modifikator von +1 auf den Rüstungswurf anwenden.  Dieser Modifikator darf angewendet werden, nachdem der Wurf abgelegt wurde.</t>
  </si>
  <si>
    <t>Coup Destructeur : Une fois par match, quand un joueur adverse est plaqué en résultat d'un Blocage de Varag, vous pouvez appliquer un modificateur additionnel de +1 au jet d'Armure.Ce modificateur peut être appliqué après le jet de dés.</t>
  </si>
  <si>
    <t>Block, Jump Up, Loner (4+), Mighty Blow (+1), Thick Skull</t>
  </si>
  <si>
    <t>Placar, En pie de un salto, Solitario (4+), Golpe mortífero (+1), Cabeza dura</t>
  </si>
  <si>
    <t>Block, Aufspringen, Einzelgänger (4+), Knochenbrecher (+1), Thick Skull</t>
  </si>
  <si>
    <t>Blocage, Rétablissement, Solitaire (4+), Châtaigne (+1), Crâne épais</t>
  </si>
  <si>
    <t>ABE</t>
  </si>
  <si>
    <t>Morg 'n' Thorg</t>
  </si>
  <si>
    <t>11+</t>
  </si>
  <si>
    <t>The Ballista: Once per game, if Morg fails the Passing Ability test when making a Pass action or a Throw Team-mate action, you may re-roll the D6</t>
  </si>
  <si>
    <t>La Ballesta: Una vez por partido, si Morg falla el test de habilidad para pasar cuando hace una acción de pasar o una acción de lanzar a un compañero de equipo, puede volver a tirar el D6</t>
  </si>
  <si>
    <t>Die Ballista: Einmal pro Spiel, wenn Morg der Wurfgeschicklichkeitstest misslingt, wenn er eine Pass-Aktion oder eine Mitspieler-werfen-Aktion ausführt, kannst du den W6 erneut werfen.</t>
  </si>
  <si>
    <t>La Baliste : Une fois par match, si Morg rate le jet de Passe quand il effectue une Passe ou un Lancer de coéquipier, vous pouvez relance le D6.</t>
  </si>
  <si>
    <t>Block, Loner (4+), Mighty Blow (+2), Thick Skull, Throw Team-mate</t>
  </si>
  <si>
    <t>Placar, Solitario (4+), Golpe mortífero (+2), Cabeza dura, Lanzar compañero</t>
  </si>
  <si>
    <t>Block, Einzelgänger (4+), Knochenbrecher (+2), Thick Skull, Mitspieler werfen</t>
  </si>
  <si>
    <t>Blocage, Solitaire (4+), Châtaigne (+2), Crâne épais, Lancer de Coéquipier</t>
  </si>
  <si>
    <t>AAH</t>
  </si>
  <si>
    <t>Hakflem Skuttlespike</t>
  </si>
  <si>
    <t>8+</t>
  </si>
  <si>
    <t>Treacherous: Once per game, if a team-mate in an adjacent square to Hakflem is in possession of the ball when Hakflem is activated, that player may immediately be Knocked Down and Hakflem may take possession of the ball. No Turnover is caused as a result of using this special rule</t>
  </si>
  <si>
    <t>Traicionero: Una vez por partido, si un compañero de equipo en una casilla adyacente a Hakflem está en posesión del balón cuando Hakflem se activa, ese jugador puede ser derribado inmediatamente y Hakflem puede tomar posesión del balón. No se produce ningún cambio de turno como resultado del uso de esta regla especial</t>
  </si>
  <si>
    <t>Verräterisch: Einmal pro Spiel, falls ein Mitspieler in einem zu Hakflem benachbarten Feld in Ballbesitz ist, wenn Hakflem aktiviert wird, kann dieser Spieler sofort zu Boden gehen und Hakflem den Ball in Besitz nehmen.  Es kommt nicht zu einem Zugverlust als Folge der Verwendung dieser Sonderregel.</t>
  </si>
  <si>
    <t xml:space="preserve">Traître : Une fois par match, si un équiper sur une case adjacente à Hakflem est en possession du ballon quand Hakflem est activé, ce joueur peut immédiatement être Plaqué et Hakflem peut prendre possession du ballon. L'utilisation de cette règle spéciale n'entraîne pas de Turnover. </t>
  </si>
  <si>
    <t>Dodge, Extra Arms, Loner (4+), Prehensile Tail, Two Heads</t>
  </si>
  <si>
    <t>Esquivar, Brazos adicionales, Solitario (4+), Cola prensil, Dos cabezas</t>
  </si>
  <si>
    <t>Ausweichen, Zusätzliche Arme, Einzelgänger (4+), Klammerschwanz, Zwei Köpfe</t>
  </si>
  <si>
    <t>Esquive, Bras supplémentaire, Solitaire (4+), Queue préhensile, Deux têtes</t>
  </si>
  <si>
    <t>AAI</t>
  </si>
  <si>
    <t>Glart Smashrip</t>
  </si>
  <si>
    <t>Frenzied Rush: Once per game, when Glart performs a Blitz action, he may gain the Frenzy skill. You must declare this special rule is being used when Glart is activated. Glart may not use the Grab skill during a turn in which he uses this special rule</t>
  </si>
  <si>
    <t>Carrera frenética: Una vez por partido, cuando Glart realiza una acción Blitz, puede ganar la habilidad Furia. Debes declarar que esta regla especial se usa cuando Glart es activado. Glart no puede usar la habilidad de Apartar durante el turno en el que use esta regla especial.</t>
  </si>
  <si>
    <t>Rasender Rausch: Einmal pro Spiel darf Glart, wenn er eine Blitzen-Aktion ausführt, die Fertigkeit Rasend erhalten.  Du musst ansagen, dass du diese Sonderregel einsetzt, wenn Glart aktiviert wird.  Glart darf in einem Zug, in dem diese Sonderregel verwendet wird, nicht die Fertigkeit Greifer benutzen.</t>
  </si>
  <si>
    <t>Elan Frénétique : Une fois par match, quand Glart effectue un Blitz il peut gagner la compétence Frénésie. Vous devez déclarer que cette règle spéciale est utilisée quand Glart est activé. Glart ne peut pas utiliser la compétence Projection pendant un tour où il utilise cette règle.</t>
  </si>
  <si>
    <t>Block, Claw, Grab, Juggernaut, Loner (4+), Stand Firm</t>
  </si>
  <si>
    <t>Placar, Garras, Apartar, Imparable, Solitario (4+), Mantenerse firme</t>
  </si>
  <si>
    <t>Block, Klauen, Greifer, Schweres Gerät, Einzelgänger (4+), Standfest</t>
  </si>
  <si>
    <t>Blocage, Griffes, Projection, Juggernaut, Solitaire (4+), Stabilité</t>
  </si>
  <si>
    <t>AAG</t>
  </si>
  <si>
    <t>Rumbelow Sheepskin</t>
  </si>
  <si>
    <t>Ram: Once per game, when an opposition player is Knocked Down as the result of a Block action performed by Rumbelow, you may apply an additional +1 modifier to either the Armour roll or Injury roll. This modifier may be applied after the roll has been made.</t>
  </si>
  <si>
    <t>Carnero: Una vez por partido, cuando un jugador oponente es derribado como resultado de una acción de placaje realizada por Rumbelow, puedes aplicar un modificador adicional +1 a la tirada de Armadura o a la de Herida. Este modificador puede aplicarse después de que se haya realizado la tirada.</t>
  </si>
  <si>
    <t>Sturmbock: Einmal pro Spiel, wenn ein gegnerischer Spieler als Folge einer von Rumbelow ausgeführten Blocken-Aktion zu Boden geht, kannst du einen zusätzlichen Modifikator von +1 auf den Rüstungs- oder den Verletzungswurf anwenden.  Dieser Modifikator darf angewendet werden, nachdem der Wurf abgelegt wurde.</t>
  </si>
  <si>
    <t xml:space="preserve">Bellier : Une fois par match, quand un joueur adverse est Plaqué en résultat d'un Blocade de Rumbelow, vous pouvez appliquer un modificateur additionnel de +1 au jet d'Armure ou au jet de Blessure. Ce modificateur peut être appliqué après le jet de dés. </t>
  </si>
  <si>
    <t>Block, Horns, Juggernaut, Loner (4+), No Hands, Tackle, Thick Skull</t>
  </si>
  <si>
    <t>Placar, Cuernos, Imparable, Solitario (4+), Sin manos, Placaje defensivo, Cabeza dura</t>
  </si>
  <si>
    <t>Block, Hörner, Schweres Gerät, Einzelgänger (4+), Keine Hände, Tackle, Thick Skull</t>
  </si>
  <si>
    <t>Blocage, Cornes, Juggernaut, Solitaire (4+), Sans les Mains, Tacle, Crâne épais</t>
  </si>
  <si>
    <t>AAJ</t>
  </si>
  <si>
    <t>Grim Ironjaw</t>
  </si>
  <si>
    <t>Slayer: Once per game, when an opposition player with a Strength characteristic of 5 or more is Knocked Down as the result of a Block action performed by Grim, you may apply an additional +1 modifier to either the Armour roll or Injury roll. This modifier may be applied after the roll has been made.</t>
  </si>
  <si>
    <t>Matador: Una vez por partido, cuando un jugador oponente con una característica de Fuerza de 5 o más es derribado como resultado de una acción de placaje realizada por Grim, puedes aplicar un modificador adicional +1 a la tirada de Armadura o a la de Herida. Este modificador puede aplicarse después de que se haya realizado la tirada.</t>
  </si>
  <si>
    <t>Slayer: Einmal pro Spiel kannst du, wenn ein gegnerischer Spieler mit einem Stärkewert von 5 oder mehr als Folge einer von Grim ausgeführten Blocken-Aktion zu Boden geht, einen zusätzlichen Modifikator von +1 auf den Rüstungs- oder Verletzungswurf anwenden.  Dieser Modifikator darf angewendet werden, nachdem der Wurf abgelegt wurde.</t>
  </si>
  <si>
    <t>Tueur : Une fois par match, quand un joueur adverse avec une caractéristique de Force de 5 ou plus est Plaqué en résultat d'un Blocage de Grim, vous pouvez appliquer un modificateur additionnel de +1 au jet d'Arure ou au jet de Blessure. Ce modificateur peut être appliqué après le jet de dés.</t>
  </si>
  <si>
    <t>Block, Dauntless, Frenzy, Loner (4+), Multiple Block, Thick Skull</t>
  </si>
  <si>
    <t>Placar, Agallas, Furia, Solitario (4+), Placaje múltiple, Cabeza dura</t>
  </si>
  <si>
    <t>Block, Unerschrocken, Rasend, Einzelgänger (4+), Multiple Block, Thick Skull</t>
  </si>
  <si>
    <t>Blocage, Intrépide, Frénésie, Solitaire (4+), Bloquage Multiple, Crâne épais</t>
  </si>
  <si>
    <t>AAK</t>
  </si>
  <si>
    <t>Grombrindal, the White Dwarf</t>
  </si>
  <si>
    <t>Wisdom of the White Dwarf: Once per team turn, when one of Grombrindal’s team-mates that is in an adjacent square is activated, that player gains either the Break Tackle, Dauntless, Mighty Blow (+1) or Sure Feet skill until the end of their activation</t>
  </si>
  <si>
    <t>Sabiduría del Enano Blanco: Una vez por turno de equipo, cuando uno de los compañeros de Grombrindal que está en una casilla adyacente es activado, ese jugador gana la habilidad de Abrirse paso, Agallas, Golpe Mortífero (+1) o Pies firmes hasta el final de su activación.</t>
  </si>
  <si>
    <t>Weisheit des Weißen Zwergs: Einmal pro Team-Spielzug, wenn einer von Grombrindrals Mitspielern in einem zu ihm benachbarten Feld aktiviert wird, erhält der Spieler bis zum Ende seiner Aktivierung die Fertigkeit Knochenbrecher (+1), Sprintsicher, Tackle durchbrechen oder Unerschrocken.</t>
  </si>
  <si>
    <t>Sagesse du Nain Blanc : Une fois par tour d'équipe, quand un des coéquipiers de Grombrindal se trouvant sur une case adjacente à lui est activé, ce joueur gagne au choix la compétence Esquive en Force, Intrépide, Châtaigne (+1) ou Équilibre, jusqu’à la fin de son activation.</t>
  </si>
  <si>
    <t>Block, Dauntless, Loner (4+), Mighty Blow (+1), Stand Firm, Thick Skull</t>
  </si>
  <si>
    <t>Placar, Agallas, Solitario (4+), Golpe mortífero (+1), Mantenerse firme, Cabeza dura</t>
  </si>
  <si>
    <t>Block, Unerschrocken, Einzelgänger (4+), Knochenbrecher (+1), Standfest, Thick Skull</t>
  </si>
  <si>
    <t>Blocage, Intrépide, Solitaire (4+), Châtaigne (+1), Stabilité, Crâne épais</t>
  </si>
  <si>
    <t>AAL</t>
  </si>
  <si>
    <t>Karla Von Kill</t>
  </si>
  <si>
    <t>Indomitable: Once per game, when Karla successfully rolls to use her Dauntless skill, she may increase her Strength characteristic to double that of the nominated target of her Block action</t>
  </si>
  <si>
    <t>Indomable: Una vez por partido, cuando Karla tira con éxito para usar su habilidad Agallas, puede aumentar su característica de fuerza para doblar la del objetivo elegido en su acción de placaje.</t>
  </si>
  <si>
    <t>Unbezwingbar: Einmal pro Spiel, wenn der Wurf für Karlas Fertigkeit Unerschrocken erfolgreich ist, darf sie ihren Stärkewert auf das Doppelte des Stärkewerts des angesagten Ziels der Blocken-Aktion erhöhen.</t>
  </si>
  <si>
    <t>Indomptable : Une fois par match, quand Karla réussit son jet pour utiliser sa compétence Intrépide, elle peut augmenter sa caractéristique de Force pour être le double de celle de la cible du Blocage.</t>
  </si>
  <si>
    <t>Block, Dauntless, Dodge, Jump Up, Loner (4+)</t>
  </si>
  <si>
    <t>Placar, Agallas, Esquivar, En pie de un salto, Solitario (4+)</t>
  </si>
  <si>
    <t>Block, Unerschrocken, Ausweichen, Aufspringen, Einzelgänger (4+)</t>
  </si>
  <si>
    <t>Blocage, Intrépide, Esquive, Rétablissement, Solitaire (4+)</t>
  </si>
  <si>
    <t>AAZ</t>
  </si>
  <si>
    <t>Deeproot Strongbranch</t>
  </si>
  <si>
    <t>Reliable: If Deeproot fumbles a Throw Team-mate action, the player that was to be thrown will bounce as normal but will automatically land safely</t>
  </si>
  <si>
    <t>Fiable: Si Deeproot falla en una acción de lanzar a un compañero, el jugador que iba a ser lanzado rebotará normalmente pero aterrizará automáticamente de forma segura.</t>
  </si>
  <si>
    <t>Verlässlich: Wenn Deeproot eine aktion Mitspieler werfen verpatzt, verspringt der Spieler, der geworfen werden sollte, wie üblich, landet aber automatisch sicher.</t>
  </si>
  <si>
    <t>Fiable : Si Deeproot commet une maladresse avec l'action Lancer de Coéquipier, le joueur lancé rebondit normalement mais atterrit automatiquement sur ses pieds.</t>
  </si>
  <si>
    <t>Block, Loner (4+), Mighty Blow (+2), Stand Firm, Strong Arm, Thick Skull, Throw Team-mate, Timmm-ber!</t>
  </si>
  <si>
    <t>Placar, Solitario (4+), Golpe mortífero (+2), Mantenerse firme, Brazo fuerte, Cabeza dura, Lanzar compañero, ¡Árbol va!</t>
  </si>
  <si>
    <t>Block, Einzelgänger (4+), Knochenbrecher (+2), Standfest, Robust, Thick Skull, Mitspieler werfen, Baum fällt!</t>
  </si>
  <si>
    <t>Blocage, Solitaire (4+), Châtaigne (+2), Stabilité, Bras musclé, Crâne épais, Lancer de Coéquipier, Timmm-ber!</t>
  </si>
  <si>
    <t>ABA</t>
  </si>
  <si>
    <t>Griff Oberwald</t>
  </si>
  <si>
    <t>Consummate Professional: Once per game, Griff may re-roll one dice that was rolled either as a single dice roll, as part of a multiple dice roll or as part of a dice pool (this cannot be a dice that was rolled as part of an Armour, Injury or Casualty roll)</t>
  </si>
  <si>
    <t>Profesional consumado: Una vez por partido, Griff puede volver a lanzar un dado que se haya tirado como una sola tirada, como parte de una tirada múltiple o como parte de un grupo de dados (no puede ser un dado que se haya tirado como parte de una tirada de Armadura o Herida)</t>
  </si>
  <si>
    <t>Vollprofi: Einmal pro Spiel darf Griff einen Würfel erneut werfen, der einzeln, als Teil eines Wurfs mit mehreren Würfeln oder als Teil eines Würfelvorrats geworfen wurde (dabei darf es sich nicht um einen Würfel handeln, der als Teil eines Rüstungswurfs, Verletzungswurfs oder eines Wurfs auf der Verletzungstabellen geworfen wurde).</t>
  </si>
  <si>
    <t xml:space="preserve">Grand Professionnel : Une fois par match, Griff peut relancer un dé qui a été jeté soit pour un jet d'un seul dé, soit pour un jet de plusieurs dés ou faisant parti d'un groupe de dés (il ne peut pas s'agir d'un dé jeté pour un jet d'Armure, de Blessure ou d'Elimination). </t>
  </si>
  <si>
    <t>Block, Dodge, Fend, Loner (3+), Sprint, Sure Feet</t>
  </si>
  <si>
    <t>Placar, Esquivar, Zafarse, Solitario (3+), Esprintar, Pies firmes</t>
  </si>
  <si>
    <t>Block, Ausweichen, Abwehren, Einzelgänger (3+), Sprinten, Sprintensicher</t>
  </si>
  <si>
    <t>Blocage, Esquive, Parade, Solitaire (3+), Sprint, Équilibre</t>
  </si>
  <si>
    <t>AAR</t>
  </si>
  <si>
    <t>Frank 'n' Stein</t>
  </si>
  <si>
    <t>Brutal Block: Once per game, when Frank 'n' Stein makes an Injury roll against an opponent as a result of a Block action, he may choose to add an additional +1 modifierto the Injury roll. This modifier may be applied after the roll has been made.</t>
  </si>
  <si>
    <t>Brutaler Block: einmal pro Spiel, wenn Frank 'n' Stein einen Verletzungswurf gegen einen Gegner als Resultat einer Bocken-Aktion macht, darf er einen zusätzlichen Modifikator von +1 auf den verletzungswurf anwenden.  Dieser Modifikator darf angewendet werden, nachdem der Wurf abgelegt wurde.</t>
  </si>
  <si>
    <t>Blocage Brutal : Une fois par match, quand Franck'n'Stein fait un jet de Blessure contre un joueur adverse en résultat d'une action de Blocage, il peut choisir d'ajouer un modificateur de +1 au jet de Blessure. Ce modificateur peut être appliqué après le jet de dés.</t>
  </si>
  <si>
    <t>Break Tackle, Loner (4+), Mighty Blow (+1), Regeneration, Stand Firm, Thick Skull</t>
  </si>
  <si>
    <t>Abrirse paso, Solitario (4+), Golpe mortífero (+1), Regeneración, Mantenerse firme, Cabeza dura</t>
  </si>
  <si>
    <t>Tackle durchbrechen, Einzelgänger (4+), Knochenbrecher (+1), Regeneration, Standfest, Thick Skull</t>
  </si>
  <si>
    <t>Esquive en force, Solitaire (4+), Châtaigne (+1), Régénération, Stabilité, Crâne épais</t>
  </si>
  <si>
    <t>AAE</t>
  </si>
  <si>
    <t>Skrull Halfheight</t>
  </si>
  <si>
    <t>Strong Passing Game: Once per game, after making a Passing Ability test to perform a Pass action, Skrull may choose to modify the dice roll by adding his Strength characteristic to it</t>
  </si>
  <si>
    <t>Fuerte juego de pases: Una vez por partido, después de hacer una tirada de habilidad de pase para realizar un pase, Skrull puede elegir modificar la tirada de dados añadiendo su característica de fuerza.</t>
  </si>
  <si>
    <t>Starkes Passspiel: Einmal pro Spiel, nachdem Skrull einen Wurfgeschicklichkeitstest abgelegt hat, um eine Passenaktion auszuführen, kannst du dich dazu entscheiden, den Wurf zu modifizieren, indem du seinen Stärkewert zum Ergebnis addierst.</t>
  </si>
  <si>
    <t>Jeu de Passe Supreme : Une fois par match, après avoir effectué le test de Passe quand il effectue une Passe, Skrull peut décider de modifier le jet de dés en lui ajoutant sa valeur de caractéristique de Force.</t>
  </si>
  <si>
    <t>Accurate, Loner (4+), Nerves of Steel, Pass, Regeneration, Sure Hands, Thick Skull</t>
  </si>
  <si>
    <t>Precisión, Solitario (4+), Nervios de acero, Pasar, Regeneración, Manos seguras, Cabeza dura</t>
  </si>
  <si>
    <t>Zielsicher, Einzelgänger (4+), Nerven aus Stahl, Wurfsicher, Regeneration, Ballgefühl, Thick Skull</t>
  </si>
  <si>
    <t>Précision, Solitaire (4+), Nerfs d’acier, Passe, Régénération, Prise sûre, Crâne épais</t>
  </si>
  <si>
    <t>AAD</t>
  </si>
  <si>
    <t>Gloriel Summerbloom</t>
  </si>
  <si>
    <t>Shot to Nothing: Once per game, when Gloriel performs a Pass action, she may gain the Hail Mary Pass skill. You must declare this special rule is being used when Gloriel is activated</t>
  </si>
  <si>
    <t>Disparo a la nada: Una vez por partido, cuando Gloriel realiza una acción de pase, puede ganar la habilidad de Pase a lo loco. Debes declarar que esta regla especial se usa en el momento que Gloriel es activado.</t>
  </si>
  <si>
    <t>Schuss ins Blaue: Einmal pro Spiel darf Gloriel, wenn sie eine Passen-Aktion ausführt, die Fertigkeit Hau wech das Leder erhalten.  Du musst ansagen, dass du diese Sonderregel einsetzt, wenn Gloriel aktiviert wird.</t>
  </si>
  <si>
    <t>Tout ou Rien : Une fois par match, quand Gloriel effectue une Passe elle peut gagner la compétence Passe Désespérée. Vous devez déclarer que cette règle spéciale est utilisée quand Gloriel est activée.</t>
  </si>
  <si>
    <t>Accurate, Dodge, Loner (3+), Pass, Side Step, Sure Hands</t>
  </si>
  <si>
    <t>Precisión, Esquivar, Solitario (3+), Pasar, Echarse a un lado, Manos seguras</t>
  </si>
  <si>
    <t>Zielsicher, Ausweichen, Einzelgänger (3+), Wurfsicher, Gewandt, Ballgefühl</t>
  </si>
  <si>
    <t>Précision, Esquive, Solitaire (3+), Passe, Glissade Contrôlée, Prise sûre</t>
  </si>
  <si>
    <t>AAF</t>
  </si>
  <si>
    <t>Willow Rosebark</t>
  </si>
  <si>
    <t>Indomitable: Once per game, when Willow successfully rolls to use her Dauntless skill, she may increase her Strength characteristic to double that of the nominated target of her Block action</t>
  </si>
  <si>
    <t>Indomable: Una vez por partido, cuando Willow lanza con éxito para usar su habilidad Agallas, puede aumentar su característica de fuerza para doblar la del objetivo nominado en su acción de Bloqueo</t>
  </si>
  <si>
    <t>Unbezwingbar: Einmal pro Spiel, wenn der Wurf für Willows Fertigkeit Unerschrocken erfolgreich ist, darf sie ihren Stärkewert auf das Doppelte des Stärkewerts des angesagten Ziels der Blocken-Aktion erhöhen.</t>
  </si>
  <si>
    <t>Indomptable : Une fois par match, quand Willow réussit son jet pour utiliser sa compétence Intrépide, elle peut augmenter sa caractéristique de Force pour être le double de celle de la cible du Blocage.</t>
  </si>
  <si>
    <t>Dauntless, Loner (4+), Side Step, Thick Skull</t>
  </si>
  <si>
    <t>Agallas, Solitario (4+), Echarse a un lado, Cabeza dura</t>
  </si>
  <si>
    <t>Unerschrocken, Einzelgänger (4+), Gewandt, Thick Skull</t>
  </si>
  <si>
    <t>Intrépide, Solitaire (4+), Glissade Contrôlée, Crâne épais</t>
  </si>
  <si>
    <t>AAP</t>
  </si>
  <si>
    <t>Eldril Sidewinder</t>
  </si>
  <si>
    <t>Mesmerizing Dance: Once per game, Eldril may re-roll a failed Agility test when attempting to use the Hypnotic Gaze trait</t>
  </si>
  <si>
    <t>Danza hipnotizante: Una vez por partido, Eldril puede repetir una tirada de agilidad fallida al intentar usar el rasgo de Mirada hipnótica.</t>
  </si>
  <si>
    <t>Hypnotischer Tanz: Einmal pro Spiel darf Eldril einen misslungenen Geschicklichkeitstest wiederholen, wenn er versucht, die Fertigkeit Hypnotischer Blick einzusetzen.</t>
  </si>
  <si>
    <t>Danse Hypnotique : Une fois par match, Eldril peut relancer un test d'Agilité raté quand il tente d'utiliser le trait Regard Hypnotique</t>
  </si>
  <si>
    <t>Catch, Dodge, Hypnotic Gaze, Loner (4+), Nerves of Steel, On the Ball</t>
  </si>
  <si>
    <t>Atrapar, Esquivar, Mirada hipnótica, Solitario (4+), Nervios de acero, Atento al balón</t>
  </si>
  <si>
    <t>Fangsicher, Ausweichen, Hypnotischer Blick, Einzelgänger (4+), Nerven aus Stahl, Immer am Ball</t>
  </si>
  <si>
    <t>Réception , Esquive, Regard Hypnotique, Solitaire (4+), Nerfs d’acier, Sur le ballon</t>
  </si>
  <si>
    <t>AAQ</t>
  </si>
  <si>
    <t>Zolcath the Zoat</t>
  </si>
  <si>
    <t>“Excuse Me, Are You a Zoat?”: Once per game, when Zolcath is activated, he may gain the Hypnotic Gaze trait. You must declare this special rule is being used when Zolcath is activated</t>
  </si>
  <si>
    <t>Disculpa, ¿eres un Zoat?: Una vez por partido, cuando Zolcath es activado, puede obtener el rasgo de Mirada hipnótica. Debes declarar que esta regla especial se usa cuando Zolcath es activado</t>
  </si>
  <si>
    <t>"Entschuldigen Sie, sind Sie ein Zoat?": Einmal pro Spiel, wenn Zolcath aktiviert wird, darf er das Merkmal Hypnotischer Blick erhalten.  Du musst ansagen, dass du diese Sonderregel verwendest, wenn Zolcath aktiviert wird.</t>
  </si>
  <si>
    <t>"Etes-vous un Zoat ?" : Une fois par match, quand Zolcath est active, il peut gagner le trait Regard Hypnotique. Vous devez déclarer que cette règle spéciale est utilisée quand Zolcath est activé</t>
  </si>
  <si>
    <t>Disturbing Presence, Juggernaut, Loner (4+), Mighty Blow (+1), Prehensile Tail, Regeneration, Sure Feet</t>
  </si>
  <si>
    <t>Presencia perturbadora, Imparable, Solitario (4+), Golpe mortífero (+1), Cola prensil, Regeneración, Pies firmes</t>
  </si>
  <si>
    <t>Verstörende Präsenz, Schweres Gerät, Einzelgänger (4+), Knochenbrecher (+1), Klammerschwanz, Regeneration, Sprintensicher</t>
  </si>
  <si>
    <t>Présence Perturbante, Juggernaut, Solitaire (4+), Châtaigne (+1), Queue préhensile, Régénération, Équilibre</t>
  </si>
  <si>
    <t>AAY</t>
  </si>
  <si>
    <t>Roxanna Darknail</t>
  </si>
  <si>
    <t>1+</t>
  </si>
  <si>
    <t>Burst of Speed: Once per game, Roxanna may attempt to Rush three times, rather than the usual two. You may declare you are using this special rule after Roxanna has Rushed twice</t>
  </si>
  <si>
    <t>Ráfaga de velocidad: Una vez por partido, Roxanna puede intentar esprintar tres veces, en lugar de las dos habituales. Puedes declarar que estás usando esta regla especial después de que Roxanna se haya esprintado dos veces</t>
  </si>
  <si>
    <t>Spurt: Einmal pro Spiel darf Roxanna dreimal versuchen zu eilen statt der üblichen zweimal.  Du darfst ansagen, dass du diese Sonderregel benutzt, nachdem Roxanna zweimal geeilt ist.</t>
  </si>
  <si>
    <t>Pointe de Vitesse : Une fois par match, Roxana peut tenter de Foncer trois fois au lieu de deux. Vous pouvez déclarer que vous utilisez cette règle spéciale après que Roxana a Foncé deux fois.</t>
  </si>
  <si>
    <t>Dodge, Frenzy, Jump Up, Juggernaut, Leap, Loner (4+)</t>
  </si>
  <si>
    <t>Esquivar, Imparable, Furia, En pie de un salto, Saltar, Solitario (4+)</t>
  </si>
  <si>
    <t>Ausweichen, Rasend, Aufspringen, Schweres Gerät, Springen, Einzelgänger (4+)</t>
  </si>
  <si>
    <t>Esquive, Frénésie, Rétablissement, Juggernaut, Saut, Solitaire (4+)</t>
  </si>
  <si>
    <t>ABC</t>
  </si>
  <si>
    <t>Lucien Swift</t>
  </si>
  <si>
    <t>Two for One: The Swift Twins must be hired as a pair and count as two Star Players. However, if either Lucien or Valen is removed from play due to suffering a KO’d or Casualty! result on the Injury table, the other replaces the Loner (4+) trait with the Loner (2+) trait</t>
  </si>
  <si>
    <t>Dos por uno: Los gemelos veloces deben ser contratados en pareja y cuentan como dos jugadores estrella. Sin embargo, si Lucien o Valen es retirado del juego debido a un resultado de KO o Herido en la tabla de lesiones, el otro sustituye el rasgo de solitario (4+) por el rasgo de solitario (2+)</t>
  </si>
  <si>
    <t>Zwei zum Preis von einem: Die Swift-Zwillinge müssen als Paar angeheuert werden und zählen als zwei Starspieler.  Aber wenn Lucien oder Valien durch ein Ereignis K.O. oder Verlust auf der Verletzungstabelle aus dem Spiel entfernt werden, ersetzt der andere das Merkmal Einzelgänger (4+) durch Einzelgänger (2+).</t>
  </si>
  <si>
    <t>Deux pour Un : Les Swift Twins doivent être recrutés ensemble et comptent comme deux Star Players. Cependant, si Lucien ou Valen est retiré du jeu à cause d'un résultat KO ou Eliminé ! sur le tableau des blessures, l'autre remplace le trait Solitaire (4+) par Solitaire (2+).</t>
  </si>
  <si>
    <t>Block, Loner (4+), Mighty Blow (+1), Tackle</t>
  </si>
  <si>
    <t>Placar, Solitario (4+), Golpe mortífero (+1), Placaje defensivo</t>
  </si>
  <si>
    <t>Block, Einzelgänger (4+), Knochenbrecher (+1), Tackle</t>
  </si>
  <si>
    <t>Blocage, Solitaire (4+), Châtaigne (+1), Tacle</t>
  </si>
  <si>
    <t>ABD</t>
  </si>
  <si>
    <t>Valen Swift</t>
  </si>
  <si>
    <t>Accurate, Loner (4+), Nerves of Steel, Pass, Safe Pass, Sure Hands</t>
  </si>
  <si>
    <t>Precisión, Solitario (4+), Nervios de acero, Pasar, Pase seguro, Manos seguras</t>
  </si>
  <si>
    <t>Zielsicher, Einzelgänger (4+), Nerven aus Stahl, Wurfsicher, Sicherer Pass, Ballgefühl</t>
  </si>
  <si>
    <t>Précision, Solitaire (4+), Nerfs d’acier, Passe, Passe Assurée, Prise sûre</t>
  </si>
  <si>
    <t>AAW</t>
  </si>
  <si>
    <t>Lord Borak</t>
  </si>
  <si>
    <t>Lord of Chaos: A team that includes Lord Borak gains an extra Team re-roll for the first half of the game. If this Team re-roll is not used during the first half, it may be carried over into the second half. However, if Lord Borak is removed from play before this re-roll is used, it is lost</t>
  </si>
  <si>
    <t>Señor del Caos: Un equipo que incluye a Lord Borak gana una segunda oportunidad para la primera mitad del partido. Si esta segunda oportunidad no se usa durante la primera mitad, puede ser llevada a la segunda mitad. Sin embargo, si Lord Borak es retirado del juego antes de que se use, se pierde...</t>
  </si>
  <si>
    <t>Chaosfürst: Ein Team, das Lord Borak enthält, erhält einen zusätzlichen Team-Wiederholungswurf für die erste Halbzeit des Spiels.  Falls dieser Team-Wiederholungswurf während der ersten Halbzeit nicht benutzt wird, kann er in die zweite Halbzeit übertragen werden.  Aber falls Lord Borak aus dem Spiel entfernt wird, bevor dieser Wiederholungswurf benutzt wird, geht er verloren.</t>
  </si>
  <si>
    <t xml:space="preserve">Seigneur du Chaos : Une équipe qui inclut Lord Borak gagne une relance d'équipe supplémentaire pour la première mi-temps. Si elle n'est pas utilisée pour le première mi-temps, elle est transférée pour la seconde mi-temps. Cependant, si Lord Borak est retiré du jeu avant l'utilisation de cette relance, elle est alors perdue. </t>
  </si>
  <si>
    <t>Block, Dirty Player (+2), Loner (4+), Mighty Blow (+1), Sneaky Git</t>
  </si>
  <si>
    <t>Placar, Juego sucio (+2), Solitario (+4), Golpe mortífero (+1), Rastrero</t>
  </si>
  <si>
    <t>Block, Brutal (+2), Einzelgänger (4+), Knochenbrecher (+1), Heimtückisch</t>
  </si>
  <si>
    <t>Blocage, Joueur Déloyal (+2), Solitaire (4+), Châtaigne (+1), Sournois</t>
  </si>
  <si>
    <t>AAB</t>
  </si>
  <si>
    <t>Bryce 'the Slice' Cambuel</t>
  </si>
  <si>
    <t>Ghostly Flames: Once por half, when Bryce makes the Chainsaw Attack Special action as part of a Blitz action, he may add +4 to the Armour roll against the opponent rather than +3</t>
  </si>
  <si>
    <t>Llamas fantasmales: Una vez por parte, cuando Bryce hace la acción especial de Ataque con Motosierra como parte de una acción Penetración, puede añadir +4 a la tirada de Armadura contra el oponente en lugar de +3</t>
  </si>
  <si>
    <t>Geisterhafte Flammen: Einmal pro Halbzeit, wenn Bryce einen Kettensägenangriff als Teil einer Blitz-Aktion macht, darf er +4 anstatt +3 zum Rüstungswurf des Gegners addieren.</t>
  </si>
  <si>
    <t>Flammes Spectrales : Une fois par match, quand Bryce utilise le trait Tronçonneuse alors qu'il réalise un Blitz, il peut ajouter un modificateur de +4 à son jet d'Armure contre l'adversaires au lieu de +3</t>
  </si>
  <si>
    <t>Chainsaw, Loner (4+), Regeneration, Secret Weapon, Stand Firm, Thick Skull</t>
  </si>
  <si>
    <t>Motosierra, Solitario (4+), Regeneración, Arma secreta, Mantenerse firme, Cabeza dura</t>
  </si>
  <si>
    <t>Kettensäge, Einzelgänger (4+), Regeneration, Versteckte Waffe, Standfest, Thick Skull</t>
  </si>
  <si>
    <t>Tronçonneuse, Solitaire (4+), Régénération, Arme Secrète, Stabilité, Crâne épais</t>
  </si>
  <si>
    <t>AAN</t>
  </si>
  <si>
    <t>Wilhelm Chaney</t>
  </si>
  <si>
    <t>Savage Mauling: Once per game, when Wilhelm makes an Injury roll against an opposing player, he may choose to re-roll the result</t>
  </si>
  <si>
    <t>Auyido salvaje: Una vez por partido, cuando Wilhelm hace una tirada de lesión contra un jugador contrario, puede elegir volver a tirar el resultado</t>
  </si>
  <si>
    <t>Wildes Zerfleischen: Einmal pro Spiel, wenn Wilhelm einen Verletzungswurf gegen einer gegnerische Spieler macht, darf er den Wurf wiederholen.</t>
  </si>
  <si>
    <t>Ecrasement Sauvage : Une fois par match, quand Wilhelm réalise un jet de Blessure contre un adversaire, il peut décider de relancer ce jet.</t>
  </si>
  <si>
    <t>Catch, Claws, Frenzy, Loner (4+), Regeneration, Wrestle</t>
  </si>
  <si>
    <t>Atrapar, Garras, Furia, Solitario (4+), Regeneración, Forcejear</t>
  </si>
  <si>
    <t>Fangsicher, Klauen, Rasend, Einzelgänger (4+), Regeneration, Wrestling</t>
  </si>
  <si>
    <t>Réception , Griffes, Frénésie, Solitaire (4+), Régénération, Lutte</t>
  </si>
  <si>
    <t>AAV</t>
  </si>
  <si>
    <t>Gretchen Wächter</t>
  </si>
  <si>
    <t>Incorporeal: Once per game, after making an Agility test to dodge, Gretchen may choose to modify the dice roll by adding her Strength characteristic to it</t>
  </si>
  <si>
    <t>Incorporal: Una vez por partido, después de hacer una tirada de agilidad para esquivar, Gretchen puede elegir modificar la tirada de los dados añadiendo su característica de fuerza.</t>
  </si>
  <si>
    <t>Körperlos: Einmal pro Spiel, nachdem Gretchen einen Geschicklichkeitstest abgelegt hat, um auszuweichen, kann sie den Würfelwurf modifizieren, indem sie ihren Stärkewert hinzuaddiert.</t>
  </si>
  <si>
    <t>Ethérée : Une fois par match, après un test d'Agilité pour Esquiver, Gretchen peut décider de modifier le résultat en y ajoutant sa caractéristique de Force</t>
  </si>
  <si>
    <t>Disturbing Presence, Dodge, Foul Appearance, Jump Up, Loner (4+), No Hands, Regeneration, Shadowing, Side Step</t>
  </si>
  <si>
    <t>Presencia perturbadora, Esquivar, Apariencia asquerosa, En pie de un salto, Solitario (4+), Sin manos, Regeneración, Perseguir, Echarse a un lado</t>
  </si>
  <si>
    <t>Verstörende Präsenz, Ausweichen, Abstoßendes Aussehen, Aufspringen, Einzelgänger (4+), Keine Hände, Regeneration, Manndeckung, Gewandt</t>
  </si>
  <si>
    <t>Présence Perturbante, Esquive, Répulsion, Rétablissement, Solitaire (4+), Sans les Mains, Régénération, Poursuite, Glissade Contrôlée</t>
  </si>
  <si>
    <t>AAM</t>
  </si>
  <si>
    <t>Mighty Zug</t>
  </si>
  <si>
    <t>Crushing Blow: Once per game, when an opposition player is Knocked Down as the result of a Block action performed by Zug, you may apply an additional +1 modifier to the Armour roll. This modifier may be applied after the roll has been made</t>
  </si>
  <si>
    <t>Golpe de aplastamiento: Una vez por partida, cuando un jugador oponente es derribado como resultado de una acción de bloqueo realizada por Zug, puedes aplicar un modificador adicional +1 a la tirada de Armadura. Este modificador puede aplicarse después de que se haya realizado la tirada)</t>
  </si>
  <si>
    <t>Schmetterschlag: Einmal pro Spiel, wenn ein gegnerischer Spieler als Folge einer von Zug ausgeführten Blocken-Aktion zu Boden geht,  kannst du einen zusätzlichen Modifikator von +1 auf den Rüstungswurf anwenden.  Dieser Modifikator darf angewendet werde nachdem der Wurf abgelegt wurde.</t>
  </si>
  <si>
    <t>Coup Destructeur : Une fois par match, quand un joueur adverse est plaqué en résultat d'un Blocage de Zug, vous pouvez appliquer un modificateur additionnel de +1 au jet d'Armure.Ce modificateur peut être appliqué après le jet de dés.</t>
  </si>
  <si>
    <t>Block, Loner (4+), Mighty Blow (+1)</t>
  </si>
  <si>
    <t>Placar, Solitario (4+), Golpe mortífero (+1)</t>
  </si>
  <si>
    <t>Block, Einzelgänger (4+), Knochenbrecher (+1)</t>
  </si>
  <si>
    <t>Blocage, Solitaire (4+), Châtaigne (+1)</t>
  </si>
  <si>
    <t>HalflingThimbleCup</t>
  </si>
  <si>
    <t>WorldsEdgeSuperleague</t>
  </si>
  <si>
    <t>FavouredOf</t>
  </si>
  <si>
    <t>FavouredOfWorldsEdgeSuperleagueBadlandsBrawl</t>
  </si>
  <si>
    <t>x</t>
  </si>
  <si>
    <t>Comitato Dopolavoro Badanti Lustriane - Sgaua</t>
  </si>
  <si>
    <t>Chosen</t>
  </si>
  <si>
    <t>Khorne Flakes - Junkel</t>
  </si>
  <si>
    <t>Zpakka Tutt' i Coz - Luix</t>
  </si>
  <si>
    <t>The Big Bang Theory - Freud</t>
  </si>
  <si>
    <t>Stadium: Bunch of Pacifists</t>
  </si>
  <si>
    <t>Livid Leftovers - Teowulf</t>
  </si>
  <si>
    <t>Slimer</t>
  </si>
  <si>
    <t>Muuvt</t>
  </si>
  <si>
    <t>Sure Hands</t>
  </si>
  <si>
    <t>Guard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</si>
</sst>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58">
    <font>
      <sz val="10"/>
      <color theme="1"/>
      <name val="Arial"/>
    </font>
    <font>
      <b/>
      <sz val="11"/>
      <color rgb="FFFFFFFF"/>
      <name val="Arial"/>
      <family val="2"/>
    </font>
    <font>
      <sz val="10"/>
      <name val="Arial"/>
      <family val="2"/>
    </font>
    <font>
      <u/>
      <sz val="10"/>
      <color rgb="FF0000FF"/>
      <name val="Arial"/>
      <family val="2"/>
    </font>
    <font>
      <sz val="11"/>
      <color rgb="FF000000"/>
      <name val="Inconsolata"/>
    </font>
    <font>
      <b/>
      <sz val="11"/>
      <color theme="0"/>
      <name val="Tahoma"/>
      <family val="2"/>
    </font>
    <font>
      <b/>
      <sz val="11"/>
      <color rgb="FFFFFFFF"/>
      <name val="Tahoma"/>
      <family val="2"/>
    </font>
    <font>
      <sz val="11"/>
      <color rgb="FF000000"/>
      <name val="Tahoma"/>
      <family val="2"/>
    </font>
    <font>
      <sz val="10"/>
      <color rgb="FF000000"/>
      <name val="Arial"/>
      <family val="2"/>
    </font>
    <font>
      <sz val="9"/>
      <color theme="1"/>
      <name val="Arial"/>
      <family val="2"/>
    </font>
    <font>
      <b/>
      <sz val="9"/>
      <color theme="1"/>
      <name val="Tahoma"/>
      <family val="2"/>
    </font>
    <font>
      <sz val="9"/>
      <color theme="1"/>
      <name val="Tahoma"/>
      <family val="2"/>
    </font>
    <font>
      <b/>
      <sz val="8"/>
      <color theme="0"/>
      <name val="Tahoma"/>
      <family val="2"/>
    </font>
    <font>
      <sz val="8"/>
      <color theme="1"/>
      <name val="Tahoma"/>
      <family val="2"/>
    </font>
    <font>
      <b/>
      <sz val="8"/>
      <color theme="1"/>
      <name val="Tahoma"/>
      <family val="2"/>
    </font>
    <font>
      <sz val="10"/>
      <color theme="1"/>
      <name val="Tahoma"/>
      <family val="2"/>
    </font>
    <font>
      <sz val="7"/>
      <color theme="1"/>
      <name val="Tahoma"/>
      <family val="2"/>
    </font>
    <font>
      <sz val="8"/>
      <color theme="1"/>
      <name val="Arial"/>
      <family val="2"/>
    </font>
    <font>
      <sz val="11"/>
      <color theme="1"/>
      <name val="Arial"/>
      <family val="2"/>
    </font>
    <font>
      <sz val="10"/>
      <color theme="0"/>
      <name val="Tahoma"/>
      <family val="2"/>
    </font>
    <font>
      <b/>
      <sz val="10"/>
      <color rgb="FFFF0000"/>
      <name val="Tahoma"/>
      <family val="2"/>
    </font>
    <font>
      <u/>
      <sz val="8"/>
      <color theme="1"/>
      <name val="Tahoma"/>
      <family val="2"/>
    </font>
    <font>
      <b/>
      <sz val="11"/>
      <color theme="1"/>
      <name val="Tahoma"/>
      <family val="2"/>
    </font>
    <font>
      <b/>
      <sz val="10"/>
      <color theme="0"/>
      <name val="Tahoma"/>
      <family val="2"/>
    </font>
    <font>
      <sz val="10"/>
      <color theme="1"/>
      <name val="Calibri"/>
      <family val="2"/>
    </font>
    <font>
      <sz val="11"/>
      <color rgb="FF7E3794"/>
      <name val="Inconsolata"/>
    </font>
    <font>
      <b/>
      <sz val="7"/>
      <color theme="1"/>
      <name val="Arial"/>
      <family val="2"/>
    </font>
    <font>
      <sz val="7"/>
      <color theme="1"/>
      <name val="Arial"/>
      <family val="2"/>
    </font>
    <font>
      <sz val="8"/>
      <color rgb="FFFF0000"/>
      <name val="Tahoma"/>
      <family val="2"/>
    </font>
    <font>
      <b/>
      <sz val="10"/>
      <color rgb="FF00FF00"/>
      <name val="Arial"/>
      <family val="2"/>
    </font>
    <font>
      <b/>
      <sz val="10"/>
      <color rgb="FF00FFFF"/>
      <name val="Arial"/>
      <family val="2"/>
    </font>
    <font>
      <b/>
      <sz val="10"/>
      <color rgb="FFFF0000"/>
      <name val="Arial"/>
      <family val="2"/>
    </font>
    <font>
      <b/>
      <sz val="12"/>
      <color theme="1"/>
      <name val="Arial"/>
      <family val="2"/>
    </font>
    <font>
      <b/>
      <sz val="10"/>
      <color rgb="FF7F7F7F"/>
      <name val="Arial"/>
      <family val="2"/>
    </font>
    <font>
      <b/>
      <sz val="10"/>
      <color theme="1"/>
      <name val="Arial"/>
      <family val="2"/>
    </font>
    <font>
      <b/>
      <sz val="9"/>
      <color theme="1"/>
      <name val="Arial"/>
      <family val="2"/>
    </font>
    <font>
      <sz val="10"/>
      <color rgb="FF333333"/>
      <name val="Arial"/>
      <family val="2"/>
    </font>
    <font>
      <sz val="7"/>
      <color theme="0"/>
      <name val="Arial"/>
      <family val="2"/>
    </font>
    <font>
      <sz val="7"/>
      <color rgb="FF333333"/>
      <name val="Arial"/>
      <family val="2"/>
    </font>
    <font>
      <b/>
      <sz val="12"/>
      <color theme="0"/>
      <name val="Arial"/>
      <family val="2"/>
    </font>
    <font>
      <sz val="8"/>
      <color theme="0"/>
      <name val="Arial"/>
      <family val="2"/>
    </font>
    <font>
      <b/>
      <sz val="8"/>
      <color theme="0"/>
      <name val="Arial"/>
      <family val="2"/>
    </font>
    <font>
      <b/>
      <sz val="20"/>
      <color theme="0"/>
      <name val="Arial"/>
      <family val="2"/>
    </font>
    <font>
      <b/>
      <sz val="8"/>
      <color theme="1"/>
      <name val="Arial"/>
      <family val="2"/>
    </font>
    <font>
      <b/>
      <sz val="9"/>
      <color rgb="FFC00000"/>
      <name val="Arial"/>
      <family val="2"/>
    </font>
    <font>
      <sz val="14"/>
      <color theme="1"/>
      <name val="Arial"/>
      <family val="2"/>
    </font>
    <font>
      <sz val="12"/>
      <color theme="1"/>
      <name val="Arial"/>
      <family val="2"/>
    </font>
    <font>
      <b/>
      <sz val="10"/>
      <color theme="0"/>
      <name val="Arial"/>
      <family val="2"/>
    </font>
    <font>
      <b/>
      <sz val="12"/>
      <color rgb="FF000000"/>
      <name val="Arial"/>
      <family val="2"/>
    </font>
    <font>
      <sz val="8"/>
      <color rgb="FF000000"/>
      <name val="Arial"/>
      <family val="2"/>
    </font>
    <font>
      <b/>
      <sz val="8"/>
      <color rgb="FF000000"/>
      <name val="Arial"/>
      <family val="2"/>
    </font>
    <font>
      <b/>
      <sz val="20"/>
      <color rgb="FF000000"/>
      <name val="Arial"/>
      <family val="2"/>
    </font>
    <font>
      <b/>
      <sz val="9"/>
      <color rgb="FF000000"/>
      <name val="Arial"/>
      <family val="2"/>
    </font>
    <font>
      <sz val="14"/>
      <color rgb="FF000000"/>
      <name val="Arial"/>
      <family val="2"/>
    </font>
    <font>
      <b/>
      <sz val="10"/>
      <color rgb="FF000000"/>
      <name val="Arial"/>
      <family val="2"/>
    </font>
    <font>
      <b/>
      <sz val="18"/>
      <color rgb="FF000000"/>
      <name val="Arial"/>
      <family val="2"/>
    </font>
    <font>
      <sz val="11"/>
      <color rgb="FF000000"/>
      <name val="Arial"/>
      <family val="2"/>
    </font>
    <font>
      <sz val="13"/>
      <color rgb="FF000000"/>
      <name val="Arial"/>
      <family val="2"/>
    </font>
  </fonts>
  <fills count="10">
    <fill>
      <patternFill patternType="none"/>
    </fill>
    <fill>
      <patternFill patternType="gray125"/>
    </fill>
    <fill>
      <patternFill patternType="solid">
        <fgColor theme="0"/>
        <bgColor theme="0"/>
      </patternFill>
    </fill>
    <fill>
      <patternFill patternType="solid">
        <fgColor rgb="FF7F7F7F"/>
        <bgColor rgb="FF7F7F7F"/>
      </patternFill>
    </fill>
    <fill>
      <patternFill patternType="solid">
        <fgColor rgb="FFFFFFFF"/>
        <bgColor rgb="FFFFFFFF"/>
      </patternFill>
    </fill>
    <fill>
      <patternFill patternType="solid">
        <fgColor rgb="FFD8D8D8"/>
        <bgColor rgb="FFD8D8D8"/>
      </patternFill>
    </fill>
    <fill>
      <patternFill patternType="solid">
        <fgColor rgb="FFD9D9D9"/>
        <bgColor rgb="FFD9D9D9"/>
      </patternFill>
    </fill>
    <fill>
      <patternFill patternType="solid">
        <fgColor rgb="FFF2F2F2"/>
        <bgColor rgb="FFF2F2F2"/>
      </patternFill>
    </fill>
    <fill>
      <patternFill patternType="solid">
        <fgColor rgb="FF366092"/>
        <bgColor rgb="FF366092"/>
      </patternFill>
    </fill>
    <fill>
      <patternFill patternType="solid">
        <fgColor rgb="FFC00000"/>
        <bgColor rgb="FFC00000"/>
      </patternFill>
    </fill>
  </fills>
  <borders count="126">
    <border>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bottom/>
      <diagonal/>
    </border>
    <border>
      <left/>
      <right/>
      <top style="thin">
        <color rgb="FF000000"/>
      </top>
      <bottom/>
      <diagonal/>
    </border>
    <border>
      <left style="thin">
        <color rgb="FF000000"/>
      </left>
      <right style="thin">
        <color rgb="FF000000"/>
      </right>
      <top/>
      <bottom/>
      <diagonal/>
    </border>
    <border>
      <left style="thin">
        <color rgb="FF000000"/>
      </left>
      <right/>
      <top/>
      <bottom/>
      <diagonal/>
    </border>
    <border>
      <left style="thin">
        <color rgb="FF000000"/>
      </left>
      <right style="thin">
        <color rgb="FF000000"/>
      </right>
      <top/>
      <bottom style="thin">
        <color rgb="FF000000"/>
      </bottom>
      <diagonal/>
    </border>
    <border>
      <left/>
      <right/>
      <top/>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style="thin">
        <color rgb="FF000000"/>
      </top>
      <bottom/>
      <diagonal/>
    </border>
    <border>
      <left/>
      <right/>
      <top style="thin">
        <color rgb="FF000000"/>
      </top>
      <bottom/>
      <diagonal/>
    </border>
    <border>
      <left/>
      <right/>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top/>
      <bottom style="thin">
        <color rgb="FF000000"/>
      </bottom>
      <diagonal/>
    </border>
    <border>
      <left style="medium">
        <color rgb="FF000000"/>
      </left>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top style="medium">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style="thin">
        <color theme="0"/>
      </bottom>
      <diagonal/>
    </border>
    <border>
      <left style="thin">
        <color rgb="FF000000"/>
      </left>
      <right style="thin">
        <color rgb="FF000000"/>
      </right>
      <top style="thin">
        <color rgb="FF000000"/>
      </top>
      <bottom style="thin">
        <color theme="0"/>
      </bottom>
      <diagonal/>
    </border>
    <border>
      <left/>
      <right style="medium">
        <color rgb="FF000000"/>
      </right>
      <top style="thin">
        <color rgb="FF000000"/>
      </top>
      <bottom style="thin">
        <color theme="0"/>
      </bottom>
      <diagonal/>
    </border>
    <border>
      <left style="medium">
        <color rgb="FF000000"/>
      </left>
      <right/>
      <top/>
      <bottom/>
      <diagonal/>
    </border>
    <border>
      <left/>
      <right/>
      <top/>
      <bottom/>
      <diagonal/>
    </border>
    <border>
      <left style="medium">
        <color rgb="FF000000"/>
      </left>
      <right/>
      <top style="thin">
        <color rgb="FF000000"/>
      </top>
      <bottom style="thin">
        <color rgb="FFF2F2F2"/>
      </bottom>
      <diagonal/>
    </border>
    <border>
      <left/>
      <right/>
      <top style="thin">
        <color rgb="FF000000"/>
      </top>
      <bottom style="thin">
        <color rgb="FFF2F2F2"/>
      </bottom>
      <diagonal/>
    </border>
    <border>
      <left/>
      <right style="medium">
        <color rgb="FF000000"/>
      </right>
      <top style="thin">
        <color rgb="FF000000"/>
      </top>
      <bottom style="thin">
        <color rgb="FFF2F2F2"/>
      </bottom>
      <diagonal/>
    </border>
    <border>
      <left style="thin">
        <color rgb="FF000000"/>
      </left>
      <right/>
      <top style="thin">
        <color rgb="FF000000"/>
      </top>
      <bottom style="thin">
        <color rgb="FFF2F2F2"/>
      </bottom>
      <diagonal/>
    </border>
    <border>
      <left style="medium">
        <color rgb="FF000000"/>
      </left>
      <right style="medium">
        <color rgb="FF000000"/>
      </right>
      <top style="thin">
        <color rgb="FF000000"/>
      </top>
      <bottom style="thin">
        <color rgb="FFF2F2F2"/>
      </bottom>
      <diagonal/>
    </border>
    <border>
      <left style="medium">
        <color rgb="FF000000"/>
      </left>
      <right style="medium">
        <color rgb="FF000000"/>
      </right>
      <top style="thin">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top style="thin">
        <color rgb="FFF2F2F2"/>
      </top>
      <bottom style="medium">
        <color rgb="FF000000"/>
      </bottom>
      <diagonal/>
    </border>
    <border>
      <left/>
      <right/>
      <top style="thin">
        <color rgb="FFF2F2F2"/>
      </top>
      <bottom style="medium">
        <color rgb="FF000000"/>
      </bottom>
      <diagonal/>
    </border>
    <border>
      <left/>
      <right style="medium">
        <color rgb="FF000000"/>
      </right>
      <top style="thin">
        <color rgb="FFF2F2F2"/>
      </top>
      <bottom style="medium">
        <color rgb="FF000000"/>
      </bottom>
      <diagonal/>
    </border>
    <border>
      <left/>
      <right style="thin">
        <color rgb="FF000000"/>
      </right>
      <top style="thin">
        <color rgb="FFF2F2F2"/>
      </top>
      <bottom style="medium">
        <color rgb="FF000000"/>
      </bottom>
      <diagonal/>
    </border>
    <border>
      <left style="medium">
        <color rgb="FF000000"/>
      </left>
      <right style="medium">
        <color rgb="FF000000"/>
      </right>
      <top style="thin">
        <color rgb="FFF2F2F2"/>
      </top>
      <bottom style="medium">
        <color rgb="FF000000"/>
      </bottom>
      <diagonal/>
    </border>
    <border>
      <left style="medium">
        <color rgb="FF000000"/>
      </left>
      <right style="medium">
        <color rgb="FF000000"/>
      </right>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thin">
        <color rgb="FF000000"/>
      </bottom>
      <diagonal/>
    </border>
    <border>
      <left style="medium">
        <color rgb="FF000000"/>
      </left>
      <right style="medium">
        <color rgb="FF000000"/>
      </right>
      <top/>
      <bottom style="thin">
        <color rgb="FF000000"/>
      </bottom>
      <diagonal/>
    </border>
    <border>
      <left/>
      <right style="medium">
        <color rgb="FF000000"/>
      </right>
      <top/>
      <bottom style="thin">
        <color rgb="FF000000"/>
      </bottom>
      <diagonal/>
    </border>
    <border>
      <left style="medium">
        <color rgb="FF000000"/>
      </left>
      <right style="medium">
        <color rgb="FF000000"/>
      </right>
      <top style="thin">
        <color rgb="FF000000"/>
      </top>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ck">
        <color rgb="FF366092"/>
      </left>
      <right/>
      <top style="thick">
        <color rgb="FF366092"/>
      </top>
      <bottom/>
      <diagonal/>
    </border>
    <border>
      <left/>
      <right/>
      <top style="thick">
        <color rgb="FF366092"/>
      </top>
      <bottom/>
      <diagonal/>
    </border>
    <border>
      <left/>
      <right style="thick">
        <color rgb="FF366092"/>
      </right>
      <top style="thick">
        <color rgb="FF366092"/>
      </top>
      <bottom/>
      <diagonal/>
    </border>
    <border>
      <left style="thick">
        <color rgb="FF366092"/>
      </left>
      <right/>
      <top/>
      <bottom/>
      <diagonal/>
    </border>
    <border>
      <left/>
      <right style="thick">
        <color rgb="FF366092"/>
      </right>
      <top/>
      <bottom/>
      <diagonal/>
    </border>
    <border>
      <left style="thick">
        <color rgb="FF366092"/>
      </left>
      <right/>
      <top/>
      <bottom style="thick">
        <color rgb="FF366092"/>
      </bottom>
      <diagonal/>
    </border>
    <border>
      <left/>
      <right/>
      <top/>
      <bottom style="thick">
        <color rgb="FF366092"/>
      </bottom>
      <diagonal/>
    </border>
    <border>
      <left/>
      <right style="thick">
        <color rgb="FF366092"/>
      </right>
      <top/>
      <bottom style="thick">
        <color rgb="FF366092"/>
      </bottom>
      <diagonal/>
    </border>
    <border>
      <left/>
      <right style="thin">
        <color rgb="FF000000"/>
      </right>
      <top/>
      <bottom/>
      <diagonal/>
    </border>
    <border>
      <left style="thin">
        <color rgb="FF000000"/>
      </left>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style="thin">
        <color rgb="FF000000"/>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right style="thin">
        <color rgb="FF000000"/>
      </right>
      <top/>
      <bottom/>
      <diagonal/>
    </border>
  </borders>
  <cellStyleXfs count="1">
    <xf numFmtId="0" fontId="0" fillId="0" borderId="0"/>
  </cellStyleXfs>
  <cellXfs count="398">
    <xf numFmtId="0" fontId="0" fillId="0" borderId="0" xfId="0" applyFont="1" applyAlignment="1"/>
    <xf numFmtId="0" fontId="0" fillId="2" borderId="5" xfId="0" applyFont="1" applyFill="1" applyBorder="1" applyAlignment="1">
      <alignment horizontal="center" vertical="center" wrapText="1"/>
    </xf>
    <xf numFmtId="0" fontId="0" fillId="0" borderId="0" xfId="0" applyFont="1"/>
    <xf numFmtId="0" fontId="4" fillId="4" borderId="5" xfId="0" applyFont="1" applyFill="1" applyBorder="1"/>
    <xf numFmtId="0" fontId="5" fillId="3" borderId="10" xfId="0" applyFont="1" applyFill="1" applyBorder="1" applyAlignment="1">
      <alignment horizontal="center" vertical="center" wrapText="1"/>
    </xf>
    <xf numFmtId="0" fontId="6" fillId="3" borderId="12" xfId="0" applyFont="1" applyFill="1" applyBorder="1" applyAlignment="1">
      <alignment horizontal="center" wrapText="1"/>
    </xf>
    <xf numFmtId="0" fontId="7" fillId="4" borderId="5" xfId="0" applyFont="1" applyFill="1" applyBorder="1" applyAlignment="1">
      <alignment horizontal="center" wrapText="1"/>
    </xf>
    <xf numFmtId="0" fontId="7" fillId="4" borderId="10" xfId="0" applyFont="1" applyFill="1" applyBorder="1" applyAlignment="1">
      <alignment horizontal="center" wrapText="1"/>
    </xf>
    <xf numFmtId="0" fontId="5" fillId="2" borderId="5" xfId="0" applyFont="1" applyFill="1" applyBorder="1" applyAlignment="1">
      <alignment horizontal="center" vertical="center" wrapText="1"/>
    </xf>
    <xf numFmtId="0" fontId="0" fillId="2" borderId="13" xfId="0" applyFont="1" applyFill="1" applyBorder="1" applyAlignment="1">
      <alignment horizontal="center" vertical="center" wrapText="1"/>
    </xf>
    <xf numFmtId="0" fontId="0" fillId="2" borderId="14" xfId="0" applyFont="1" applyFill="1" applyBorder="1" applyAlignment="1">
      <alignment horizontal="center" vertical="center" wrapText="1"/>
    </xf>
    <xf numFmtId="0" fontId="0" fillId="0" borderId="15" xfId="0" applyFont="1" applyBorder="1" applyAlignment="1">
      <alignment horizontal="center" vertical="center" wrapText="1"/>
    </xf>
    <xf numFmtId="0" fontId="0" fillId="2" borderId="10" xfId="0" applyFont="1" applyFill="1" applyBorder="1" applyAlignment="1">
      <alignment horizontal="center" vertical="center" wrapText="1"/>
    </xf>
    <xf numFmtId="0" fontId="0" fillId="0" borderId="0" xfId="0" applyFont="1" applyAlignment="1">
      <alignment horizontal="center" vertical="center" wrapText="1"/>
    </xf>
    <xf numFmtId="0" fontId="8" fillId="4" borderId="5" xfId="0" applyFont="1" applyFill="1" applyBorder="1" applyAlignment="1">
      <alignment horizontal="center" wrapText="1"/>
    </xf>
    <xf numFmtId="0" fontId="8" fillId="4" borderId="5" xfId="0" applyFont="1" applyFill="1" applyBorder="1" applyAlignment="1">
      <alignment horizontal="center"/>
    </xf>
    <xf numFmtId="0" fontId="0" fillId="2" borderId="12" xfId="0" applyFont="1" applyFill="1" applyBorder="1" applyAlignment="1">
      <alignment horizontal="center" vertical="center" wrapText="1"/>
    </xf>
    <xf numFmtId="0" fontId="5" fillId="0" borderId="0" xfId="0" applyFont="1" applyAlignment="1">
      <alignment horizontal="center" vertical="center" wrapText="1"/>
    </xf>
    <xf numFmtId="0" fontId="9" fillId="0" borderId="0" xfId="0" applyFont="1" applyAlignment="1">
      <alignment vertical="center" wrapText="1"/>
    </xf>
    <xf numFmtId="0" fontId="9" fillId="2" borderId="5" xfId="0" applyFont="1" applyFill="1" applyBorder="1" applyAlignment="1">
      <alignment vertical="center" wrapText="1"/>
    </xf>
    <xf numFmtId="0" fontId="10" fillId="0" borderId="0" xfId="0" applyFont="1" applyAlignment="1">
      <alignment horizontal="center" vertical="center" wrapText="1"/>
    </xf>
    <xf numFmtId="0" fontId="10" fillId="2" borderId="5" xfId="0" applyFont="1" applyFill="1" applyBorder="1" applyAlignment="1">
      <alignment horizontal="center" vertical="center" wrapText="1"/>
    </xf>
    <xf numFmtId="0" fontId="11" fillId="0" borderId="0" xfId="0" applyFont="1" applyAlignment="1">
      <alignment horizontal="center" vertical="center" wrapText="1"/>
    </xf>
    <xf numFmtId="0" fontId="11" fillId="2" borderId="5" xfId="0" applyFont="1" applyFill="1" applyBorder="1" applyAlignment="1">
      <alignment horizontal="center" vertical="center" wrapText="1"/>
    </xf>
    <xf numFmtId="0" fontId="5" fillId="0" borderId="0" xfId="0" applyFont="1" applyAlignment="1">
      <alignment vertical="center" wrapText="1"/>
    </xf>
    <xf numFmtId="0" fontId="5" fillId="2" borderId="5" xfId="0" applyFont="1" applyFill="1" applyBorder="1" applyAlignment="1">
      <alignment vertical="center" wrapText="1"/>
    </xf>
    <xf numFmtId="0" fontId="9" fillId="0" borderId="0" xfId="0" applyFont="1" applyAlignment="1">
      <alignment horizontal="center" vertical="center" wrapText="1"/>
    </xf>
    <xf numFmtId="0" fontId="9" fillId="2" borderId="5" xfId="0" applyFont="1" applyFill="1" applyBorder="1" applyAlignment="1">
      <alignment horizontal="center" vertical="center" wrapText="1"/>
    </xf>
    <xf numFmtId="0" fontId="12" fillId="3" borderId="10" xfId="0" applyFont="1" applyFill="1" applyBorder="1" applyAlignment="1">
      <alignment horizontal="center" vertical="center"/>
    </xf>
    <xf numFmtId="0" fontId="12" fillId="3" borderId="22" xfId="0" applyFont="1" applyFill="1" applyBorder="1" applyAlignment="1">
      <alignment horizontal="center" vertical="center" wrapText="1"/>
    </xf>
    <xf numFmtId="0" fontId="12" fillId="3" borderId="22" xfId="0" applyFont="1" applyFill="1" applyBorder="1" applyAlignment="1">
      <alignment horizontal="center" vertical="center"/>
    </xf>
    <xf numFmtId="3" fontId="13" fillId="0" borderId="0" xfId="0" applyNumberFormat="1" applyFont="1" applyAlignment="1">
      <alignment horizontal="center" vertical="center"/>
    </xf>
    <xf numFmtId="0" fontId="13" fillId="0" borderId="0" xfId="0" applyFont="1" applyAlignment="1">
      <alignment horizontal="center" vertical="center"/>
    </xf>
    <xf numFmtId="0" fontId="13" fillId="0" borderId="0" xfId="0" applyFont="1" applyAlignment="1">
      <alignment horizontal="left" vertical="center"/>
    </xf>
    <xf numFmtId="0" fontId="15" fillId="0" borderId="10" xfId="0" applyFont="1" applyBorder="1" applyAlignment="1">
      <alignment horizontal="center" vertical="center" shrinkToFit="1"/>
    </xf>
    <xf numFmtId="0" fontId="16" fillId="2" borderId="26" xfId="0" applyFont="1" applyFill="1" applyBorder="1" applyAlignment="1">
      <alignment horizontal="right" vertical="center"/>
    </xf>
    <xf numFmtId="0" fontId="16" fillId="2" borderId="27" xfId="0" applyFont="1" applyFill="1" applyBorder="1" applyAlignment="1">
      <alignment horizontal="center" vertical="center"/>
    </xf>
    <xf numFmtId="0" fontId="16" fillId="2" borderId="22" xfId="0" applyFont="1" applyFill="1" applyBorder="1" applyAlignment="1">
      <alignment horizontal="left" vertical="center"/>
    </xf>
    <xf numFmtId="0" fontId="11" fillId="2" borderId="10" xfId="0" applyFont="1" applyFill="1" applyBorder="1" applyAlignment="1">
      <alignment horizontal="center" vertical="center"/>
    </xf>
    <xf numFmtId="0" fontId="13" fillId="2" borderId="22" xfId="0" applyFont="1" applyFill="1" applyBorder="1" applyAlignment="1">
      <alignment horizontal="center" vertical="center" wrapText="1"/>
    </xf>
    <xf numFmtId="0" fontId="13" fillId="2" borderId="10" xfId="0" applyFont="1" applyFill="1" applyBorder="1" applyAlignment="1">
      <alignment horizontal="center" vertical="center" wrapText="1"/>
    </xf>
    <xf numFmtId="0" fontId="13" fillId="2" borderId="10" xfId="0" applyFont="1" applyFill="1" applyBorder="1" applyAlignment="1">
      <alignment horizontal="center" vertical="center" shrinkToFit="1"/>
    </xf>
    <xf numFmtId="0" fontId="17" fillId="2" borderId="10" xfId="0" applyFont="1" applyFill="1" applyBorder="1" applyAlignment="1">
      <alignment horizontal="center" vertical="center" shrinkToFit="1"/>
    </xf>
    <xf numFmtId="0" fontId="13" fillId="0" borderId="23" xfId="0" applyFont="1" applyBorder="1" applyAlignment="1">
      <alignment horizontal="center" vertical="center"/>
    </xf>
    <xf numFmtId="0" fontId="13" fillId="0" borderId="25" xfId="0" applyFont="1" applyBorder="1" applyAlignment="1">
      <alignment horizontal="center" vertical="center"/>
    </xf>
    <xf numFmtId="0" fontId="14" fillId="0" borderId="0" xfId="0" applyFont="1" applyAlignment="1">
      <alignment horizontal="center" vertical="center"/>
    </xf>
    <xf numFmtId="0" fontId="14" fillId="0" borderId="0" xfId="0" applyFont="1" applyAlignment="1">
      <alignment horizontal="left" vertical="center"/>
    </xf>
    <xf numFmtId="0" fontId="13" fillId="0" borderId="0" xfId="0" applyFont="1" applyAlignment="1">
      <alignment horizontal="left" vertical="center" wrapText="1"/>
    </xf>
    <xf numFmtId="3" fontId="13" fillId="0" borderId="0" xfId="0" applyNumberFormat="1" applyFont="1" applyAlignment="1">
      <alignment horizontal="left" vertical="center"/>
    </xf>
    <xf numFmtId="0" fontId="15" fillId="0" borderId="10" xfId="0" applyFont="1" applyBorder="1" applyAlignment="1">
      <alignment horizontal="center" vertical="center" shrinkToFit="1"/>
    </xf>
    <xf numFmtId="0" fontId="15" fillId="0" borderId="2" xfId="0" applyFont="1" applyBorder="1" applyAlignment="1">
      <alignment horizontal="center" vertical="center" shrinkToFit="1"/>
    </xf>
    <xf numFmtId="0" fontId="12" fillId="3" borderId="12" xfId="0" applyFont="1" applyFill="1" applyBorder="1" applyAlignment="1">
      <alignment horizontal="center" vertical="center"/>
    </xf>
    <xf numFmtId="0" fontId="16" fillId="2" borderId="28" xfId="0" applyFont="1" applyFill="1" applyBorder="1" applyAlignment="1">
      <alignment horizontal="right" vertical="center"/>
    </xf>
    <xf numFmtId="0" fontId="16" fillId="2" borderId="13" xfId="0" applyFont="1" applyFill="1" applyBorder="1" applyAlignment="1">
      <alignment horizontal="center" vertical="center"/>
    </xf>
    <xf numFmtId="0" fontId="16" fillId="2" borderId="14" xfId="0" applyFont="1" applyFill="1" applyBorder="1" applyAlignment="1">
      <alignment horizontal="left" vertical="center"/>
    </xf>
    <xf numFmtId="0" fontId="11" fillId="2" borderId="12" xfId="0" applyFont="1" applyFill="1" applyBorder="1" applyAlignment="1">
      <alignment horizontal="center" vertical="center"/>
    </xf>
    <xf numFmtId="0" fontId="15" fillId="0" borderId="10" xfId="0" applyFont="1" applyBorder="1" applyAlignment="1">
      <alignment horizontal="center" vertical="center"/>
    </xf>
    <xf numFmtId="0" fontId="19" fillId="3" borderId="26" xfId="0" applyFont="1" applyFill="1" applyBorder="1" applyAlignment="1">
      <alignment horizontal="right" vertical="center"/>
    </xf>
    <xf numFmtId="0" fontId="19" fillId="3" borderId="22" xfId="0" applyFont="1" applyFill="1" applyBorder="1" applyAlignment="1">
      <alignment vertical="center"/>
    </xf>
    <xf numFmtId="0" fontId="15" fillId="0" borderId="10" xfId="0" applyFont="1" applyBorder="1" applyAlignment="1">
      <alignment horizontal="center" vertical="center"/>
    </xf>
    <xf numFmtId="0" fontId="19" fillId="3" borderId="22" xfId="0" applyFont="1" applyFill="1" applyBorder="1" applyAlignment="1">
      <alignment horizontal="left" vertical="center"/>
    </xf>
    <xf numFmtId="3" fontId="13" fillId="0" borderId="0" xfId="0" applyNumberFormat="1" applyFont="1" applyAlignment="1">
      <alignment horizontal="center" vertical="center" shrinkToFit="1"/>
    </xf>
    <xf numFmtId="0" fontId="15" fillId="0" borderId="20" xfId="0" applyFont="1" applyBorder="1" applyAlignment="1">
      <alignment horizontal="center" vertical="center"/>
    </xf>
    <xf numFmtId="0" fontId="19" fillId="3" borderId="36" xfId="0" applyFont="1" applyFill="1" applyBorder="1" applyAlignment="1">
      <alignment horizontal="right" vertical="center"/>
    </xf>
    <xf numFmtId="0" fontId="19" fillId="3" borderId="39" xfId="0" applyFont="1" applyFill="1" applyBorder="1" applyAlignment="1">
      <alignment vertical="center"/>
    </xf>
    <xf numFmtId="0" fontId="15" fillId="2" borderId="27" xfId="0" applyFont="1" applyFill="1" applyBorder="1" applyAlignment="1">
      <alignment horizontal="left" vertical="center"/>
    </xf>
    <xf numFmtId="0" fontId="15" fillId="2" borderId="22" xfId="0" applyFont="1" applyFill="1" applyBorder="1" applyAlignment="1">
      <alignment horizontal="left" vertical="center"/>
    </xf>
    <xf numFmtId="0" fontId="13" fillId="0" borderId="0" xfId="0" applyFont="1" applyAlignment="1">
      <alignment vertical="center"/>
    </xf>
    <xf numFmtId="0" fontId="22" fillId="2" borderId="45" xfId="0" applyFont="1" applyFill="1" applyBorder="1" applyAlignment="1">
      <alignment vertical="center"/>
    </xf>
    <xf numFmtId="0" fontId="23" fillId="3" borderId="10" xfId="0" applyFont="1" applyFill="1" applyBorder="1" applyAlignment="1">
      <alignment horizontal="center" vertical="center" wrapText="1"/>
    </xf>
    <xf numFmtId="0" fontId="15" fillId="0" borderId="2" xfId="0" applyFont="1" applyBorder="1" applyAlignment="1">
      <alignment horizontal="left" vertical="center" shrinkToFit="1"/>
    </xf>
    <xf numFmtId="0" fontId="15" fillId="0" borderId="23" xfId="0" applyFont="1" applyBorder="1" applyAlignment="1">
      <alignment horizontal="center" vertical="center"/>
    </xf>
    <xf numFmtId="0" fontId="0" fillId="0" borderId="10" xfId="0" applyFont="1" applyBorder="1" applyAlignment="1">
      <alignment horizontal="center" vertical="center"/>
    </xf>
    <xf numFmtId="3" fontId="0" fillId="0" borderId="10" xfId="0" applyNumberFormat="1" applyFont="1" applyBorder="1" applyAlignment="1">
      <alignment horizontal="center" vertical="center" shrinkToFit="1"/>
    </xf>
    <xf numFmtId="3" fontId="15" fillId="0" borderId="10" xfId="0" applyNumberFormat="1" applyFont="1" applyBorder="1" applyAlignment="1">
      <alignment horizontal="center" vertical="center" shrinkToFit="1"/>
    </xf>
    <xf numFmtId="0" fontId="14" fillId="0" borderId="0" xfId="0" applyFont="1" applyAlignment="1">
      <alignment vertical="center"/>
    </xf>
    <xf numFmtId="0" fontId="24" fillId="0" borderId="0" xfId="0" applyFont="1" applyAlignment="1">
      <alignment horizontal="left" vertical="center"/>
    </xf>
    <xf numFmtId="0" fontId="14" fillId="0" borderId="0" xfId="0" applyFont="1" applyAlignment="1">
      <alignment horizontal="center" vertical="center" wrapText="1"/>
    </xf>
    <xf numFmtId="0" fontId="13" fillId="2" borderId="13" xfId="0" applyFont="1" applyFill="1" applyBorder="1" applyAlignment="1">
      <alignment vertical="center"/>
    </xf>
    <xf numFmtId="0" fontId="22" fillId="0" borderId="0" xfId="0" applyFont="1" applyAlignment="1">
      <alignment vertical="center"/>
    </xf>
    <xf numFmtId="3" fontId="13" fillId="0" borderId="0" xfId="0" applyNumberFormat="1" applyFont="1" applyAlignment="1">
      <alignment vertical="center"/>
    </xf>
    <xf numFmtId="0" fontId="12" fillId="0" borderId="0" xfId="0" applyFont="1" applyAlignment="1">
      <alignment vertical="center" wrapText="1"/>
    </xf>
    <xf numFmtId="0" fontId="15" fillId="0" borderId="0" xfId="0" applyFont="1" applyAlignment="1">
      <alignment vertical="center"/>
    </xf>
    <xf numFmtId="3" fontId="15" fillId="0" borderId="0" xfId="0" applyNumberFormat="1" applyFont="1" applyAlignment="1">
      <alignment vertical="center" wrapText="1"/>
    </xf>
    <xf numFmtId="0" fontId="15" fillId="0" borderId="0" xfId="0" applyFont="1" applyAlignment="1">
      <alignment horizontal="center" vertical="center"/>
    </xf>
    <xf numFmtId="3" fontId="15" fillId="0" borderId="0" xfId="0" applyNumberFormat="1" applyFont="1" applyAlignment="1">
      <alignment vertical="center"/>
    </xf>
    <xf numFmtId="0" fontId="0" fillId="0" borderId="0" xfId="0" applyFont="1" applyAlignment="1">
      <alignment horizontal="center"/>
    </xf>
    <xf numFmtId="0" fontId="24" fillId="0" borderId="0" xfId="0" applyFont="1"/>
    <xf numFmtId="0" fontId="25" fillId="4" borderId="5" xfId="0" applyFont="1" applyFill="1" applyBorder="1"/>
    <xf numFmtId="3" fontId="26" fillId="0" borderId="0" xfId="0" applyNumberFormat="1" applyFont="1" applyAlignment="1">
      <alignment horizontal="center" vertical="center"/>
    </xf>
    <xf numFmtId="0" fontId="17" fillId="0" borderId="0" xfId="0" applyFont="1" applyAlignment="1">
      <alignment horizontal="center" vertical="center"/>
    </xf>
    <xf numFmtId="0" fontId="0" fillId="0" borderId="0" xfId="0" applyFont="1" applyAlignment="1">
      <alignment horizontal="center" vertical="center"/>
    </xf>
    <xf numFmtId="3" fontId="27" fillId="0" borderId="0" xfId="0" applyNumberFormat="1" applyFont="1" applyAlignment="1">
      <alignment horizontal="right" vertical="center"/>
    </xf>
    <xf numFmtId="3" fontId="27" fillId="0" borderId="0" xfId="0" applyNumberFormat="1" applyFont="1" applyAlignment="1">
      <alignment horizontal="center" vertical="center"/>
    </xf>
    <xf numFmtId="49" fontId="13" fillId="0" borderId="0" xfId="0" applyNumberFormat="1" applyFont="1" applyAlignment="1">
      <alignment horizontal="center" vertical="center"/>
    </xf>
    <xf numFmtId="0" fontId="0" fillId="0" borderId="0" xfId="0" applyFont="1" applyAlignment="1">
      <alignment vertical="top" wrapText="1"/>
    </xf>
    <xf numFmtId="0" fontId="17" fillId="0" borderId="0" xfId="0" applyFont="1"/>
    <xf numFmtId="0" fontId="0" fillId="0" borderId="0" xfId="0" applyFont="1" applyAlignment="1">
      <alignment horizontal="left" wrapText="1"/>
    </xf>
    <xf numFmtId="0" fontId="28" fillId="0" borderId="0" xfId="0" applyFont="1" applyAlignment="1">
      <alignment vertical="center"/>
    </xf>
    <xf numFmtId="0" fontId="13" fillId="0" borderId="0" xfId="0" applyFont="1" applyAlignment="1">
      <alignment horizontal="center" vertical="center" wrapText="1"/>
    </xf>
    <xf numFmtId="0" fontId="29" fillId="3" borderId="49" xfId="0" applyFont="1" applyFill="1" applyBorder="1" applyAlignment="1">
      <alignment horizontal="center" vertical="center"/>
    </xf>
    <xf numFmtId="0" fontId="30" fillId="3" borderId="50" xfId="0" applyFont="1" applyFill="1" applyBorder="1" applyAlignment="1">
      <alignment horizontal="center" vertical="center"/>
    </xf>
    <xf numFmtId="0" fontId="31" fillId="3" borderId="51" xfId="0" applyFont="1" applyFill="1" applyBorder="1" applyAlignment="1">
      <alignment horizontal="center" vertical="center"/>
    </xf>
    <xf numFmtId="0" fontId="0" fillId="3" borderId="59" xfId="0" applyFont="1" applyFill="1" applyBorder="1" applyAlignment="1">
      <alignment horizontal="center" vertical="center"/>
    </xf>
    <xf numFmtId="0" fontId="9" fillId="5" borderId="60" xfId="0" applyFont="1" applyFill="1" applyBorder="1" applyAlignment="1">
      <alignment horizontal="center" shrinkToFit="1"/>
    </xf>
    <xf numFmtId="0" fontId="9" fillId="5" borderId="61" xfId="0" applyFont="1" applyFill="1" applyBorder="1" applyAlignment="1">
      <alignment horizontal="center" shrinkToFit="1"/>
    </xf>
    <xf numFmtId="0" fontId="9" fillId="5" borderId="62" xfId="0" applyFont="1" applyFill="1" applyBorder="1" applyAlignment="1">
      <alignment horizontal="center" shrinkToFit="1"/>
    </xf>
    <xf numFmtId="0" fontId="17" fillId="5" borderId="65" xfId="0" applyFont="1" applyFill="1" applyBorder="1" applyAlignment="1">
      <alignment horizontal="center" shrinkToFit="1"/>
    </xf>
    <xf numFmtId="0" fontId="17" fillId="5" borderId="66" xfId="0" applyFont="1" applyFill="1" applyBorder="1" applyAlignment="1">
      <alignment horizontal="center"/>
    </xf>
    <xf numFmtId="0" fontId="17" fillId="5" borderId="67" xfId="0" applyFont="1" applyFill="1" applyBorder="1" applyAlignment="1">
      <alignment horizontal="center" shrinkToFit="1"/>
    </xf>
    <xf numFmtId="0" fontId="17" fillId="5" borderId="66" xfId="0" applyFont="1" applyFill="1" applyBorder="1" applyAlignment="1">
      <alignment horizontal="center" shrinkToFit="1"/>
    </xf>
    <xf numFmtId="0" fontId="17" fillId="5" borderId="68" xfId="0" applyFont="1" applyFill="1" applyBorder="1" applyAlignment="1">
      <alignment horizontal="center" shrinkToFit="1"/>
    </xf>
    <xf numFmtId="0" fontId="17" fillId="5" borderId="69" xfId="0" applyFont="1" applyFill="1" applyBorder="1" applyAlignment="1">
      <alignment horizontal="center" vertical="center" shrinkToFit="1"/>
    </xf>
    <xf numFmtId="3" fontId="17" fillId="5" borderId="69" xfId="0" applyNumberFormat="1" applyFont="1" applyFill="1" applyBorder="1" applyAlignment="1">
      <alignment horizontal="center" vertical="center" shrinkToFit="1"/>
    </xf>
    <xf numFmtId="9" fontId="27" fillId="5" borderId="71" xfId="0" applyNumberFormat="1" applyFont="1" applyFill="1" applyBorder="1" applyAlignment="1">
      <alignment horizontal="center" vertical="top" shrinkToFit="1"/>
    </xf>
    <xf numFmtId="9" fontId="27" fillId="5" borderId="72" xfId="0" applyNumberFormat="1" applyFont="1" applyFill="1" applyBorder="1" applyAlignment="1">
      <alignment horizontal="center" vertical="top" shrinkToFit="1"/>
    </xf>
    <xf numFmtId="9" fontId="27" fillId="5" borderId="73" xfId="0" applyNumberFormat="1" applyFont="1" applyFill="1" applyBorder="1" applyAlignment="1">
      <alignment horizontal="center" vertical="top" shrinkToFit="1"/>
    </xf>
    <xf numFmtId="164" fontId="17" fillId="5" borderId="76" xfId="0" applyNumberFormat="1" applyFont="1" applyFill="1" applyBorder="1" applyAlignment="1">
      <alignment horizontal="center" vertical="top" shrinkToFit="1"/>
    </xf>
    <xf numFmtId="0" fontId="17" fillId="5" borderId="77" xfId="0" applyFont="1" applyFill="1" applyBorder="1" applyAlignment="1">
      <alignment horizontal="center"/>
    </xf>
    <xf numFmtId="164" fontId="17" fillId="5" borderId="78" xfId="0" applyNumberFormat="1" applyFont="1" applyFill="1" applyBorder="1" applyAlignment="1">
      <alignment horizontal="center" vertical="top" shrinkToFit="1"/>
    </xf>
    <xf numFmtId="164" fontId="17" fillId="5" borderId="77" xfId="0" applyNumberFormat="1" applyFont="1" applyFill="1" applyBorder="1" applyAlignment="1">
      <alignment horizontal="center" vertical="top" shrinkToFit="1"/>
    </xf>
    <xf numFmtId="164" fontId="17" fillId="5" borderId="79" xfId="0" applyNumberFormat="1" applyFont="1" applyFill="1" applyBorder="1" applyAlignment="1">
      <alignment horizontal="center" vertical="top" shrinkToFit="1"/>
    </xf>
    <xf numFmtId="2" fontId="17" fillId="5" borderId="80" xfId="0" applyNumberFormat="1" applyFont="1" applyFill="1" applyBorder="1" applyAlignment="1">
      <alignment horizontal="center" vertical="center" shrinkToFit="1"/>
    </xf>
    <xf numFmtId="3" fontId="17" fillId="5" borderId="80" xfId="0" applyNumberFormat="1" applyFont="1" applyFill="1" applyBorder="1" applyAlignment="1">
      <alignment horizontal="center" vertical="center" shrinkToFit="1"/>
    </xf>
    <xf numFmtId="0" fontId="34" fillId="3" borderId="85" xfId="0" applyFont="1" applyFill="1" applyBorder="1" applyAlignment="1">
      <alignment horizontal="center" vertical="center" shrinkToFit="1"/>
    </xf>
    <xf numFmtId="0" fontId="34" fillId="3" borderId="49" xfId="0" applyFont="1" applyFill="1" applyBorder="1" applyAlignment="1">
      <alignment horizontal="center" vertical="center" shrinkToFit="1"/>
    </xf>
    <xf numFmtId="0" fontId="35" fillId="3" borderId="59" xfId="0" applyFont="1" applyFill="1" applyBorder="1" applyAlignment="1">
      <alignment horizontal="center" vertical="center" wrapText="1"/>
    </xf>
    <xf numFmtId="0" fontId="34" fillId="3" borderId="85" xfId="0" applyFont="1" applyFill="1" applyBorder="1" applyAlignment="1">
      <alignment horizontal="center" vertical="center"/>
    </xf>
    <xf numFmtId="0" fontId="34" fillId="0" borderId="0" xfId="0" applyFont="1"/>
    <xf numFmtId="0" fontId="34" fillId="0" borderId="10" xfId="0" applyFont="1" applyBorder="1" applyAlignment="1">
      <alignment horizontal="center" vertical="center"/>
    </xf>
    <xf numFmtId="0" fontId="36" fillId="5" borderId="86" xfId="0" applyFont="1" applyFill="1" applyBorder="1" applyAlignment="1">
      <alignment horizontal="center" vertical="center" wrapText="1"/>
    </xf>
    <xf numFmtId="0" fontId="9" fillId="2" borderId="88" xfId="0" applyFont="1" applyFill="1" applyBorder="1" applyAlignment="1">
      <alignment horizontal="center" vertical="center" shrinkToFit="1"/>
    </xf>
    <xf numFmtId="0" fontId="9" fillId="2" borderId="86" xfId="0" applyFont="1" applyFill="1" applyBorder="1" applyAlignment="1">
      <alignment horizontal="center" vertical="center" shrinkToFit="1"/>
    </xf>
    <xf numFmtId="0" fontId="0" fillId="2" borderId="86" xfId="0" applyFont="1" applyFill="1" applyBorder="1" applyAlignment="1">
      <alignment horizontal="center" vertical="center" wrapText="1"/>
    </xf>
    <xf numFmtId="0" fontId="0" fillId="7" borderId="27" xfId="0" applyFont="1" applyFill="1" applyBorder="1" applyAlignment="1">
      <alignment horizontal="center" vertical="center"/>
    </xf>
    <xf numFmtId="0" fontId="0" fillId="2" borderId="89" xfId="0" applyFont="1" applyFill="1" applyBorder="1" applyAlignment="1">
      <alignment horizontal="center" vertical="center" wrapText="1"/>
    </xf>
    <xf numFmtId="0" fontId="0" fillId="5" borderId="27" xfId="0" applyFont="1" applyFill="1" applyBorder="1" applyAlignment="1">
      <alignment horizontal="center" vertical="center" wrapText="1"/>
    </xf>
    <xf numFmtId="0" fontId="0" fillId="5" borderId="27" xfId="0" applyFont="1" applyFill="1" applyBorder="1" applyAlignment="1">
      <alignment horizontal="center" vertical="center"/>
    </xf>
    <xf numFmtId="0" fontId="0" fillId="5" borderId="89" xfId="0" applyFont="1" applyFill="1" applyBorder="1" applyAlignment="1">
      <alignment horizontal="center" vertical="center" wrapText="1"/>
    </xf>
    <xf numFmtId="0" fontId="0" fillId="2" borderId="27" xfId="0" applyFont="1" applyFill="1" applyBorder="1" applyAlignment="1">
      <alignment horizontal="center" vertical="center" wrapText="1"/>
    </xf>
    <xf numFmtId="0" fontId="0" fillId="2" borderId="26" xfId="0" applyFont="1" applyFill="1" applyBorder="1" applyAlignment="1">
      <alignment horizontal="center" vertical="center" wrapText="1"/>
    </xf>
    <xf numFmtId="3" fontId="0" fillId="2" borderId="89" xfId="0" applyNumberFormat="1" applyFont="1" applyFill="1" applyBorder="1" applyAlignment="1">
      <alignment horizontal="center" vertical="center" wrapText="1"/>
    </xf>
    <xf numFmtId="0" fontId="9" fillId="2" borderId="88" xfId="0" applyFont="1" applyFill="1" applyBorder="1" applyAlignment="1">
      <alignment horizontal="left" vertical="center" wrapText="1"/>
    </xf>
    <xf numFmtId="0" fontId="36" fillId="5" borderId="90" xfId="0" applyFont="1" applyFill="1" applyBorder="1" applyAlignment="1">
      <alignment horizontal="center" vertical="center" wrapText="1"/>
    </xf>
    <xf numFmtId="0" fontId="9" fillId="2" borderId="91" xfId="0" applyFont="1" applyFill="1" applyBorder="1" applyAlignment="1">
      <alignment horizontal="center" vertical="center" shrinkToFit="1"/>
    </xf>
    <xf numFmtId="0" fontId="0" fillId="2" borderId="90" xfId="0" applyFont="1" applyFill="1" applyBorder="1" applyAlignment="1">
      <alignment horizontal="center" vertical="center" wrapText="1"/>
    </xf>
    <xf numFmtId="0" fontId="0" fillId="7" borderId="45" xfId="0" applyFont="1" applyFill="1" applyBorder="1" applyAlignment="1">
      <alignment horizontal="center" vertical="center"/>
    </xf>
    <xf numFmtId="0" fontId="0" fillId="2" borderId="92" xfId="0" applyFont="1" applyFill="1" applyBorder="1" applyAlignment="1">
      <alignment horizontal="center" vertical="center" wrapText="1"/>
    </xf>
    <xf numFmtId="0" fontId="0" fillId="5" borderId="45" xfId="0" applyFont="1" applyFill="1" applyBorder="1" applyAlignment="1">
      <alignment horizontal="center" vertical="center"/>
    </xf>
    <xf numFmtId="0" fontId="0" fillId="2" borderId="45" xfId="0" applyFont="1" applyFill="1" applyBorder="1" applyAlignment="1">
      <alignment horizontal="center" vertical="center" wrapText="1"/>
    </xf>
    <xf numFmtId="0" fontId="0" fillId="2" borderId="36" xfId="0" applyFont="1" applyFill="1" applyBorder="1" applyAlignment="1">
      <alignment horizontal="center" vertical="center" wrapText="1"/>
    </xf>
    <xf numFmtId="3" fontId="0" fillId="2" borderId="92" xfId="0" applyNumberFormat="1" applyFont="1" applyFill="1" applyBorder="1" applyAlignment="1">
      <alignment horizontal="center" vertical="center" wrapText="1"/>
    </xf>
    <xf numFmtId="0" fontId="9" fillId="2" borderId="91" xfId="0" applyFont="1" applyFill="1" applyBorder="1" applyAlignment="1">
      <alignment horizontal="left" vertical="center" wrapText="1"/>
    </xf>
    <xf numFmtId="0" fontId="27" fillId="4" borderId="5" xfId="0" applyFont="1" applyFill="1" applyBorder="1" applyAlignment="1">
      <alignment horizontal="center" vertical="center"/>
    </xf>
    <xf numFmtId="0" fontId="9" fillId="2" borderId="93" xfId="0" applyFont="1" applyFill="1" applyBorder="1" applyAlignment="1">
      <alignment horizontal="center" vertical="center" shrinkToFit="1"/>
    </xf>
    <xf numFmtId="0" fontId="0" fillId="2" borderId="94" xfId="0" applyFont="1" applyFill="1" applyBorder="1" applyAlignment="1">
      <alignment horizontal="center" vertical="center" wrapText="1"/>
    </xf>
    <xf numFmtId="0" fontId="0" fillId="7" borderId="13" xfId="0" applyFont="1" applyFill="1" applyBorder="1" applyAlignment="1">
      <alignment horizontal="center" vertical="center"/>
    </xf>
    <xf numFmtId="0" fontId="0" fillId="2" borderId="95" xfId="0" applyFont="1" applyFill="1" applyBorder="1" applyAlignment="1">
      <alignment horizontal="center" vertical="center" wrapText="1"/>
    </xf>
    <xf numFmtId="0" fontId="0" fillId="5" borderId="13" xfId="0" applyFont="1" applyFill="1" applyBorder="1" applyAlignment="1">
      <alignment horizontal="center" vertical="center" wrapText="1"/>
    </xf>
    <xf numFmtId="0" fontId="0" fillId="5" borderId="13" xfId="0" applyFont="1" applyFill="1" applyBorder="1" applyAlignment="1">
      <alignment horizontal="center" vertical="center"/>
    </xf>
    <xf numFmtId="0" fontId="0" fillId="5" borderId="95" xfId="0" applyFont="1" applyFill="1" applyBorder="1" applyAlignment="1">
      <alignment horizontal="center" vertical="center" wrapText="1"/>
    </xf>
    <xf numFmtId="0" fontId="0" fillId="2" borderId="28" xfId="0" applyFont="1" applyFill="1" applyBorder="1" applyAlignment="1">
      <alignment horizontal="center" vertical="center" wrapText="1"/>
    </xf>
    <xf numFmtId="3" fontId="0" fillId="2" borderId="95" xfId="0" applyNumberFormat="1" applyFont="1" applyFill="1" applyBorder="1" applyAlignment="1">
      <alignment horizontal="center" vertical="center" wrapText="1"/>
    </xf>
    <xf numFmtId="0" fontId="9" fillId="2" borderId="93" xfId="0" applyFont="1" applyFill="1" applyBorder="1" applyAlignment="1">
      <alignment horizontal="left" vertical="center" wrapText="1"/>
    </xf>
    <xf numFmtId="0" fontId="37" fillId="2" borderId="5" xfId="0" applyFont="1" applyFill="1" applyBorder="1" applyAlignment="1">
      <alignment horizontal="center" vertical="center"/>
    </xf>
    <xf numFmtId="0" fontId="38" fillId="0" borderId="0" xfId="0" applyFont="1" applyAlignment="1">
      <alignment horizontal="center" vertical="center" wrapText="1"/>
    </xf>
    <xf numFmtId="0" fontId="9" fillId="0" borderId="0" xfId="0" applyFont="1" applyAlignment="1">
      <alignment vertical="center" shrinkToFit="1"/>
    </xf>
    <xf numFmtId="0" fontId="9" fillId="0" borderId="0" xfId="0" applyFont="1" applyAlignment="1">
      <alignment horizontal="left" vertical="center" wrapText="1"/>
    </xf>
    <xf numFmtId="0" fontId="9" fillId="0" borderId="0" xfId="0" applyFont="1" applyAlignment="1">
      <alignment horizontal="center" vertical="center"/>
    </xf>
    <xf numFmtId="0" fontId="9" fillId="0" borderId="0" xfId="0" applyFont="1" applyAlignment="1">
      <alignment horizontal="right" vertical="center" wrapText="1"/>
    </xf>
    <xf numFmtId="0" fontId="27" fillId="0" borderId="0" xfId="0" applyFont="1" applyAlignment="1">
      <alignment horizontal="right" vertical="center" wrapText="1"/>
    </xf>
    <xf numFmtId="0" fontId="27" fillId="0" borderId="0" xfId="0" applyFont="1" applyAlignment="1">
      <alignment horizontal="left" vertical="center" wrapText="1"/>
    </xf>
    <xf numFmtId="0" fontId="27" fillId="0" borderId="0" xfId="0" applyFont="1" applyAlignment="1">
      <alignment vertical="center" wrapText="1"/>
    </xf>
    <xf numFmtId="0" fontId="38" fillId="0" borderId="0" xfId="0" applyFont="1"/>
    <xf numFmtId="0" fontId="0" fillId="0" borderId="0" xfId="0" applyFont="1" applyAlignment="1">
      <alignment shrinkToFit="1"/>
    </xf>
    <xf numFmtId="0" fontId="0" fillId="0" borderId="0" xfId="0" applyFont="1" applyAlignment="1">
      <alignment horizontal="right" vertical="center"/>
    </xf>
    <xf numFmtId="0" fontId="0" fillId="0" borderId="0" xfId="0" applyFont="1" applyAlignment="1">
      <alignment vertical="center"/>
    </xf>
    <xf numFmtId="0" fontId="17" fillId="0" borderId="0" xfId="0" applyFont="1" applyAlignment="1">
      <alignment horizontal="center"/>
    </xf>
    <xf numFmtId="0" fontId="27" fillId="0" borderId="0" xfId="0" applyFont="1"/>
    <xf numFmtId="0" fontId="0" fillId="8" borderId="5" xfId="0" applyFont="1" applyFill="1" applyBorder="1"/>
    <xf numFmtId="0" fontId="39" fillId="8" borderId="5" xfId="0" applyFont="1" applyFill="1" applyBorder="1" applyAlignment="1">
      <alignment horizontal="center" vertical="center" shrinkToFit="1"/>
    </xf>
    <xf numFmtId="0" fontId="41" fillId="8" borderId="5" xfId="0" applyFont="1" applyFill="1" applyBorder="1" applyAlignment="1">
      <alignment horizontal="center" vertical="center" shrinkToFit="1"/>
    </xf>
    <xf numFmtId="0" fontId="41" fillId="8" borderId="5" xfId="0" applyFont="1" applyFill="1" applyBorder="1" applyAlignment="1">
      <alignment vertical="center"/>
    </xf>
    <xf numFmtId="0" fontId="41" fillId="8" borderId="5" xfId="0" applyFont="1" applyFill="1" applyBorder="1" applyAlignment="1">
      <alignment horizontal="center" vertical="center"/>
    </xf>
    <xf numFmtId="0" fontId="42" fillId="8" borderId="5" xfId="0" applyFont="1" applyFill="1" applyBorder="1" applyAlignment="1">
      <alignment horizontal="center" vertical="center"/>
    </xf>
    <xf numFmtId="0" fontId="42" fillId="9" borderId="5" xfId="0" applyFont="1" applyFill="1" applyBorder="1" applyAlignment="1">
      <alignment horizontal="center" vertical="center"/>
    </xf>
    <xf numFmtId="1" fontId="42" fillId="8" borderId="5" xfId="0" applyNumberFormat="1" applyFont="1" applyFill="1" applyBorder="1" applyAlignment="1">
      <alignment horizontal="center" vertical="center"/>
    </xf>
    <xf numFmtId="0" fontId="43" fillId="8" borderId="5" xfId="0" applyFont="1" applyFill="1" applyBorder="1" applyAlignment="1">
      <alignment horizontal="center" vertical="center"/>
    </xf>
    <xf numFmtId="0" fontId="44" fillId="8" borderId="5" xfId="0" applyFont="1" applyFill="1" applyBorder="1"/>
    <xf numFmtId="0" fontId="45" fillId="8" borderId="5" xfId="0" applyFont="1" applyFill="1" applyBorder="1" applyAlignment="1">
      <alignment horizontal="center" vertical="center"/>
    </xf>
    <xf numFmtId="0" fontId="17" fillId="8" borderId="5" xfId="0" applyFont="1" applyFill="1" applyBorder="1" applyAlignment="1">
      <alignment vertical="top" shrinkToFit="1"/>
    </xf>
    <xf numFmtId="0" fontId="43" fillId="2" borderId="5" xfId="0" applyFont="1" applyFill="1" applyBorder="1" applyAlignment="1">
      <alignment horizontal="center" vertical="center"/>
    </xf>
    <xf numFmtId="0" fontId="46" fillId="2" borderId="5" xfId="0" applyFont="1" applyFill="1" applyBorder="1" applyAlignment="1">
      <alignment horizontal="center" vertical="center"/>
    </xf>
    <xf numFmtId="0" fontId="0" fillId="8" borderId="5" xfId="0" applyFont="1" applyFill="1" applyBorder="1" applyAlignment="1">
      <alignment horizontal="center" vertical="center"/>
    </xf>
    <xf numFmtId="0" fontId="17" fillId="8" borderId="5" xfId="0" applyFont="1" applyFill="1" applyBorder="1" applyAlignment="1">
      <alignment vertical="center" shrinkToFit="1"/>
    </xf>
    <xf numFmtId="0" fontId="17" fillId="8" borderId="5" xfId="0" applyFont="1" applyFill="1" applyBorder="1" applyAlignment="1">
      <alignment vertical="top" wrapText="1"/>
    </xf>
    <xf numFmtId="3" fontId="47" fillId="8" borderId="5" xfId="0" applyNumberFormat="1" applyFont="1" applyFill="1" applyBorder="1" applyAlignment="1">
      <alignment horizontal="center" vertical="center"/>
    </xf>
    <xf numFmtId="3" fontId="47" fillId="9" borderId="5" xfId="0" applyNumberFormat="1" applyFont="1" applyFill="1" applyBorder="1" applyAlignment="1">
      <alignment horizontal="center" vertical="center" shrinkToFit="1"/>
    </xf>
    <xf numFmtId="3" fontId="41" fillId="8" borderId="5" xfId="0" applyNumberFormat="1" applyFont="1" applyFill="1" applyBorder="1" applyAlignment="1">
      <alignment horizontal="center" vertical="center"/>
    </xf>
    <xf numFmtId="0" fontId="39" fillId="8" borderId="5" xfId="0" applyFont="1" applyFill="1" applyBorder="1" applyAlignment="1">
      <alignment vertical="center"/>
    </xf>
    <xf numFmtId="0" fontId="8" fillId="4" borderId="13" xfId="0" applyFont="1" applyFill="1" applyBorder="1"/>
    <xf numFmtId="0" fontId="8" fillId="4" borderId="14" xfId="0" applyFont="1" applyFill="1" applyBorder="1"/>
    <xf numFmtId="0" fontId="8" fillId="4" borderId="113" xfId="0" applyFont="1" applyFill="1" applyBorder="1"/>
    <xf numFmtId="0" fontId="48" fillId="4" borderId="113" xfId="0" applyFont="1" applyFill="1" applyBorder="1" applyAlignment="1">
      <alignment horizontal="center" vertical="center" shrinkToFit="1"/>
    </xf>
    <xf numFmtId="0" fontId="50" fillId="4" borderId="5" xfId="0" applyFont="1" applyFill="1" applyBorder="1" applyAlignment="1">
      <alignment horizontal="center" vertical="center" shrinkToFit="1"/>
    </xf>
    <xf numFmtId="0" fontId="50" fillId="4" borderId="5" xfId="0" applyFont="1" applyFill="1" applyBorder="1" applyAlignment="1">
      <alignment vertical="center"/>
    </xf>
    <xf numFmtId="0" fontId="50" fillId="4" borderId="114" xfId="0" applyFont="1" applyFill="1" applyBorder="1" applyAlignment="1">
      <alignment horizontal="center" vertical="center"/>
    </xf>
    <xf numFmtId="0" fontId="50" fillId="4" borderId="5" xfId="0" applyFont="1" applyFill="1" applyBorder="1" applyAlignment="1">
      <alignment horizontal="center" vertical="center"/>
    </xf>
    <xf numFmtId="0" fontId="51" fillId="4" borderId="5" xfId="0" applyFont="1" applyFill="1" applyBorder="1" applyAlignment="1">
      <alignment horizontal="center" vertical="center"/>
    </xf>
    <xf numFmtId="0" fontId="51" fillId="4" borderId="10" xfId="0" applyFont="1" applyFill="1" applyBorder="1" applyAlignment="1">
      <alignment horizontal="center" vertical="center"/>
    </xf>
    <xf numFmtId="1" fontId="51" fillId="4" borderId="5" xfId="0" applyNumberFormat="1" applyFont="1" applyFill="1" applyBorder="1" applyAlignment="1">
      <alignment horizontal="center" vertical="center"/>
    </xf>
    <xf numFmtId="0" fontId="52" fillId="4" borderId="113" xfId="0" applyFont="1" applyFill="1" applyBorder="1"/>
    <xf numFmtId="0" fontId="53" fillId="4" borderId="5" xfId="0" applyFont="1" applyFill="1" applyBorder="1" applyAlignment="1">
      <alignment horizontal="center" vertical="center"/>
    </xf>
    <xf numFmtId="0" fontId="49" fillId="4" borderId="113" xfId="0" applyFont="1" applyFill="1" applyBorder="1" applyAlignment="1">
      <alignment vertical="top" shrinkToFit="1"/>
    </xf>
    <xf numFmtId="0" fontId="8" fillId="4" borderId="5" xfId="0" applyFont="1" applyFill="1" applyBorder="1"/>
    <xf numFmtId="0" fontId="49" fillId="4" borderId="113" xfId="0" applyFont="1" applyFill="1" applyBorder="1" applyAlignment="1">
      <alignment vertical="center" shrinkToFit="1"/>
    </xf>
    <xf numFmtId="0" fontId="52" fillId="4" borderId="5" xfId="0" applyFont="1" applyFill="1" applyBorder="1"/>
    <xf numFmtId="0" fontId="49" fillId="4" borderId="5" xfId="0" applyFont="1" applyFill="1" applyBorder="1" applyAlignment="1">
      <alignment vertical="top" wrapText="1"/>
    </xf>
    <xf numFmtId="0" fontId="49" fillId="4" borderId="113" xfId="0" applyFont="1" applyFill="1" applyBorder="1" applyAlignment="1">
      <alignment vertical="top" wrapText="1"/>
    </xf>
    <xf numFmtId="3" fontId="54" fillId="4" borderId="5" xfId="0" applyNumberFormat="1" applyFont="1" applyFill="1" applyBorder="1" applyAlignment="1">
      <alignment horizontal="center" vertical="center"/>
    </xf>
    <xf numFmtId="3" fontId="54" fillId="4" borderId="10" xfId="0" applyNumberFormat="1" applyFont="1" applyFill="1" applyBorder="1" applyAlignment="1">
      <alignment horizontal="center" vertical="center" shrinkToFit="1"/>
    </xf>
    <xf numFmtId="3" fontId="50" fillId="4" borderId="5" xfId="0" applyNumberFormat="1" applyFont="1" applyFill="1" applyBorder="1" applyAlignment="1">
      <alignment horizontal="center" vertical="center"/>
    </xf>
    <xf numFmtId="0" fontId="49" fillId="4" borderId="39" xfId="0" applyFont="1" applyFill="1" applyBorder="1" applyAlignment="1">
      <alignment vertical="top" wrapText="1"/>
    </xf>
    <xf numFmtId="0" fontId="0" fillId="4" borderId="5" xfId="0" applyFont="1" applyFill="1" applyBorder="1"/>
    <xf numFmtId="0" fontId="13" fillId="0" borderId="0" xfId="0" applyFont="1" applyAlignment="1">
      <alignment horizontal="center" vertical="center" shrinkToFit="1"/>
    </xf>
    <xf numFmtId="3" fontId="17" fillId="0" borderId="0" xfId="0" applyNumberFormat="1" applyFont="1" applyAlignment="1">
      <alignment horizontal="center" vertical="center"/>
    </xf>
    <xf numFmtId="0" fontId="0" fillId="0" borderId="0" xfId="0" applyFont="1" applyAlignment="1">
      <alignment horizontal="left"/>
    </xf>
    <xf numFmtId="0" fontId="0" fillId="2" borderId="1" xfId="0" applyFont="1" applyFill="1" applyBorder="1" applyAlignment="1">
      <alignment horizontal="center" vertical="center" wrapText="1"/>
    </xf>
    <xf numFmtId="0" fontId="2" fillId="0" borderId="6" xfId="0" applyFont="1" applyBorder="1"/>
    <xf numFmtId="0" fontId="2" fillId="0" borderId="21" xfId="0" applyFont="1" applyBorder="1"/>
    <xf numFmtId="0" fontId="8" fillId="4" borderId="1" xfId="0" applyFont="1" applyFill="1" applyBorder="1" applyAlignment="1">
      <alignment horizontal="center" wrapText="1"/>
    </xf>
    <xf numFmtId="0" fontId="8" fillId="4" borderId="17" xfId="0" applyFont="1" applyFill="1" applyBorder="1" applyAlignment="1">
      <alignment horizontal="center" wrapText="1"/>
    </xf>
    <xf numFmtId="0" fontId="1" fillId="3" borderId="2" xfId="0" applyFont="1" applyFill="1" applyBorder="1" applyAlignment="1">
      <alignment horizontal="center" vertical="center" wrapText="1"/>
    </xf>
    <xf numFmtId="0" fontId="2" fillId="0" borderId="3" xfId="0" applyFont="1" applyBorder="1"/>
    <xf numFmtId="0" fontId="2" fillId="0" borderId="4" xfId="0" applyFont="1" applyBorder="1"/>
    <xf numFmtId="0" fontId="0" fillId="2" borderId="7" xfId="0" applyFont="1" applyFill="1" applyBorder="1" applyAlignment="1">
      <alignment horizontal="center" wrapText="1"/>
    </xf>
    <xf numFmtId="0" fontId="2" fillId="0" borderId="8" xfId="0" applyFont="1" applyBorder="1"/>
    <xf numFmtId="0" fontId="2" fillId="0" borderId="9" xfId="0" applyFont="1" applyBorder="1"/>
    <xf numFmtId="0" fontId="3" fillId="2" borderId="7" xfId="0" applyFont="1" applyFill="1" applyBorder="1" applyAlignment="1">
      <alignment horizontal="center" wrapText="1"/>
    </xf>
    <xf numFmtId="0" fontId="0" fillId="2" borderId="7" xfId="0" applyFont="1" applyFill="1" applyBorder="1" applyAlignment="1">
      <alignment horizontal="center" vertical="center" wrapText="1"/>
    </xf>
    <xf numFmtId="0" fontId="0" fillId="4" borderId="15" xfId="0" applyFont="1" applyFill="1" applyBorder="1" applyAlignment="1">
      <alignment horizontal="center" vertical="top" wrapText="1"/>
    </xf>
    <xf numFmtId="0" fontId="2" fillId="0" borderId="18" xfId="0" applyFont="1" applyBorder="1"/>
    <xf numFmtId="0" fontId="2" fillId="0" borderId="20" xfId="0" applyFont="1" applyBorder="1"/>
    <xf numFmtId="0" fontId="5" fillId="2" borderId="11" xfId="0" applyFont="1" applyFill="1" applyBorder="1" applyAlignment="1">
      <alignment horizontal="center" vertical="center" wrapText="1"/>
    </xf>
    <xf numFmtId="0" fontId="2" fillId="0" borderId="16" xfId="0" applyFont="1" applyBorder="1"/>
    <xf numFmtId="0" fontId="2" fillId="0" borderId="19" xfId="0" applyFont="1" applyBorder="1"/>
    <xf numFmtId="0" fontId="15" fillId="0" borderId="2" xfId="0" applyFont="1" applyBorder="1" applyAlignment="1">
      <alignment horizontal="center" vertical="center" shrinkToFit="1"/>
    </xf>
    <xf numFmtId="0" fontId="13" fillId="0" borderId="2" xfId="0" applyFont="1" applyBorder="1" applyAlignment="1">
      <alignment horizontal="center" vertical="center"/>
    </xf>
    <xf numFmtId="0" fontId="0" fillId="0" borderId="2" xfId="0" applyFont="1" applyBorder="1" applyAlignment="1">
      <alignment horizontal="center" vertical="center" shrinkToFit="1"/>
    </xf>
    <xf numFmtId="0" fontId="19" fillId="3" borderId="2" xfId="0" applyFont="1" applyFill="1" applyBorder="1" applyAlignment="1">
      <alignment horizontal="center" vertical="center" shrinkToFit="1"/>
    </xf>
    <xf numFmtId="3" fontId="19" fillId="3" borderId="29" xfId="0" applyNumberFormat="1" applyFont="1" applyFill="1" applyBorder="1" applyAlignment="1">
      <alignment horizontal="center" vertical="center"/>
    </xf>
    <xf numFmtId="0" fontId="2" fillId="0" borderId="30" xfId="0" applyFont="1" applyBorder="1"/>
    <xf numFmtId="3" fontId="15" fillId="5" borderId="2" xfId="0" applyNumberFormat="1" applyFont="1" applyFill="1" applyBorder="1" applyAlignment="1">
      <alignment horizontal="center" vertical="center"/>
    </xf>
    <xf numFmtId="0" fontId="15" fillId="0" borderId="2" xfId="0" applyFont="1" applyBorder="1" applyAlignment="1">
      <alignment horizontal="center" vertical="center"/>
    </xf>
    <xf numFmtId="0" fontId="19" fillId="3" borderId="29" xfId="0" applyFont="1" applyFill="1" applyBorder="1" applyAlignment="1">
      <alignment horizontal="center" vertical="center" shrinkToFit="1"/>
    </xf>
    <xf numFmtId="3" fontId="11" fillId="2" borderId="2" xfId="0" applyNumberFormat="1" applyFont="1" applyFill="1" applyBorder="1" applyAlignment="1">
      <alignment horizontal="center" vertical="center"/>
    </xf>
    <xf numFmtId="0" fontId="15" fillId="6" borderId="2" xfId="0" applyFont="1" applyFill="1" applyBorder="1" applyAlignment="1">
      <alignment horizontal="center" vertical="center"/>
    </xf>
    <xf numFmtId="0" fontId="13" fillId="2" borderId="2" xfId="0" applyFont="1" applyFill="1" applyBorder="1" applyAlignment="1">
      <alignment horizontal="center" vertical="center" shrinkToFit="1"/>
    </xf>
    <xf numFmtId="0" fontId="13" fillId="2" borderId="2" xfId="0" applyFont="1" applyFill="1" applyBorder="1" applyAlignment="1">
      <alignment horizontal="center" vertical="center" wrapText="1"/>
    </xf>
    <xf numFmtId="0" fontId="12" fillId="3" borderId="2" xfId="0" applyFont="1" applyFill="1" applyBorder="1" applyAlignment="1">
      <alignment horizontal="center" vertical="center" wrapText="1"/>
    </xf>
    <xf numFmtId="0" fontId="17" fillId="0" borderId="0" xfId="0" applyFont="1" applyAlignment="1">
      <alignment horizontal="center" vertical="center"/>
    </xf>
    <xf numFmtId="0" fontId="0" fillId="0" borderId="0" xfId="0" applyFont="1" applyAlignment="1"/>
    <xf numFmtId="0" fontId="14" fillId="0" borderId="0" xfId="0" applyFont="1" applyAlignment="1">
      <alignment horizontal="center" vertical="center"/>
    </xf>
    <xf numFmtId="0" fontId="13" fillId="2" borderId="23" xfId="0" applyFont="1" applyFill="1" applyBorder="1" applyAlignment="1">
      <alignment horizontal="center" vertical="center"/>
    </xf>
    <xf numFmtId="0" fontId="2" fillId="0" borderId="25" xfId="0" applyFont="1" applyBorder="1"/>
    <xf numFmtId="0" fontId="2" fillId="0" borderId="31" xfId="0" applyFont="1" applyBorder="1"/>
    <xf numFmtId="0" fontId="2" fillId="0" borderId="32" xfId="0" applyFont="1" applyBorder="1"/>
    <xf numFmtId="0" fontId="2" fillId="0" borderId="40" xfId="0" applyFont="1" applyBorder="1"/>
    <xf numFmtId="0" fontId="2" fillId="0" borderId="41" xfId="0" applyFont="1" applyBorder="1"/>
    <xf numFmtId="0" fontId="13" fillId="2" borderId="42" xfId="0" applyFont="1" applyFill="1" applyBorder="1" applyAlignment="1">
      <alignment horizontal="left"/>
    </xf>
    <xf numFmtId="0" fontId="2" fillId="0" borderId="43" xfId="0" applyFont="1" applyBorder="1"/>
    <xf numFmtId="0" fontId="2" fillId="0" borderId="44" xfId="0" applyFont="1" applyBorder="1"/>
    <xf numFmtId="0" fontId="21" fillId="2" borderId="37" xfId="0" applyFont="1" applyFill="1" applyBorder="1" applyAlignment="1">
      <alignment horizontal="left" vertical="top" wrapText="1"/>
    </xf>
    <xf numFmtId="0" fontId="2" fillId="0" borderId="34" xfId="0" applyFont="1" applyBorder="1"/>
    <xf numFmtId="0" fontId="2" fillId="0" borderId="38" xfId="0" applyFont="1" applyBorder="1"/>
    <xf numFmtId="0" fontId="23" fillId="3" borderId="15" xfId="0" applyFont="1" applyFill="1" applyBorder="1" applyAlignment="1">
      <alignment horizontal="center" vertical="center"/>
    </xf>
    <xf numFmtId="0" fontId="23" fillId="3" borderId="46" xfId="0" applyFont="1" applyFill="1" applyBorder="1" applyAlignment="1">
      <alignment horizontal="center" vertical="center"/>
    </xf>
    <xf numFmtId="0" fontId="2" fillId="0" borderId="47" xfId="0" applyFont="1" applyBorder="1"/>
    <xf numFmtId="0" fontId="23" fillId="3" borderId="23" xfId="0" applyFont="1" applyFill="1" applyBorder="1" applyAlignment="1">
      <alignment horizontal="center" vertical="center" wrapText="1"/>
    </xf>
    <xf numFmtId="0" fontId="20" fillId="2" borderId="42" xfId="0" applyFont="1" applyFill="1" applyBorder="1" applyAlignment="1">
      <alignment horizontal="center" vertical="center"/>
    </xf>
    <xf numFmtId="0" fontId="22" fillId="2" borderId="37" xfId="0" applyFont="1" applyFill="1" applyBorder="1" applyAlignment="1">
      <alignment horizontal="center" vertical="center"/>
    </xf>
    <xf numFmtId="3" fontId="15" fillId="2" borderId="29" xfId="0" applyNumberFormat="1" applyFont="1" applyFill="1" applyBorder="1" applyAlignment="1">
      <alignment horizontal="center" vertical="center" shrinkToFit="1"/>
    </xf>
    <xf numFmtId="3" fontId="15" fillId="2" borderId="2" xfId="0" applyNumberFormat="1" applyFont="1" applyFill="1" applyBorder="1" applyAlignment="1">
      <alignment horizontal="center" vertical="center"/>
    </xf>
    <xf numFmtId="3" fontId="15" fillId="2" borderId="2" xfId="0" applyNumberFormat="1" applyFont="1" applyFill="1" applyBorder="1" applyAlignment="1">
      <alignment horizontal="right" vertical="center"/>
    </xf>
    <xf numFmtId="0" fontId="15" fillId="2" borderId="29" xfId="0" applyFont="1" applyFill="1" applyBorder="1" applyAlignment="1">
      <alignment horizontal="left" vertical="center"/>
    </xf>
    <xf numFmtId="3" fontId="19" fillId="3" borderId="2" xfId="0" applyNumberFormat="1" applyFont="1" applyFill="1" applyBorder="1" applyAlignment="1">
      <alignment horizontal="center" vertical="center"/>
    </xf>
    <xf numFmtId="0" fontId="18" fillId="0" borderId="2" xfId="0" applyFont="1" applyBorder="1" applyAlignment="1">
      <alignment horizontal="center" vertical="center" shrinkToFit="1"/>
    </xf>
    <xf numFmtId="0" fontId="12" fillId="3" borderId="2" xfId="0" applyFont="1" applyFill="1" applyBorder="1" applyAlignment="1">
      <alignment horizontal="center" vertical="center"/>
    </xf>
    <xf numFmtId="0" fontId="13" fillId="0" borderId="0" xfId="0" applyFont="1" applyAlignment="1">
      <alignment horizontal="center" vertical="center"/>
    </xf>
    <xf numFmtId="0" fontId="2" fillId="0" borderId="24" xfId="0" applyFont="1" applyBorder="1"/>
    <xf numFmtId="0" fontId="2" fillId="0" borderId="48" xfId="0" applyFont="1" applyBorder="1"/>
    <xf numFmtId="0" fontId="0" fillId="0" borderId="2" xfId="0" applyFont="1" applyBorder="1" applyAlignment="1">
      <alignment horizontal="center" vertical="center"/>
    </xf>
    <xf numFmtId="0" fontId="17" fillId="0" borderId="2" xfId="0" applyFont="1" applyBorder="1" applyAlignment="1">
      <alignment horizontal="center" vertical="center"/>
    </xf>
    <xf numFmtId="0" fontId="23" fillId="3" borderId="46" xfId="0" applyFont="1" applyFill="1" applyBorder="1" applyAlignment="1">
      <alignment horizontal="center" vertical="center" wrapText="1"/>
    </xf>
    <xf numFmtId="0" fontId="23" fillId="3" borderId="2" xfId="0" applyFont="1" applyFill="1" applyBorder="1" applyAlignment="1">
      <alignment horizontal="center" vertical="center" wrapText="1"/>
    </xf>
    <xf numFmtId="3" fontId="15" fillId="5" borderId="2" xfId="0" applyNumberFormat="1" applyFont="1" applyFill="1" applyBorder="1" applyAlignment="1">
      <alignment horizontal="center" vertical="center" shrinkToFit="1"/>
    </xf>
    <xf numFmtId="0" fontId="11" fillId="2" borderId="2" xfId="0" applyFont="1" applyFill="1" applyBorder="1" applyAlignment="1">
      <alignment horizontal="right" vertical="center" wrapText="1"/>
    </xf>
    <xf numFmtId="0" fontId="11" fillId="2" borderId="29" xfId="0" applyFont="1" applyFill="1" applyBorder="1" applyAlignment="1">
      <alignment horizontal="center" vertical="center" wrapText="1"/>
    </xf>
    <xf numFmtId="3" fontId="15" fillId="2" borderId="2" xfId="0" applyNumberFormat="1" applyFont="1" applyFill="1" applyBorder="1" applyAlignment="1">
      <alignment horizontal="center" vertical="center" shrinkToFit="1"/>
    </xf>
    <xf numFmtId="0" fontId="0" fillId="2" borderId="2" xfId="0" applyFont="1" applyFill="1" applyBorder="1" applyAlignment="1">
      <alignment horizontal="center" vertical="center"/>
    </xf>
    <xf numFmtId="0" fontId="19" fillId="3" borderId="33" xfId="0" applyFont="1" applyFill="1" applyBorder="1" applyAlignment="1">
      <alignment horizontal="center" vertical="center" shrinkToFit="1"/>
    </xf>
    <xf numFmtId="0" fontId="2" fillId="0" borderId="35" xfId="0" applyFont="1" applyBorder="1"/>
    <xf numFmtId="3" fontId="19" fillId="3" borderId="37" xfId="0" applyNumberFormat="1" applyFont="1" applyFill="1" applyBorder="1" applyAlignment="1">
      <alignment horizontal="center" vertical="center"/>
    </xf>
    <xf numFmtId="0" fontId="15" fillId="2" borderId="2" xfId="0" applyFont="1" applyFill="1" applyBorder="1" applyAlignment="1">
      <alignment horizontal="center" vertical="center"/>
    </xf>
    <xf numFmtId="3" fontId="13" fillId="2" borderId="1" xfId="0" applyNumberFormat="1" applyFont="1" applyFill="1" applyBorder="1" applyAlignment="1">
      <alignment horizontal="center" vertical="center"/>
    </xf>
    <xf numFmtId="0" fontId="14" fillId="0" borderId="23" xfId="0" applyFont="1" applyBorder="1" applyAlignment="1">
      <alignment horizontal="center" vertical="center"/>
    </xf>
    <xf numFmtId="0" fontId="13" fillId="0" borderId="3" xfId="0" applyFont="1" applyBorder="1" applyAlignment="1">
      <alignment horizontal="center" vertical="center"/>
    </xf>
    <xf numFmtId="0" fontId="9" fillId="0" borderId="0" xfId="0" applyFont="1" applyAlignment="1">
      <alignment horizontal="center" vertical="center" wrapText="1"/>
    </xf>
    <xf numFmtId="0" fontId="36" fillId="5" borderId="96" xfId="0" applyFont="1" applyFill="1" applyBorder="1" applyAlignment="1">
      <alignment horizontal="left" vertical="center" wrapText="1"/>
    </xf>
    <xf numFmtId="0" fontId="2" fillId="0" borderId="83" xfId="0" applyFont="1" applyBorder="1"/>
    <xf numFmtId="0" fontId="2" fillId="0" borderId="97" xfId="0" applyFont="1" applyBorder="1"/>
    <xf numFmtId="0" fontId="9" fillId="2" borderId="96" xfId="0" applyFont="1" applyFill="1" applyBorder="1" applyAlignment="1">
      <alignment horizontal="left" vertical="center" shrinkToFit="1"/>
    </xf>
    <xf numFmtId="0" fontId="38" fillId="2" borderId="7" xfId="0" applyFont="1" applyFill="1" applyBorder="1" applyAlignment="1">
      <alignment horizontal="center" vertical="center" wrapText="1"/>
    </xf>
    <xf numFmtId="0" fontId="18" fillId="5" borderId="29" xfId="0" applyFont="1" applyFill="1" applyBorder="1" applyAlignment="1">
      <alignment horizontal="center" vertical="center" wrapText="1"/>
    </xf>
    <xf numFmtId="0" fontId="2" fillId="0" borderId="87" xfId="0" applyFont="1" applyBorder="1"/>
    <xf numFmtId="0" fontId="27" fillId="4" borderId="1" xfId="0" applyFont="1" applyFill="1" applyBorder="1" applyAlignment="1">
      <alignment horizontal="center" vertical="center"/>
    </xf>
    <xf numFmtId="164" fontId="17" fillId="2" borderId="70" xfId="0" applyNumberFormat="1" applyFont="1" applyFill="1" applyBorder="1" applyAlignment="1">
      <alignment horizontal="center" vertical="center" shrinkToFit="1"/>
    </xf>
    <xf numFmtId="0" fontId="2" fillId="0" borderId="81" xfId="0" applyFont="1" applyBorder="1"/>
    <xf numFmtId="0" fontId="0" fillId="3" borderId="54" xfId="0" applyFont="1" applyFill="1" applyBorder="1" applyAlignment="1">
      <alignment horizontal="center" vertical="center"/>
    </xf>
    <xf numFmtId="0" fontId="2" fillId="0" borderId="55" xfId="0" applyFont="1" applyBorder="1"/>
    <xf numFmtId="0" fontId="2" fillId="0" borderId="56" xfId="0" applyFont="1" applyBorder="1"/>
    <xf numFmtId="0" fontId="2" fillId="0" borderId="57" xfId="0" applyFont="1" applyBorder="1"/>
    <xf numFmtId="0" fontId="0" fillId="3" borderId="58" xfId="0" applyFont="1" applyFill="1" applyBorder="1" applyAlignment="1">
      <alignment horizontal="center" vertical="center"/>
    </xf>
    <xf numFmtId="9" fontId="27" fillId="4" borderId="82" xfId="0" applyNumberFormat="1" applyFont="1" applyFill="1" applyBorder="1" applyAlignment="1">
      <alignment horizontal="center" vertical="center"/>
    </xf>
    <xf numFmtId="0" fontId="2" fillId="0" borderId="84" xfId="0" applyFont="1" applyBorder="1"/>
    <xf numFmtId="0" fontId="32" fillId="3" borderId="52" xfId="0" applyFont="1" applyFill="1" applyBorder="1" applyAlignment="1">
      <alignment horizontal="center" vertical="center" shrinkToFit="1"/>
    </xf>
    <xf numFmtId="0" fontId="2" fillId="0" borderId="53" xfId="0" applyFont="1" applyBorder="1"/>
    <xf numFmtId="0" fontId="2" fillId="0" borderId="63" xfId="0" applyFont="1" applyBorder="1"/>
    <xf numFmtId="0" fontId="2" fillId="0" borderId="64" xfId="0" applyFont="1" applyBorder="1"/>
    <xf numFmtId="0" fontId="2" fillId="0" borderId="74" xfId="0" applyFont="1" applyBorder="1"/>
    <xf numFmtId="0" fontId="2" fillId="0" borderId="75" xfId="0" applyFont="1" applyBorder="1"/>
    <xf numFmtId="0" fontId="35" fillId="3" borderId="54" xfId="0" applyFont="1" applyFill="1" applyBorder="1" applyAlignment="1">
      <alignment horizontal="center" vertical="center"/>
    </xf>
    <xf numFmtId="0" fontId="9" fillId="3" borderId="54" xfId="0" applyFont="1" applyFill="1" applyBorder="1" applyAlignment="1">
      <alignment horizontal="center" vertical="center"/>
    </xf>
    <xf numFmtId="0" fontId="9" fillId="3" borderId="58" xfId="0" applyFont="1" applyFill="1" applyBorder="1" applyAlignment="1">
      <alignment horizontal="center" vertical="center"/>
    </xf>
    <xf numFmtId="0" fontId="35" fillId="3" borderId="54" xfId="0" applyFont="1" applyFill="1" applyBorder="1" applyAlignment="1">
      <alignment horizontal="center" vertical="center" wrapText="1"/>
    </xf>
    <xf numFmtId="0" fontId="33" fillId="3" borderId="54" xfId="0" applyFont="1" applyFill="1" applyBorder="1" applyAlignment="1">
      <alignment horizontal="center" vertical="center"/>
    </xf>
    <xf numFmtId="3" fontId="9" fillId="2" borderId="2" xfId="0" applyNumberFormat="1" applyFont="1" applyFill="1" applyBorder="1" applyAlignment="1">
      <alignment horizontal="center" vertical="center"/>
    </xf>
    <xf numFmtId="0" fontId="13" fillId="2" borderId="7" xfId="0" applyFont="1" applyFill="1" applyBorder="1" applyAlignment="1">
      <alignment horizontal="center" vertical="center"/>
    </xf>
    <xf numFmtId="0" fontId="40" fillId="8" borderId="7" xfId="0" applyFont="1" applyFill="1" applyBorder="1" applyAlignment="1">
      <alignment horizontal="center" vertical="center" shrinkToFit="1"/>
    </xf>
    <xf numFmtId="0" fontId="41" fillId="2" borderId="98" xfId="0" applyFont="1" applyFill="1" applyBorder="1" applyAlignment="1">
      <alignment horizontal="center" vertical="center"/>
    </xf>
    <xf numFmtId="0" fontId="2" fillId="0" borderId="99" xfId="0" applyFont="1" applyBorder="1"/>
    <xf numFmtId="0" fontId="2" fillId="0" borderId="100" xfId="0" applyFont="1" applyBorder="1"/>
    <xf numFmtId="0" fontId="2" fillId="0" borderId="101" xfId="0" applyFont="1" applyBorder="1"/>
    <xf numFmtId="0" fontId="2" fillId="0" borderId="102" xfId="0" applyFont="1" applyBorder="1"/>
    <xf numFmtId="0" fontId="2" fillId="0" borderId="103" xfId="0" applyFont="1" applyBorder="1"/>
    <xf numFmtId="0" fontId="2" fillId="0" borderId="104" xfId="0" applyFont="1" applyBorder="1"/>
    <xf numFmtId="0" fontId="42" fillId="9" borderId="1" xfId="0" applyFont="1" applyFill="1" applyBorder="1" applyAlignment="1">
      <alignment horizontal="center" vertical="center"/>
    </xf>
    <xf numFmtId="0" fontId="44" fillId="2" borderId="7" xfId="0" applyFont="1" applyFill="1" applyBorder="1" applyAlignment="1">
      <alignment horizontal="left"/>
    </xf>
    <xf numFmtId="0" fontId="17" fillId="2" borderId="98" xfId="0" applyFont="1" applyFill="1" applyBorder="1" applyAlignment="1">
      <alignment horizontal="left" vertical="top" wrapText="1"/>
    </xf>
    <xf numFmtId="0" fontId="39" fillId="8" borderId="7" xfId="0" applyFont="1" applyFill="1" applyBorder="1" applyAlignment="1">
      <alignment horizontal="center" vertical="center" shrinkToFit="1"/>
    </xf>
    <xf numFmtId="0" fontId="17" fillId="2" borderId="98" xfId="0" applyFont="1" applyFill="1" applyBorder="1" applyAlignment="1">
      <alignment horizontal="left" vertical="top" shrinkToFit="1"/>
    </xf>
    <xf numFmtId="0" fontId="39" fillId="8" borderId="7" xfId="0" applyFont="1" applyFill="1" applyBorder="1" applyAlignment="1">
      <alignment horizontal="center"/>
    </xf>
    <xf numFmtId="0" fontId="0" fillId="9" borderId="1" xfId="0" applyFont="1" applyFill="1" applyBorder="1" applyAlignment="1">
      <alignment horizontal="center"/>
    </xf>
    <xf numFmtId="0" fontId="39" fillId="9" borderId="1" xfId="0" applyFont="1" applyFill="1" applyBorder="1" applyAlignment="1">
      <alignment horizontal="center" vertical="center"/>
    </xf>
    <xf numFmtId="0" fontId="0" fillId="0" borderId="105" xfId="0" applyFont="1" applyBorder="1" applyAlignment="1">
      <alignment horizontal="center"/>
    </xf>
    <xf numFmtId="0" fontId="2" fillId="0" borderId="106" xfId="0" applyFont="1" applyBorder="1"/>
    <xf numFmtId="0" fontId="2" fillId="0" borderId="107" xfId="0" applyFont="1" applyBorder="1"/>
    <xf numFmtId="0" fontId="2" fillId="0" borderId="108" xfId="0" applyFont="1" applyBorder="1"/>
    <xf numFmtId="0" fontId="2" fillId="0" borderId="109" xfId="0" applyFont="1" applyBorder="1"/>
    <xf numFmtId="0" fontId="2" fillId="0" borderId="110" xfId="0" applyFont="1" applyBorder="1"/>
    <xf numFmtId="0" fontId="2" fillId="0" borderId="111" xfId="0" applyFont="1" applyBorder="1"/>
    <xf numFmtId="0" fontId="2" fillId="0" borderId="112" xfId="0" applyFont="1" applyBorder="1"/>
    <xf numFmtId="0" fontId="0" fillId="8" borderId="7" xfId="0" applyFont="1" applyFill="1" applyBorder="1" applyAlignment="1">
      <alignment horizontal="center"/>
    </xf>
    <xf numFmtId="1" fontId="42" fillId="9" borderId="7" xfId="0" applyNumberFormat="1" applyFont="1" applyFill="1" applyBorder="1" applyAlignment="1">
      <alignment horizontal="center" vertical="center"/>
    </xf>
    <xf numFmtId="3" fontId="40" fillId="8" borderId="7" xfId="0" applyNumberFormat="1" applyFont="1" applyFill="1" applyBorder="1" applyAlignment="1">
      <alignment horizontal="center" vertical="center" shrinkToFit="1"/>
    </xf>
    <xf numFmtId="1" fontId="42" fillId="9" borderId="98" xfId="0" applyNumberFormat="1" applyFont="1" applyFill="1" applyBorder="1" applyAlignment="1">
      <alignment horizontal="center" vertical="center"/>
    </xf>
    <xf numFmtId="3" fontId="42" fillId="9" borderId="7" xfId="0" applyNumberFormat="1" applyFont="1" applyFill="1" applyBorder="1" applyAlignment="1">
      <alignment horizontal="center" vertical="center"/>
    </xf>
    <xf numFmtId="0" fontId="39" fillId="8" borderId="1" xfId="0" applyFont="1" applyFill="1" applyBorder="1" applyAlignment="1">
      <alignment horizontal="center" vertical="center"/>
    </xf>
    <xf numFmtId="0" fontId="42" fillId="8" borderId="1" xfId="0" applyFont="1" applyFill="1" applyBorder="1" applyAlignment="1">
      <alignment horizontal="center" vertical="center" textRotation="90"/>
    </xf>
    <xf numFmtId="0" fontId="48" fillId="4" borderId="7" xfId="0" applyFont="1" applyFill="1" applyBorder="1" applyAlignment="1">
      <alignment horizontal="center"/>
    </xf>
    <xf numFmtId="0" fontId="8" fillId="4" borderId="33" xfId="0" applyFont="1" applyFill="1" applyBorder="1" applyAlignment="1">
      <alignment horizontal="center"/>
    </xf>
    <xf numFmtId="0" fontId="0" fillId="0" borderId="23" xfId="0" applyFont="1" applyBorder="1" applyAlignment="1">
      <alignment horizontal="center"/>
    </xf>
    <xf numFmtId="0" fontId="0" fillId="4" borderId="33" xfId="0" applyFont="1" applyFill="1" applyBorder="1"/>
    <xf numFmtId="0" fontId="52" fillId="4" borderId="115" xfId="0" applyFont="1" applyFill="1" applyBorder="1" applyAlignment="1">
      <alignment horizontal="left"/>
    </xf>
    <xf numFmtId="0" fontId="2" fillId="0" borderId="116" xfId="0" applyFont="1" applyBorder="1"/>
    <xf numFmtId="0" fontId="53" fillId="4" borderId="117" xfId="0" applyFont="1" applyFill="1" applyBorder="1" applyAlignment="1">
      <alignment horizontal="center" vertical="center" wrapText="1"/>
    </xf>
    <xf numFmtId="0" fontId="2" fillId="0" borderId="118" xfId="0" applyFont="1" applyBorder="1"/>
    <xf numFmtId="0" fontId="48" fillId="4" borderId="46" xfId="0" applyFont="1" applyFill="1" applyBorder="1" applyAlignment="1">
      <alignment horizontal="center" vertical="center"/>
    </xf>
    <xf numFmtId="0" fontId="49" fillId="4" borderId="7" xfId="0" applyFont="1" applyFill="1" applyBorder="1" applyAlignment="1">
      <alignment horizontal="center" vertical="center" shrinkToFit="1"/>
    </xf>
    <xf numFmtId="0" fontId="8" fillId="4" borderId="119" xfId="0" applyFont="1" applyFill="1" applyBorder="1"/>
    <xf numFmtId="0" fontId="2" fillId="0" borderId="120" xfId="0" applyFont="1" applyBorder="1"/>
    <xf numFmtId="0" fontId="2" fillId="0" borderId="125" xfId="0" applyFont="1" applyBorder="1"/>
    <xf numFmtId="0" fontId="50" fillId="4" borderId="1" xfId="0" applyFont="1" applyFill="1" applyBorder="1" applyAlignment="1">
      <alignment horizontal="center" vertical="center"/>
    </xf>
    <xf numFmtId="0" fontId="56" fillId="4" borderId="117" xfId="0" applyFont="1" applyFill="1" applyBorder="1" applyAlignment="1">
      <alignment horizontal="center" vertical="center" wrapText="1"/>
    </xf>
    <xf numFmtId="0" fontId="2" fillId="0" borderId="121" xfId="0" applyFont="1" applyBorder="1"/>
    <xf numFmtId="0" fontId="2" fillId="0" borderId="122" xfId="0" applyFont="1" applyBorder="1"/>
    <xf numFmtId="0" fontId="55" fillId="4" borderId="98" xfId="0" applyFont="1" applyFill="1" applyBorder="1" applyAlignment="1">
      <alignment horizontal="center" vertical="center" wrapText="1"/>
    </xf>
    <xf numFmtId="0" fontId="51" fillId="4" borderId="15" xfId="0" applyFont="1" applyFill="1" applyBorder="1" applyAlignment="1">
      <alignment horizontal="center" vertical="center"/>
    </xf>
    <xf numFmtId="0" fontId="53" fillId="4" borderId="29" xfId="0" applyFont="1" applyFill="1" applyBorder="1" applyAlignment="1">
      <alignment horizontal="left" vertical="top" wrapText="1"/>
    </xf>
    <xf numFmtId="0" fontId="52" fillId="4" borderId="123" xfId="0" applyFont="1" applyFill="1" applyBorder="1" applyAlignment="1">
      <alignment horizontal="left"/>
    </xf>
    <xf numFmtId="0" fontId="2" fillId="0" borderId="124" xfId="0" applyFont="1" applyBorder="1"/>
    <xf numFmtId="0" fontId="57" fillId="4" borderId="117" xfId="0" applyFont="1" applyFill="1" applyBorder="1" applyAlignment="1">
      <alignment horizontal="center" vertical="center" wrapText="1"/>
    </xf>
    <xf numFmtId="0" fontId="50" fillId="4" borderId="23" xfId="0" applyFont="1" applyFill="1" applyBorder="1" applyAlignment="1">
      <alignment horizontal="center" vertical="center"/>
    </xf>
    <xf numFmtId="3" fontId="49" fillId="4" borderId="7" xfId="0" applyNumberFormat="1" applyFont="1" applyFill="1" applyBorder="1" applyAlignment="1">
      <alignment horizontal="center" vertical="center" shrinkToFit="1"/>
    </xf>
    <xf numFmtId="3" fontId="51" fillId="4" borderId="2" xfId="0" applyNumberFormat="1" applyFont="1" applyFill="1" applyBorder="1" applyAlignment="1">
      <alignment horizontal="center" vertical="center"/>
    </xf>
    <xf numFmtId="1" fontId="51" fillId="4" borderId="23" xfId="0" applyNumberFormat="1" applyFont="1" applyFill="1" applyBorder="1" applyAlignment="1">
      <alignment horizontal="center" vertical="center"/>
    </xf>
    <xf numFmtId="1" fontId="51" fillId="4" borderId="2" xfId="0" applyNumberFormat="1" applyFont="1" applyFill="1" applyBorder="1" applyAlignment="1">
      <alignment horizontal="center" vertical="center"/>
    </xf>
    <xf numFmtId="0" fontId="51" fillId="4" borderId="11" xfId="0" applyFont="1" applyFill="1" applyBorder="1" applyAlignment="1">
      <alignment horizontal="center" vertical="center" textRotation="90"/>
    </xf>
  </cellXfs>
  <cellStyles count="1">
    <cellStyle name="Normale" xfId="0" builtinId="0"/>
  </cellStyles>
  <dxfs count="340">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b/>
        <color rgb="FFFF0000"/>
      </font>
      <fill>
        <patternFill patternType="none"/>
      </fill>
    </dxf>
    <dxf>
      <font>
        <color theme="0"/>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theme="0"/>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ont>
        <color theme="0"/>
      </font>
      <fill>
        <patternFill patternType="none"/>
      </fill>
    </dxf>
    <dxf>
      <font>
        <b/>
        <color rgb="FFFF0000"/>
      </font>
      <fill>
        <patternFill patternType="none"/>
      </fill>
    </dxf>
    <dxf>
      <font>
        <b/>
        <color rgb="FFFF0000"/>
      </font>
      <fill>
        <patternFill patternType="none"/>
      </fill>
    </dxf>
    <dxf>
      <font>
        <color theme="0"/>
      </font>
      <fill>
        <patternFill patternType="none"/>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b/>
        <color rgb="FFFF0000"/>
      </font>
      <fill>
        <patternFill patternType="none"/>
      </fill>
    </dxf>
    <dxf>
      <font>
        <color rgb="FFFFFFFF"/>
      </font>
      <fill>
        <patternFill patternType="none"/>
      </fill>
    </dxf>
    <dxf>
      <fill>
        <patternFill patternType="solid">
          <fgColor rgb="FFD99594"/>
          <bgColor rgb="FFD99594"/>
        </patternFill>
      </fill>
    </dxf>
    <dxf>
      <font>
        <color theme="0"/>
      </font>
      <fill>
        <patternFill patternType="none"/>
      </fill>
    </dxf>
    <dxf>
      <font>
        <color rgb="FF7F7F7F"/>
      </font>
      <fill>
        <patternFill patternType="solid">
          <fgColor rgb="FF7F7F7F"/>
          <bgColor rgb="FF7F7F7F"/>
        </patternFill>
      </fill>
    </dxf>
    <dxf>
      <font>
        <color theme="0"/>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rgb="FFFFFFFF"/>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rgb="FFD8D8D8"/>
      </font>
      <fill>
        <patternFill patternType="solid">
          <fgColor rgb="FFD8D8D8"/>
          <bgColor rgb="FFD8D8D8"/>
        </patternFill>
      </fill>
    </dxf>
    <dxf>
      <font>
        <color rgb="FFFFFFFF"/>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0</xdr:colOff>
      <xdr:row>20</xdr:row>
      <xdr:rowOff>190500</xdr:rowOff>
    </xdr:from>
    <xdr:ext cx="1666875" cy="2028825"/>
    <xdr:pic>
      <xdr:nvPicPr>
        <xdr:cNvPr id="2" name="image1.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46</xdr:col>
      <xdr:colOff>85725</xdr:colOff>
      <xdr:row>100</xdr:row>
      <xdr:rowOff>133350</xdr:rowOff>
    </xdr:from>
    <xdr:ext cx="2819400" cy="3133725"/>
    <xdr:pic>
      <xdr:nvPicPr>
        <xdr:cNvPr id="2" name="image1.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46</xdr:col>
      <xdr:colOff>85725</xdr:colOff>
      <xdr:row>100</xdr:row>
      <xdr:rowOff>133350</xdr:rowOff>
    </xdr:from>
    <xdr:ext cx="2819400" cy="3133725"/>
    <xdr:pic>
      <xdr:nvPicPr>
        <xdr:cNvPr id="2" name="image2.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000"/>
  <sheetViews>
    <sheetView workbookViewId="0">
      <selection sqref="A1:A20"/>
    </sheetView>
  </sheetViews>
  <sheetFormatPr defaultColWidth="14.42578125" defaultRowHeight="15" customHeight="1"/>
  <cols>
    <col min="1" max="1" width="2.85546875" customWidth="1"/>
    <col min="2" max="2" width="83.7109375" customWidth="1"/>
    <col min="3" max="3" width="2.85546875" customWidth="1"/>
    <col min="4" max="4" width="71.140625" customWidth="1"/>
    <col min="5" max="5" width="2.85546875" customWidth="1"/>
    <col min="6" max="6" width="26" hidden="1" customWidth="1"/>
    <col min="7" max="7" width="26.85546875" hidden="1" customWidth="1"/>
    <col min="8" max="8" width="2.85546875" hidden="1" customWidth="1"/>
    <col min="9" max="12" width="83.7109375" hidden="1" customWidth="1"/>
    <col min="13" max="13" width="9.140625" hidden="1" customWidth="1"/>
    <col min="14" max="31" width="10.7109375" hidden="1" customWidth="1"/>
  </cols>
  <sheetData>
    <row r="1" spans="1:31" ht="12.75" customHeight="1">
      <c r="A1" s="227"/>
      <c r="B1" s="232" t="s">
        <v>0</v>
      </c>
      <c r="C1" s="233"/>
      <c r="D1" s="234"/>
      <c r="E1" s="227"/>
      <c r="F1" s="1"/>
      <c r="G1" s="1"/>
      <c r="H1" s="1"/>
      <c r="I1" s="1"/>
      <c r="J1" s="1"/>
      <c r="K1" s="1"/>
      <c r="L1" s="1"/>
      <c r="M1" s="1"/>
      <c r="N1" s="1"/>
      <c r="O1" s="1"/>
      <c r="P1" s="1"/>
      <c r="Q1" s="1"/>
      <c r="R1" s="1"/>
      <c r="S1" s="1"/>
      <c r="T1" s="1"/>
      <c r="U1" s="1"/>
      <c r="V1" s="1"/>
      <c r="W1" s="1"/>
      <c r="X1" s="1"/>
      <c r="Y1" s="1"/>
      <c r="Z1" s="1"/>
      <c r="AA1" s="1"/>
      <c r="AB1" s="1"/>
      <c r="AC1" s="1"/>
      <c r="AD1" s="1"/>
      <c r="AE1" s="1"/>
    </row>
    <row r="2" spans="1:31" ht="12.75" customHeight="1">
      <c r="A2" s="228"/>
      <c r="B2" s="235" t="str">
        <f>IF(Roster!J24="Español","Creado por dreamscreator",(IF(Roster!J24="Deutsch","Erstellt von dreamscreator",(IF(Roster!J24="Français","Créé par dreamscreator","Created by dreamscreator")))))</f>
        <v>Created by dreamscreator</v>
      </c>
      <c r="C2" s="236"/>
      <c r="D2" s="237"/>
      <c r="E2" s="228"/>
      <c r="F2" s="1"/>
      <c r="G2" s="1"/>
      <c r="H2" s="1"/>
      <c r="I2" s="1"/>
      <c r="J2" s="1"/>
      <c r="K2" s="1"/>
      <c r="L2" s="1"/>
      <c r="M2" s="1"/>
      <c r="N2" s="1"/>
      <c r="O2" s="1"/>
      <c r="P2" s="1"/>
      <c r="Q2" s="1"/>
      <c r="R2" s="1"/>
      <c r="S2" s="1"/>
      <c r="T2" s="1"/>
      <c r="U2" s="1"/>
      <c r="V2" s="1"/>
      <c r="W2" s="1"/>
      <c r="X2" s="1"/>
      <c r="Y2" s="1"/>
      <c r="Z2" s="1"/>
      <c r="AA2" s="1"/>
      <c r="AB2" s="1"/>
      <c r="AC2" s="1"/>
      <c r="AD2" s="1"/>
      <c r="AE2" s="1"/>
    </row>
    <row r="3" spans="1:31" ht="12.75" customHeight="1">
      <c r="A3" s="228"/>
      <c r="B3" s="238" t="str">
        <f>IF(Roster!J24="Español","https://bloodbowlhelp.wordpress.com",(IF(Roster!J24="Deutsch","Übersetzt von Coach Grong https://bloodbowlhelp.wordpress.com",(IF(Roster!J24="Français","Traduit par Fennec https://bloodbowlhelp.wordpress.com","https://bloodbowlhelp.wordpress.com")))))</f>
        <v>https://bloodbowlhelp.wordpress.com</v>
      </c>
      <c r="C3" s="236"/>
      <c r="D3" s="237"/>
      <c r="E3" s="228"/>
      <c r="F3" s="1"/>
      <c r="G3" s="1"/>
      <c r="H3" s="1"/>
      <c r="I3" s="1"/>
      <c r="J3" s="1"/>
      <c r="K3" s="1"/>
      <c r="L3" s="1"/>
      <c r="M3" s="1"/>
      <c r="N3" s="1"/>
      <c r="O3" s="1"/>
      <c r="P3" s="1"/>
      <c r="Q3" s="1"/>
      <c r="R3" s="1"/>
      <c r="S3" s="1"/>
      <c r="T3" s="1"/>
      <c r="U3" s="1"/>
      <c r="V3" s="1"/>
      <c r="W3" s="1"/>
      <c r="X3" s="1"/>
      <c r="Y3" s="1"/>
      <c r="Z3" s="1"/>
      <c r="AA3" s="1"/>
      <c r="AB3" s="1"/>
      <c r="AC3" s="1"/>
      <c r="AD3" s="1"/>
      <c r="AE3" s="1"/>
    </row>
    <row r="4" spans="1:31" ht="12.75" customHeight="1">
      <c r="A4" s="228"/>
      <c r="B4" s="239"/>
      <c r="C4" s="236"/>
      <c r="D4" s="237"/>
      <c r="E4" s="228"/>
      <c r="F4" s="1"/>
      <c r="G4" s="1"/>
      <c r="H4" s="1"/>
      <c r="I4" s="1"/>
      <c r="J4" s="1"/>
      <c r="K4" s="1"/>
      <c r="L4" s="1"/>
      <c r="M4" s="1"/>
      <c r="N4" s="1"/>
      <c r="O4" s="1"/>
      <c r="P4" s="1"/>
      <c r="Q4" s="1"/>
      <c r="R4" s="1"/>
      <c r="S4" s="1"/>
      <c r="T4" s="1"/>
      <c r="U4" s="1"/>
      <c r="V4" s="1"/>
      <c r="W4" s="1"/>
      <c r="X4" s="1"/>
      <c r="Y4" s="1"/>
      <c r="Z4" s="1"/>
      <c r="AA4" s="1"/>
      <c r="AB4" s="1"/>
      <c r="AC4" s="1"/>
      <c r="AD4" s="1"/>
      <c r="AE4" s="1"/>
    </row>
    <row r="5" spans="1:31" ht="12.75" customHeight="1">
      <c r="A5" s="228"/>
      <c r="B5" s="239" t="str">
        <f>IF(Roster!$J$24="English",I5,(IF(Roster!$J$24="Español",J5,(IF(Roster!$J$24="Deutsch",K5,(IF(Roster!$J$24="Français",L5)))))))</f>
        <v>Compatible with Excel, Google Sheets (just upload Excel to Google Drive) and Libre Office</v>
      </c>
      <c r="C5" s="236"/>
      <c r="D5" s="237"/>
      <c r="E5" s="228"/>
      <c r="F5" s="2"/>
      <c r="G5" s="2"/>
      <c r="H5" s="1"/>
      <c r="I5" s="1" t="s">
        <v>1</v>
      </c>
      <c r="J5" s="3" t="s">
        <v>2</v>
      </c>
      <c r="K5" s="1" t="s">
        <v>3</v>
      </c>
      <c r="L5" s="1" t="s">
        <v>4</v>
      </c>
      <c r="M5" s="1"/>
      <c r="N5" s="1"/>
      <c r="O5" s="1"/>
      <c r="P5" s="1"/>
      <c r="Q5" s="1"/>
      <c r="R5" s="1"/>
      <c r="S5" s="1"/>
      <c r="T5" s="1"/>
      <c r="U5" s="1"/>
      <c r="V5" s="1"/>
      <c r="W5" s="1"/>
      <c r="X5" s="1"/>
      <c r="Y5" s="1"/>
      <c r="Z5" s="1"/>
      <c r="AA5" s="1"/>
      <c r="AB5" s="1"/>
      <c r="AC5" s="1"/>
      <c r="AD5" s="1"/>
      <c r="AE5" s="1"/>
    </row>
    <row r="6" spans="1:31" ht="12.75" customHeight="1">
      <c r="A6" s="228"/>
      <c r="B6" s="239"/>
      <c r="C6" s="236"/>
      <c r="D6" s="237"/>
      <c r="E6" s="228"/>
      <c r="F6" s="1"/>
      <c r="G6" s="1"/>
      <c r="H6" s="1"/>
      <c r="I6" s="1"/>
      <c r="J6" s="1"/>
      <c r="K6" s="1"/>
      <c r="L6" s="1"/>
      <c r="M6" s="1"/>
      <c r="N6" s="1"/>
      <c r="O6" s="1"/>
      <c r="P6" s="1"/>
      <c r="Q6" s="1"/>
      <c r="R6" s="1"/>
      <c r="S6" s="1"/>
      <c r="T6" s="1"/>
      <c r="U6" s="1"/>
      <c r="V6" s="1"/>
      <c r="W6" s="1"/>
      <c r="X6" s="1"/>
      <c r="Y6" s="1"/>
      <c r="Z6" s="1"/>
      <c r="AA6" s="1"/>
      <c r="AB6" s="1"/>
      <c r="AC6" s="1"/>
      <c r="AD6" s="1"/>
      <c r="AE6" s="1"/>
    </row>
    <row r="7" spans="1:31" ht="12.75" customHeight="1">
      <c r="A7" s="228"/>
      <c r="B7" s="4" t="str">
        <f>IF(Roster!$J$24="English","How to use this Excel",(IF(Roster!J24="Español","Cómo usar este Excel",(IF(Roster!J24="Deutsch","Wie Sie dieses Excel verwenden",(IF(Roster!J24="Français","Comment utiliser cet Excel")))))))</f>
        <v>How to use this Excel</v>
      </c>
      <c r="C7" s="243"/>
      <c r="D7" s="5" t="str">
        <f>IF(Roster!$J$24="English","Update",(IF(Roster!J24="Español","Actualización",(IF(Roster!J24="Deutsch","Update",(IF(Roster!J24="Français","Actualisation")))))))</f>
        <v>Update</v>
      </c>
      <c r="E7" s="228"/>
      <c r="F7" s="6" t="s">
        <v>5</v>
      </c>
      <c r="G7" s="7" t="s">
        <v>6</v>
      </c>
      <c r="H7" s="8"/>
      <c r="I7" s="9" t="s">
        <v>7</v>
      </c>
      <c r="J7" s="10" t="s">
        <v>8</v>
      </c>
      <c r="K7" s="11" t="s">
        <v>9</v>
      </c>
      <c r="L7" s="11" t="s">
        <v>10</v>
      </c>
      <c r="M7" s="11" t="s">
        <v>11</v>
      </c>
      <c r="N7" s="11"/>
      <c r="O7" s="11"/>
      <c r="P7" s="11"/>
      <c r="Q7" s="11"/>
      <c r="R7" s="11"/>
      <c r="S7" s="11"/>
      <c r="T7" s="11"/>
      <c r="U7" s="11"/>
      <c r="V7" s="11"/>
      <c r="W7" s="11"/>
      <c r="X7" s="11"/>
      <c r="Y7" s="11"/>
      <c r="Z7" s="11"/>
      <c r="AA7" s="11"/>
      <c r="AB7" s="11"/>
      <c r="AC7" s="11"/>
      <c r="AD7" s="11"/>
      <c r="AE7" s="11"/>
    </row>
    <row r="8" spans="1:31" ht="25.5" customHeight="1">
      <c r="A8" s="228"/>
      <c r="B8" s="12" t="str">
        <f>IF(Roster!$J$24="English",I8,(IF(Roster!$J$24="Español",J8,(IF(Roster!$J$24="Deutsch",K8,(IF(Roster!$J$24="Français",L8)))))))</f>
        <v>To print with Excel select the cells you want to print and in Print options choose the option print selected cells.</v>
      </c>
      <c r="C8" s="244"/>
      <c r="D8" s="240" t="str">
        <f>IF(Roster!J24="Español",G8,F8)</f>
        <v>Update 3.8
-Fixed a bug in the counting of matches won, drawn or lost with a home result of 0.
-Fixed Animosity skill in Pact being displayed in German instead of English with English language.
-Fixed bug in the fourth skill that didn't count SPP cost.
Update 3.7
-Add the special rule "Masters of Undeath" to Undead and Necromantic because was missing
-Corrected translation in French « Poignardilité » by «  Stabilité »
-Unblock logos and card picture cells
Update 3.6
-Added missing loner skill to treeman from AWO
Update 3.5
-Improved the skill selection dropdown. Now only the skills available for each player type are listed, if a player can't take pass or mutation skills they won't be listed
-Sorted the races alphabetically in the dropdown for all languages
-Black and white version of cards intended to be printed for handing out to opponents
-Fixed error with player number 3 not counting experience points and skill costs
-Fixed error human halfling having 8+ armour instead of 7+
-Fixed error with star player Bryce 'The Slice' Cambuel not appearing in the list of selectable star players
-Fixed translation error in the Games tab for the Points cell
-Fixed error in the player dropdown that was coming up from the bottom instead of the top
Update v3.4
-Fixed skill player 3 error
-Fixed block sheet Dead &amp; Retired Players error
-Add sheet with team cards
Update v3.3
-Compatible with Google Sheets
-Fixed Ogre Kicker bug had pass as secondary
-Fixed bug Treeman AVM had FU abilities as secondary and AG abilities as primary
-Fixed bug on some teams when removing star player an error was shown
-Fixed bug when deleting some players because they had exceeded the minimum, others were left with their skills blank
-Fixed bug with free skills and attributes for tournaments
-Fixed bug "You have spent too much" message when adding skills to players
-Fixed bug journeys subtracting value from the treasury
Update v3.2
-Removed first skill comma if player had none
-Fixed Chaos Chosen Mino’s armour value
-Fixed bug with snotlings valuation on underworld team
-Fixed the block to choose the Chosen of…
-Reduced minimum budget option to 600.000
Update v3.1
-Fixed error with features in languages other than English
-Fixed error with initial Dedicated Fans being added to team value
Update v3.0
-Added new Death Zone features: Sponsors, Wizards, (In)Famous Coaches, Biased Referee and Other Inducements
-Solved problem with SPP costs
-Fixed problem with the colours indicating attribute upgrades or downgrades
-Improvements when changing language
-Improved player dropdown
-Minor aesthetic and usability improvements</v>
      </c>
      <c r="E8" s="228"/>
      <c r="F8" s="230" t="s">
        <v>12</v>
      </c>
      <c r="G8" s="231" t="s">
        <v>13</v>
      </c>
      <c r="H8" s="8"/>
      <c r="I8" s="1" t="s">
        <v>14</v>
      </c>
      <c r="J8" s="1" t="s">
        <v>15</v>
      </c>
      <c r="K8" s="13" t="s">
        <v>16</v>
      </c>
      <c r="L8" s="13" t="s">
        <v>17</v>
      </c>
      <c r="M8" s="13"/>
      <c r="N8" s="13"/>
      <c r="O8" s="13"/>
      <c r="P8" s="13"/>
      <c r="Q8" s="13"/>
      <c r="R8" s="13"/>
      <c r="S8" s="13"/>
      <c r="T8" s="13"/>
      <c r="U8" s="13"/>
      <c r="V8" s="13"/>
      <c r="W8" s="13"/>
      <c r="X8" s="13"/>
      <c r="Y8" s="13"/>
      <c r="Z8" s="13"/>
      <c r="AA8" s="13"/>
      <c r="AB8" s="13"/>
      <c r="AC8" s="13"/>
      <c r="AD8" s="13"/>
      <c r="AE8" s="13"/>
    </row>
    <row r="9" spans="1:31" ht="25.5" customHeight="1">
      <c r="A9" s="228"/>
      <c r="B9" s="12" t="str">
        <f>IF(Roster!$J$24="English",I9,(IF(Roster!$J$24="Español",J9,(IF(Roster!$J$24="Deutsch",K9,(IF(Roster!$J$24="Français",L9)))))))</f>
        <v>The first step is to choose the language for the roster, once chosen the language choose the race so that the system recognizes the options associated with that race.</v>
      </c>
      <c r="C9" s="244"/>
      <c r="D9" s="241"/>
      <c r="E9" s="228"/>
      <c r="F9" s="228"/>
      <c r="G9" s="228"/>
      <c r="H9" s="8"/>
      <c r="I9" s="14" t="s">
        <v>18</v>
      </c>
      <c r="J9" s="15" t="s">
        <v>19</v>
      </c>
      <c r="K9" s="15" t="s">
        <v>20</v>
      </c>
      <c r="L9" s="15" t="s">
        <v>21</v>
      </c>
      <c r="M9" s="1"/>
      <c r="N9" s="1"/>
      <c r="O9" s="1"/>
      <c r="P9" s="1"/>
      <c r="Q9" s="1"/>
      <c r="R9" s="1"/>
      <c r="S9" s="1"/>
      <c r="T9" s="1"/>
      <c r="U9" s="1"/>
      <c r="V9" s="1"/>
      <c r="W9" s="1"/>
      <c r="X9" s="1"/>
      <c r="Y9" s="1"/>
      <c r="Z9" s="1"/>
      <c r="AA9" s="1"/>
      <c r="AB9" s="1"/>
      <c r="AC9" s="1"/>
      <c r="AD9" s="1"/>
      <c r="AE9" s="1"/>
    </row>
    <row r="10" spans="1:31" ht="38.25">
      <c r="A10" s="228"/>
      <c r="B10" s="12" t="str">
        <f>IF(Roster!$J$24="English",I10,(IF(Roster!$J$24="Español",J10,(IF(Roster!$J$24="Deutsch",K10,(IF(Roster!$J$24="Français",L10)))))))</f>
        <v>When creating the roster you can choose the available players that are automatically deployed, as well as the incentives. All prices are calculated automatically.</v>
      </c>
      <c r="C10" s="244"/>
      <c r="D10" s="241"/>
      <c r="E10" s="228"/>
      <c r="F10" s="228"/>
      <c r="G10" s="228"/>
      <c r="H10" s="8"/>
      <c r="I10" s="1" t="s">
        <v>22</v>
      </c>
      <c r="J10" s="1" t="s">
        <v>23</v>
      </c>
      <c r="K10" s="1" t="s">
        <v>24</v>
      </c>
      <c r="L10" s="1" t="s">
        <v>25</v>
      </c>
      <c r="M10" s="1"/>
      <c r="N10" s="1"/>
      <c r="O10" s="1"/>
      <c r="P10" s="1"/>
      <c r="Q10" s="1"/>
      <c r="R10" s="1"/>
      <c r="S10" s="1"/>
      <c r="T10" s="1"/>
      <c r="U10" s="1"/>
      <c r="V10" s="1"/>
      <c r="W10" s="1"/>
      <c r="X10" s="1"/>
      <c r="Y10" s="1"/>
      <c r="Z10" s="1"/>
      <c r="AA10" s="1"/>
      <c r="AB10" s="1"/>
      <c r="AC10" s="1"/>
      <c r="AD10" s="1"/>
      <c r="AE10" s="1"/>
    </row>
    <row r="11" spans="1:31" ht="14.25">
      <c r="A11" s="228"/>
      <c r="B11" s="12" t="str">
        <f>IF(Roster!$J$24="English",I11,(IF(Roster!$J$24="Español",J11,(IF(Roster!$J$24="Deutsch",K11,(IF(Roster!$J$24="Français",L11)))))))</f>
        <v>The skill of snotlings Low Cost Linemen is activated by default.</v>
      </c>
      <c r="C11" s="244"/>
      <c r="D11" s="241"/>
      <c r="E11" s="228"/>
      <c r="F11" s="228"/>
      <c r="G11" s="228"/>
      <c r="H11" s="8"/>
      <c r="I11" s="1" t="s">
        <v>26</v>
      </c>
      <c r="J11" s="1" t="s">
        <v>27</v>
      </c>
      <c r="K11" s="1" t="s">
        <v>28</v>
      </c>
      <c r="L11" s="1" t="s">
        <v>29</v>
      </c>
      <c r="M11" s="1"/>
      <c r="N11" s="1"/>
      <c r="O11" s="1"/>
      <c r="P11" s="1"/>
      <c r="Q11" s="1"/>
      <c r="R11" s="1"/>
      <c r="S11" s="1"/>
      <c r="T11" s="1"/>
      <c r="U11" s="1"/>
      <c r="V11" s="1"/>
      <c r="W11" s="1"/>
      <c r="X11" s="1"/>
      <c r="Y11" s="1"/>
      <c r="Z11" s="1"/>
      <c r="AA11" s="1"/>
      <c r="AB11" s="1"/>
      <c r="AC11" s="1"/>
      <c r="AD11" s="1"/>
      <c r="AE11" s="1"/>
    </row>
    <row r="12" spans="1:31" ht="38.25">
      <c r="A12" s="228"/>
      <c r="B12" s="12" t="str">
        <f>IF(Roster!$J$24="English",I12,(IF(Roster!$J$24="Español",J12,(IF(Roster!$J$24="Deutsch",K12,(IF(Roster!$J$24="Français",L12)))))))</f>
        <v>In the case of leagues (or some tournaments) for experience points you should note the number of TDs, injuries, passes, diversions, interceptions, etc. that each player makes. Excel will automatically calculate how many experience points your player has in total.</v>
      </c>
      <c r="C12" s="244"/>
      <c r="D12" s="241"/>
      <c r="E12" s="228"/>
      <c r="F12" s="228"/>
      <c r="G12" s="228"/>
      <c r="H12" s="8"/>
      <c r="I12" s="1" t="s">
        <v>30</v>
      </c>
      <c r="J12" s="1" t="s">
        <v>31</v>
      </c>
      <c r="K12" s="1" t="s">
        <v>32</v>
      </c>
      <c r="L12" s="1" t="s">
        <v>33</v>
      </c>
      <c r="M12" s="1"/>
      <c r="N12" s="1"/>
      <c r="O12" s="1"/>
      <c r="P12" s="1"/>
      <c r="Q12" s="1"/>
      <c r="R12" s="1"/>
      <c r="S12" s="1"/>
      <c r="T12" s="1"/>
      <c r="U12" s="1"/>
      <c r="V12" s="1"/>
      <c r="W12" s="1"/>
      <c r="X12" s="1"/>
      <c r="Y12" s="1"/>
      <c r="Z12" s="1"/>
      <c r="AA12" s="1"/>
      <c r="AB12" s="1"/>
      <c r="AC12" s="1"/>
      <c r="AD12" s="1"/>
      <c r="AE12" s="1"/>
    </row>
    <row r="13" spans="1:31" ht="89.25">
      <c r="A13" s="228"/>
      <c r="B13" s="12" t="str">
        <f>IF(Roster!$J$24="English",I13,(IF(Roster!$J$24="Español",J13,(IF(Roster!$J$24="Deutsch",K13,(IF(Roster!$J$24="Français",L13)))))))</f>
        <v>The new skills or attribute raises can be chosen in the table below the roster, in this table you select the skill or attribute and if it was chosen or in a random roll. You can also include custom raises or custom price variations. Excel will automatically calculate the price of the raise and subtract it from the total experience points, showing also the experience points you have not yet spent.</v>
      </c>
      <c r="C13" s="244"/>
      <c r="D13" s="241"/>
      <c r="E13" s="228"/>
      <c r="F13" s="228"/>
      <c r="G13" s="228"/>
      <c r="H13" s="8"/>
      <c r="I13" s="1" t="s">
        <v>34</v>
      </c>
      <c r="J13" s="1" t="s">
        <v>35</v>
      </c>
      <c r="K13" s="1" t="s">
        <v>36</v>
      </c>
      <c r="L13" s="1" t="s">
        <v>37</v>
      </c>
      <c r="M13" s="1"/>
      <c r="N13" s="1"/>
      <c r="O13" s="1"/>
      <c r="P13" s="1"/>
      <c r="Q13" s="1"/>
      <c r="R13" s="1"/>
      <c r="S13" s="1"/>
      <c r="T13" s="1"/>
      <c r="U13" s="1"/>
      <c r="V13" s="1"/>
      <c r="W13" s="1"/>
      <c r="X13" s="1"/>
      <c r="Y13" s="1"/>
      <c r="Z13" s="1"/>
      <c r="AA13" s="1"/>
      <c r="AB13" s="1"/>
      <c r="AC13" s="1"/>
      <c r="AD13" s="1"/>
      <c r="AE13" s="1"/>
    </row>
    <row r="14" spans="1:31" ht="63.75">
      <c r="A14" s="228"/>
      <c r="B14" s="12" t="str">
        <f>IF(Roster!$J$24="English",I14,(IF(Roster!$J$24="Español",J14,(IF(Roster!$J$24="Deutsch",K14,(IF(Roster!$J$24="Français",L14)))))))</f>
        <v>You can also register the injuries suffered, any loss of attributes will be reflected in the roster, in case of permanent injuries it will be marked in the skills box. If the player misses a match or is withdrawn for the rest of the season, you can mark it in the first box next to the player's action record, automatically the Excel will not count that player for the assessment.</v>
      </c>
      <c r="C14" s="244"/>
      <c r="D14" s="241"/>
      <c r="E14" s="228"/>
      <c r="F14" s="228"/>
      <c r="G14" s="228"/>
      <c r="H14" s="8"/>
      <c r="I14" s="1" t="s">
        <v>38</v>
      </c>
      <c r="J14" s="1" t="s">
        <v>39</v>
      </c>
      <c r="K14" s="1" t="s">
        <v>40</v>
      </c>
      <c r="L14" s="1" t="s">
        <v>41</v>
      </c>
      <c r="M14" s="1"/>
      <c r="N14" s="1"/>
      <c r="O14" s="1"/>
      <c r="P14" s="1"/>
      <c r="Q14" s="1"/>
      <c r="R14" s="1"/>
      <c r="S14" s="1"/>
      <c r="T14" s="1"/>
      <c r="U14" s="1"/>
      <c r="V14" s="1"/>
      <c r="W14" s="1"/>
      <c r="X14" s="1"/>
      <c r="Y14" s="1"/>
      <c r="Z14" s="1"/>
      <c r="AA14" s="1"/>
      <c r="AB14" s="1"/>
      <c r="AC14" s="1"/>
      <c r="AD14" s="1"/>
      <c r="AE14" s="1"/>
    </row>
    <row r="15" spans="1:31" ht="25.5">
      <c r="A15" s="228"/>
      <c r="B15" s="12" t="str">
        <f>IF(Roster!$J$24="English",I15,(IF(Roster!$J$24="Español",J15,(IF(Roster!$J$24="Deutsch",K15,(IF(Roster!$J$24="Français",L15)))))))</f>
        <v>Excel will highlight in colour when an attribute has been increased or decreased, as well as when a player misses the next match.</v>
      </c>
      <c r="C15" s="244"/>
      <c r="D15" s="241"/>
      <c r="E15" s="228"/>
      <c r="F15" s="228"/>
      <c r="G15" s="228"/>
      <c r="H15" s="8"/>
      <c r="I15" s="1" t="s">
        <v>42</v>
      </c>
      <c r="J15" s="1" t="s">
        <v>43</v>
      </c>
      <c r="K15" s="1" t="s">
        <v>44</v>
      </c>
      <c r="L15" s="1" t="s">
        <v>45</v>
      </c>
      <c r="M15" s="1"/>
      <c r="N15" s="1"/>
      <c r="O15" s="1"/>
      <c r="P15" s="1"/>
      <c r="Q15" s="1"/>
      <c r="R15" s="1"/>
      <c r="S15" s="1"/>
      <c r="T15" s="1"/>
      <c r="U15" s="1"/>
      <c r="V15" s="1"/>
      <c r="W15" s="1"/>
      <c r="X15" s="1"/>
      <c r="Y15" s="1"/>
      <c r="Z15" s="1"/>
      <c r="AA15" s="1"/>
      <c r="AB15" s="1"/>
      <c r="AC15" s="1"/>
      <c r="AD15" s="1"/>
      <c r="AE15" s="1"/>
    </row>
    <row r="16" spans="1:31" ht="38.25">
      <c r="A16" s="228"/>
      <c r="B16" s="16" t="str">
        <f>IF(Roster!$J$24="English",I16,(IF(Roster!$J$24="Español",J16,(IF(Roster!$J$24="Deutsch",K16,(IF(Roster!$J$24="Français",L16)))))))</f>
        <v>In the games tab you can keep track of all the games the team has played, automatically the Excel will calculate the number of wins, losses and draws, their percentages. As well as all the data you enter.</v>
      </c>
      <c r="C16" s="244"/>
      <c r="D16" s="241"/>
      <c r="E16" s="228"/>
      <c r="F16" s="228"/>
      <c r="G16" s="228"/>
      <c r="H16" s="8"/>
      <c r="I16" s="1" t="s">
        <v>46</v>
      </c>
      <c r="J16" s="1" t="s">
        <v>47</v>
      </c>
      <c r="K16" s="1" t="s">
        <v>48</v>
      </c>
      <c r="L16" s="1" t="s">
        <v>49</v>
      </c>
      <c r="M16" s="1"/>
      <c r="N16" s="1"/>
      <c r="O16" s="1"/>
      <c r="P16" s="1"/>
      <c r="Q16" s="1"/>
      <c r="R16" s="1"/>
      <c r="S16" s="1"/>
      <c r="T16" s="1"/>
      <c r="U16" s="1"/>
      <c r="V16" s="1"/>
      <c r="W16" s="1"/>
      <c r="X16" s="1"/>
      <c r="Y16" s="1"/>
      <c r="Z16" s="1"/>
      <c r="AA16" s="1"/>
      <c r="AB16" s="1"/>
      <c r="AC16" s="1"/>
      <c r="AD16" s="1"/>
      <c r="AE16" s="1"/>
    </row>
    <row r="17" spans="1:31" ht="38.25">
      <c r="A17" s="228"/>
      <c r="B17" s="16" t="str">
        <f>IF(Roster!$J$24="English",I17,(IF(Roster!$J$24="Español",J17,(IF(Roster!$J$24="Deutsch",K17,(IF(Roster!$J$24="Français",L17)))))))</f>
        <v>In the match tab you can include the winnings and the variation of Dedicated Fans that will be shown with the calculation made automatically in the roster tab.</v>
      </c>
      <c r="C17" s="244"/>
      <c r="D17" s="241"/>
      <c r="E17" s="228"/>
      <c r="F17" s="228"/>
      <c r="G17" s="228"/>
      <c r="H17" s="1"/>
      <c r="I17" s="13" t="s">
        <v>50</v>
      </c>
      <c r="J17" s="13" t="s">
        <v>51</v>
      </c>
      <c r="K17" s="13" t="s">
        <v>52</v>
      </c>
      <c r="L17" s="13" t="s">
        <v>53</v>
      </c>
      <c r="M17" s="13"/>
      <c r="N17" s="13"/>
      <c r="O17" s="13"/>
      <c r="P17" s="13"/>
      <c r="Q17" s="13"/>
      <c r="R17" s="13"/>
      <c r="S17" s="13"/>
      <c r="T17" s="13"/>
      <c r="U17" s="13"/>
      <c r="V17" s="13"/>
      <c r="W17" s="13"/>
      <c r="X17" s="13"/>
      <c r="Y17" s="13"/>
      <c r="Z17" s="13"/>
      <c r="AA17" s="13"/>
      <c r="AB17" s="13"/>
      <c r="AC17" s="13"/>
      <c r="AD17" s="13"/>
      <c r="AE17" s="13"/>
    </row>
    <row r="18" spans="1:31" ht="38.25">
      <c r="A18" s="228"/>
      <c r="B18" s="12" t="str">
        <f>IF(Roster!$J$24="English",I18,(IF(Roster!$J$24="Español",J18,(IF(Roster!$J$24="Deutsch",K18,(IF(Roster!$J$24="Français",L18)))))))</f>
        <v>If you are starting a league in the second season and you are starting with more than one million budget, you can add in the match winnings tab for one match even if the rest of the values are left blank.</v>
      </c>
      <c r="C18" s="245"/>
      <c r="D18" s="241"/>
      <c r="E18" s="228"/>
      <c r="F18" s="228"/>
      <c r="G18" s="228"/>
      <c r="H18" s="1"/>
      <c r="I18" s="13" t="s">
        <v>54</v>
      </c>
      <c r="J18" s="13" t="s">
        <v>55</v>
      </c>
      <c r="K18" s="13" t="s">
        <v>56</v>
      </c>
      <c r="L18" s="13" t="s">
        <v>57</v>
      </c>
      <c r="M18" s="13"/>
      <c r="N18" s="13"/>
      <c r="O18" s="13"/>
      <c r="P18" s="13"/>
      <c r="Q18" s="13"/>
      <c r="R18" s="13"/>
      <c r="S18" s="13"/>
      <c r="T18" s="13"/>
      <c r="U18" s="13"/>
      <c r="V18" s="13"/>
      <c r="W18" s="13"/>
      <c r="X18" s="13"/>
      <c r="Y18" s="13"/>
      <c r="Z18" s="13"/>
      <c r="AA18" s="13"/>
      <c r="AB18" s="13"/>
      <c r="AC18" s="13"/>
      <c r="AD18" s="13"/>
      <c r="AE18" s="13"/>
    </row>
    <row r="19" spans="1:31" ht="25.5" customHeight="1">
      <c r="A19" s="228"/>
      <c r="B19" s="16" t="str">
        <f>IF(Roster!$J$24="English",I19,(IF(Roster!$J$24="Español",J19,(IF(Roster!$J$24="Deutsch",K19,(IF(Roster!$J$24="Français",L19)))))))</f>
        <v>The Team Cards sheet is fully automatic, it is only necessary, if desired, to add images for the players or to change the NAF logo to the team logo.</v>
      </c>
      <c r="C19" s="8"/>
      <c r="D19" s="242"/>
      <c r="E19" s="228"/>
      <c r="F19" s="229"/>
      <c r="G19" s="229"/>
      <c r="H19" s="1"/>
      <c r="I19" s="1" t="s">
        <v>58</v>
      </c>
      <c r="J19" s="1" t="s">
        <v>59</v>
      </c>
      <c r="K19" s="1" t="s">
        <v>60</v>
      </c>
      <c r="L19" s="1" t="s">
        <v>61</v>
      </c>
      <c r="M19" s="13"/>
      <c r="N19" s="13"/>
      <c r="O19" s="13"/>
      <c r="P19" s="13"/>
      <c r="Q19" s="13"/>
      <c r="R19" s="13"/>
      <c r="S19" s="13"/>
      <c r="T19" s="13"/>
      <c r="U19" s="13"/>
      <c r="V19" s="13"/>
      <c r="W19" s="13"/>
      <c r="X19" s="13"/>
      <c r="Y19" s="13"/>
      <c r="Z19" s="13"/>
      <c r="AA19" s="13"/>
      <c r="AB19" s="13"/>
      <c r="AC19" s="13"/>
      <c r="AD19" s="13"/>
      <c r="AE19" s="13"/>
    </row>
    <row r="20" spans="1:31" ht="12.75" customHeight="1">
      <c r="A20" s="229"/>
      <c r="B20" s="239"/>
      <c r="C20" s="236"/>
      <c r="D20" s="237"/>
      <c r="E20" s="229"/>
      <c r="F20" s="1"/>
      <c r="G20" s="1"/>
      <c r="H20" s="1"/>
      <c r="I20" s="13"/>
      <c r="J20" s="13"/>
      <c r="K20" s="13"/>
      <c r="L20" s="13"/>
      <c r="M20" s="13"/>
      <c r="N20" s="13"/>
      <c r="O20" s="13"/>
      <c r="P20" s="13"/>
      <c r="Q20" s="13"/>
      <c r="R20" s="13"/>
      <c r="S20" s="13"/>
      <c r="T20" s="13"/>
      <c r="U20" s="13"/>
      <c r="V20" s="13"/>
      <c r="W20" s="13"/>
      <c r="X20" s="13"/>
      <c r="Y20" s="13"/>
      <c r="Z20" s="13"/>
      <c r="AA20" s="13"/>
      <c r="AB20" s="13"/>
      <c r="AC20" s="13"/>
      <c r="AD20" s="13"/>
      <c r="AE20" s="13"/>
    </row>
    <row r="21" spans="1:31" ht="12.75" hidden="1" customHeight="1">
      <c r="A21" s="1"/>
      <c r="B21" s="17"/>
      <c r="C21" s="8"/>
      <c r="D21" s="8"/>
      <c r="E21" s="8"/>
      <c r="F21" s="8"/>
      <c r="G21" s="8"/>
      <c r="H21" s="8"/>
      <c r="I21" s="17"/>
      <c r="J21" s="17"/>
      <c r="K21" s="13"/>
      <c r="L21" s="13"/>
      <c r="M21" s="13"/>
      <c r="N21" s="13"/>
      <c r="O21" s="13"/>
      <c r="P21" s="13"/>
      <c r="Q21" s="13"/>
      <c r="R21" s="13"/>
      <c r="S21" s="13"/>
      <c r="T21" s="13"/>
      <c r="U21" s="13"/>
      <c r="V21" s="13"/>
      <c r="W21" s="13"/>
      <c r="X21" s="13"/>
      <c r="Y21" s="13"/>
      <c r="Z21" s="13"/>
      <c r="AA21" s="13"/>
      <c r="AB21" s="13"/>
      <c r="AC21" s="13"/>
      <c r="AD21" s="13"/>
      <c r="AE21" s="13"/>
    </row>
    <row r="22" spans="1:31" ht="12.75" hidden="1" customHeight="1">
      <c r="A22" s="1"/>
      <c r="B22" s="18"/>
      <c r="C22" s="19"/>
      <c r="D22" s="19"/>
      <c r="E22" s="19"/>
      <c r="F22" s="19"/>
      <c r="G22" s="19"/>
      <c r="H22" s="19"/>
      <c r="I22" s="18"/>
      <c r="J22" s="18"/>
      <c r="K22" s="13"/>
      <c r="L22" s="13"/>
      <c r="M22" s="13"/>
      <c r="N22" s="13"/>
      <c r="O22" s="13"/>
      <c r="P22" s="13"/>
      <c r="Q22" s="13"/>
      <c r="R22" s="13"/>
      <c r="S22" s="13"/>
      <c r="T22" s="13"/>
      <c r="U22" s="13"/>
      <c r="V22" s="13"/>
      <c r="W22" s="13"/>
      <c r="X22" s="13"/>
      <c r="Y22" s="13"/>
      <c r="Z22" s="13"/>
      <c r="AA22" s="13"/>
      <c r="AB22" s="13"/>
      <c r="AC22" s="13"/>
      <c r="AD22" s="13"/>
      <c r="AE22" s="13"/>
    </row>
    <row r="23" spans="1:31" ht="12.75" hidden="1" customHeight="1">
      <c r="A23" s="1"/>
      <c r="B23" s="20"/>
      <c r="C23" s="21"/>
      <c r="D23" s="21"/>
      <c r="E23" s="21"/>
      <c r="F23" s="21"/>
      <c r="G23" s="21"/>
      <c r="H23" s="21"/>
      <c r="I23" s="20"/>
      <c r="J23" s="20"/>
      <c r="K23" s="13"/>
      <c r="L23" s="13"/>
      <c r="M23" s="13"/>
      <c r="N23" s="13"/>
      <c r="O23" s="13"/>
      <c r="P23" s="13"/>
      <c r="Q23" s="13"/>
      <c r="R23" s="13"/>
      <c r="S23" s="13"/>
      <c r="T23" s="13"/>
      <c r="U23" s="13"/>
      <c r="V23" s="13"/>
      <c r="W23" s="13"/>
      <c r="X23" s="13"/>
      <c r="Y23" s="13"/>
      <c r="Z23" s="13"/>
      <c r="AA23" s="13"/>
      <c r="AB23" s="13"/>
      <c r="AC23" s="13"/>
      <c r="AD23" s="13"/>
      <c r="AE23" s="13"/>
    </row>
    <row r="24" spans="1:31" ht="12.75" hidden="1" customHeight="1">
      <c r="A24" s="1"/>
      <c r="B24" s="22"/>
      <c r="C24" s="23"/>
      <c r="D24" s="23"/>
      <c r="E24" s="23"/>
      <c r="F24" s="23"/>
      <c r="G24" s="23"/>
      <c r="H24" s="23"/>
      <c r="I24" s="22"/>
      <c r="J24" s="22"/>
      <c r="K24" s="13"/>
      <c r="L24" s="13"/>
      <c r="M24" s="13"/>
      <c r="N24" s="13"/>
      <c r="O24" s="13"/>
      <c r="P24" s="13"/>
      <c r="Q24" s="13"/>
      <c r="R24" s="13"/>
      <c r="S24" s="13"/>
      <c r="T24" s="13"/>
      <c r="U24" s="13"/>
      <c r="V24" s="13"/>
      <c r="W24" s="13"/>
      <c r="X24" s="13"/>
      <c r="Y24" s="13"/>
      <c r="Z24" s="13"/>
      <c r="AA24" s="13"/>
      <c r="AB24" s="13"/>
      <c r="AC24" s="13"/>
      <c r="AD24" s="13"/>
      <c r="AE24" s="13"/>
    </row>
    <row r="25" spans="1:31" ht="12.75" hidden="1" customHeight="1">
      <c r="A25" s="1"/>
      <c r="B25" s="20"/>
      <c r="C25" s="21"/>
      <c r="D25" s="21"/>
      <c r="E25" s="21"/>
      <c r="F25" s="21"/>
      <c r="G25" s="21"/>
      <c r="H25" s="21"/>
      <c r="I25" s="20"/>
      <c r="J25" s="20"/>
      <c r="K25" s="13"/>
      <c r="L25" s="13"/>
      <c r="M25" s="13"/>
      <c r="N25" s="13"/>
      <c r="O25" s="13"/>
      <c r="P25" s="13"/>
      <c r="Q25" s="13"/>
      <c r="R25" s="13"/>
      <c r="S25" s="13"/>
      <c r="T25" s="13"/>
      <c r="U25" s="13"/>
      <c r="V25" s="13"/>
      <c r="W25" s="13"/>
      <c r="X25" s="13"/>
      <c r="Y25" s="13"/>
      <c r="Z25" s="13"/>
      <c r="AA25" s="13"/>
      <c r="AB25" s="13"/>
      <c r="AC25" s="13"/>
      <c r="AD25" s="13"/>
      <c r="AE25" s="13"/>
    </row>
    <row r="26" spans="1:31" ht="12.75" hidden="1" customHeight="1">
      <c r="A26" s="1"/>
      <c r="B26" s="22"/>
      <c r="C26" s="23"/>
      <c r="D26" s="23"/>
      <c r="E26" s="23"/>
      <c r="F26" s="23"/>
      <c r="G26" s="23"/>
      <c r="H26" s="23"/>
      <c r="I26" s="22"/>
      <c r="J26" s="22"/>
      <c r="K26" s="13"/>
      <c r="L26" s="13"/>
      <c r="M26" s="13"/>
      <c r="N26" s="13"/>
      <c r="O26" s="13"/>
      <c r="P26" s="13"/>
      <c r="Q26" s="13"/>
      <c r="R26" s="13"/>
      <c r="S26" s="13"/>
      <c r="T26" s="13"/>
      <c r="U26" s="13"/>
      <c r="V26" s="13"/>
      <c r="W26" s="13"/>
      <c r="X26" s="13"/>
      <c r="Y26" s="13"/>
      <c r="Z26" s="13"/>
      <c r="AA26" s="13"/>
      <c r="AB26" s="13"/>
      <c r="AC26" s="13"/>
      <c r="AD26" s="13"/>
      <c r="AE26" s="13"/>
    </row>
    <row r="27" spans="1:31" ht="12.75" hidden="1" customHeight="1">
      <c r="A27" s="1"/>
      <c r="B27" s="20"/>
      <c r="C27" s="21"/>
      <c r="D27" s="21"/>
      <c r="E27" s="21"/>
      <c r="F27" s="21"/>
      <c r="G27" s="21"/>
      <c r="H27" s="21"/>
      <c r="I27" s="20"/>
      <c r="J27" s="20"/>
      <c r="K27" s="13"/>
      <c r="L27" s="13"/>
      <c r="M27" s="13"/>
      <c r="N27" s="13"/>
      <c r="O27" s="13"/>
      <c r="P27" s="13"/>
      <c r="Q27" s="13"/>
      <c r="R27" s="13"/>
      <c r="S27" s="13"/>
      <c r="T27" s="13"/>
      <c r="U27" s="13"/>
      <c r="V27" s="13"/>
      <c r="W27" s="13"/>
      <c r="X27" s="13"/>
      <c r="Y27" s="13"/>
      <c r="Z27" s="13"/>
      <c r="AA27" s="13"/>
      <c r="AB27" s="13"/>
      <c r="AC27" s="13"/>
      <c r="AD27" s="13"/>
      <c r="AE27" s="13"/>
    </row>
    <row r="28" spans="1:31" ht="12.75" hidden="1" customHeight="1">
      <c r="A28" s="1"/>
      <c r="B28" s="22"/>
      <c r="C28" s="23"/>
      <c r="D28" s="23"/>
      <c r="E28" s="23"/>
      <c r="F28" s="23"/>
      <c r="G28" s="23"/>
      <c r="H28" s="23"/>
      <c r="I28" s="22"/>
      <c r="J28" s="22"/>
      <c r="K28" s="13"/>
      <c r="L28" s="13"/>
      <c r="M28" s="13"/>
      <c r="N28" s="13"/>
      <c r="O28" s="13"/>
      <c r="P28" s="13"/>
      <c r="Q28" s="13"/>
      <c r="R28" s="13"/>
      <c r="S28" s="13"/>
      <c r="T28" s="13"/>
      <c r="U28" s="13"/>
      <c r="V28" s="13"/>
      <c r="W28" s="13"/>
      <c r="X28" s="13"/>
      <c r="Y28" s="13"/>
      <c r="Z28" s="13"/>
      <c r="AA28" s="13"/>
      <c r="AB28" s="13"/>
      <c r="AC28" s="13"/>
      <c r="AD28" s="13"/>
      <c r="AE28" s="13"/>
    </row>
    <row r="29" spans="1:31" ht="12.75" hidden="1" customHeight="1">
      <c r="A29" s="1"/>
      <c r="B29" s="20"/>
      <c r="C29" s="21"/>
      <c r="D29" s="21"/>
      <c r="E29" s="21"/>
      <c r="F29" s="21"/>
      <c r="G29" s="21"/>
      <c r="H29" s="21"/>
      <c r="I29" s="20"/>
      <c r="J29" s="20"/>
      <c r="K29" s="13"/>
      <c r="L29" s="13"/>
      <c r="M29" s="13"/>
      <c r="N29" s="13"/>
      <c r="O29" s="13"/>
      <c r="P29" s="13"/>
      <c r="Q29" s="13"/>
      <c r="R29" s="13"/>
      <c r="S29" s="13"/>
      <c r="T29" s="13"/>
      <c r="U29" s="13"/>
      <c r="V29" s="13"/>
      <c r="W29" s="13"/>
      <c r="X29" s="13"/>
      <c r="Y29" s="13"/>
      <c r="Z29" s="13"/>
      <c r="AA29" s="13"/>
      <c r="AB29" s="13"/>
      <c r="AC29" s="13"/>
      <c r="AD29" s="13"/>
      <c r="AE29" s="13"/>
    </row>
    <row r="30" spans="1:31" ht="12.75" hidden="1" customHeight="1">
      <c r="A30" s="1"/>
      <c r="B30" s="24"/>
      <c r="C30" s="25"/>
      <c r="D30" s="25"/>
      <c r="E30" s="25"/>
      <c r="F30" s="25"/>
      <c r="G30" s="25"/>
      <c r="H30" s="25"/>
      <c r="I30" s="24"/>
      <c r="J30" s="24"/>
      <c r="K30" s="13"/>
      <c r="L30" s="13"/>
      <c r="M30" s="13"/>
      <c r="N30" s="13"/>
      <c r="O30" s="13"/>
      <c r="P30" s="13"/>
      <c r="Q30" s="13"/>
      <c r="R30" s="13"/>
      <c r="S30" s="13"/>
      <c r="T30" s="13"/>
      <c r="U30" s="13"/>
      <c r="V30" s="13"/>
      <c r="W30" s="13"/>
      <c r="X30" s="13"/>
      <c r="Y30" s="13"/>
      <c r="Z30" s="13"/>
      <c r="AA30" s="13"/>
      <c r="AB30" s="13"/>
      <c r="AC30" s="13"/>
      <c r="AD30" s="13"/>
      <c r="AE30" s="13"/>
    </row>
    <row r="31" spans="1:31" ht="12.75" hidden="1" customHeight="1">
      <c r="A31" s="1"/>
      <c r="B31" s="18"/>
      <c r="C31" s="19"/>
      <c r="D31" s="19"/>
      <c r="E31" s="19"/>
      <c r="F31" s="19"/>
      <c r="G31" s="19"/>
      <c r="H31" s="19"/>
      <c r="I31" s="18"/>
      <c r="J31" s="18"/>
      <c r="K31" s="13"/>
      <c r="L31" s="13"/>
      <c r="M31" s="13"/>
      <c r="N31" s="13"/>
      <c r="O31" s="13"/>
      <c r="P31" s="13"/>
      <c r="Q31" s="13"/>
      <c r="R31" s="13"/>
      <c r="S31" s="13"/>
      <c r="T31" s="13"/>
      <c r="U31" s="13"/>
      <c r="V31" s="13"/>
      <c r="W31" s="13"/>
      <c r="X31" s="13"/>
      <c r="Y31" s="13"/>
      <c r="Z31" s="13"/>
      <c r="AA31" s="13"/>
      <c r="AB31" s="13"/>
      <c r="AC31" s="13"/>
      <c r="AD31" s="13"/>
      <c r="AE31" s="13"/>
    </row>
    <row r="32" spans="1:31" ht="12.75" hidden="1" customHeight="1">
      <c r="A32" s="1"/>
      <c r="B32" s="20"/>
      <c r="C32" s="21"/>
      <c r="D32" s="21"/>
      <c r="E32" s="21"/>
      <c r="F32" s="21"/>
      <c r="G32" s="21"/>
      <c r="H32" s="21"/>
      <c r="I32" s="20"/>
      <c r="J32" s="20"/>
      <c r="K32" s="13"/>
      <c r="L32" s="13"/>
      <c r="M32" s="13"/>
      <c r="N32" s="13"/>
      <c r="O32" s="13"/>
      <c r="P32" s="13"/>
      <c r="Q32" s="13"/>
      <c r="R32" s="13"/>
      <c r="S32" s="13"/>
      <c r="T32" s="13"/>
      <c r="U32" s="13"/>
      <c r="V32" s="13"/>
      <c r="W32" s="13"/>
      <c r="X32" s="13"/>
      <c r="Y32" s="13"/>
      <c r="Z32" s="13"/>
      <c r="AA32" s="13"/>
      <c r="AB32" s="13"/>
      <c r="AC32" s="13"/>
      <c r="AD32" s="13"/>
      <c r="AE32" s="13"/>
    </row>
    <row r="33" spans="1:31" ht="12.75" hidden="1" customHeight="1">
      <c r="A33" s="1"/>
      <c r="B33" s="22"/>
      <c r="C33" s="23"/>
      <c r="D33" s="23"/>
      <c r="E33" s="23"/>
      <c r="F33" s="23"/>
      <c r="G33" s="23"/>
      <c r="H33" s="23"/>
      <c r="I33" s="22"/>
      <c r="J33" s="22"/>
      <c r="K33" s="13"/>
      <c r="L33" s="13"/>
      <c r="M33" s="13"/>
      <c r="N33" s="13"/>
      <c r="O33" s="13"/>
      <c r="P33" s="13"/>
      <c r="Q33" s="13"/>
      <c r="R33" s="13"/>
      <c r="S33" s="13"/>
      <c r="T33" s="13"/>
      <c r="U33" s="13"/>
      <c r="V33" s="13"/>
      <c r="W33" s="13"/>
      <c r="X33" s="13"/>
      <c r="Y33" s="13"/>
      <c r="Z33" s="13"/>
      <c r="AA33" s="13"/>
      <c r="AB33" s="13"/>
      <c r="AC33" s="13"/>
      <c r="AD33" s="13"/>
      <c r="AE33" s="13"/>
    </row>
    <row r="34" spans="1:31" ht="12.75" hidden="1" customHeight="1">
      <c r="A34" s="1"/>
      <c r="B34" s="20"/>
      <c r="C34" s="21"/>
      <c r="D34" s="21"/>
      <c r="E34" s="21"/>
      <c r="F34" s="21"/>
      <c r="G34" s="21"/>
      <c r="H34" s="21"/>
      <c r="I34" s="20"/>
      <c r="J34" s="20"/>
      <c r="K34" s="13"/>
      <c r="L34" s="13"/>
      <c r="M34" s="13"/>
      <c r="N34" s="13"/>
      <c r="O34" s="13"/>
      <c r="P34" s="13"/>
      <c r="Q34" s="13"/>
      <c r="R34" s="13"/>
      <c r="S34" s="13"/>
      <c r="T34" s="13"/>
      <c r="U34" s="13"/>
      <c r="V34" s="13"/>
      <c r="W34" s="13"/>
      <c r="X34" s="13"/>
      <c r="Y34" s="13"/>
      <c r="Z34" s="13"/>
      <c r="AA34" s="13"/>
      <c r="AB34" s="13"/>
      <c r="AC34" s="13"/>
      <c r="AD34" s="13"/>
      <c r="AE34" s="13"/>
    </row>
    <row r="35" spans="1:31" ht="12.75" hidden="1" customHeight="1">
      <c r="A35" s="1"/>
      <c r="B35" s="22"/>
      <c r="C35" s="23"/>
      <c r="D35" s="23"/>
      <c r="E35" s="23"/>
      <c r="F35" s="23"/>
      <c r="G35" s="23"/>
      <c r="H35" s="23"/>
      <c r="I35" s="22"/>
      <c r="J35" s="22"/>
      <c r="K35" s="13"/>
      <c r="L35" s="13"/>
      <c r="M35" s="13"/>
      <c r="N35" s="13"/>
      <c r="O35" s="13"/>
      <c r="P35" s="13"/>
      <c r="Q35" s="13"/>
      <c r="R35" s="13"/>
      <c r="S35" s="13"/>
      <c r="T35" s="13"/>
      <c r="U35" s="13"/>
      <c r="V35" s="13"/>
      <c r="W35" s="13"/>
      <c r="X35" s="13"/>
      <c r="Y35" s="13"/>
      <c r="Z35" s="13"/>
      <c r="AA35" s="13"/>
      <c r="AB35" s="13"/>
      <c r="AC35" s="13"/>
      <c r="AD35" s="13"/>
      <c r="AE35" s="13"/>
    </row>
    <row r="36" spans="1:31" ht="12.75" hidden="1" customHeight="1">
      <c r="A36" s="1"/>
      <c r="B36" s="20"/>
      <c r="C36" s="21"/>
      <c r="D36" s="21"/>
      <c r="E36" s="21"/>
      <c r="F36" s="21"/>
      <c r="G36" s="21"/>
      <c r="H36" s="21"/>
      <c r="I36" s="20"/>
      <c r="J36" s="20"/>
      <c r="K36" s="13"/>
      <c r="L36" s="13"/>
      <c r="M36" s="13"/>
      <c r="N36" s="13"/>
      <c r="O36" s="13"/>
      <c r="P36" s="13"/>
      <c r="Q36" s="13"/>
      <c r="R36" s="13"/>
      <c r="S36" s="13"/>
      <c r="T36" s="13"/>
      <c r="U36" s="13"/>
      <c r="V36" s="13"/>
      <c r="W36" s="13"/>
      <c r="X36" s="13"/>
      <c r="Y36" s="13"/>
      <c r="Z36" s="13"/>
      <c r="AA36" s="13"/>
      <c r="AB36" s="13"/>
      <c r="AC36" s="13"/>
      <c r="AD36" s="13"/>
      <c r="AE36" s="13"/>
    </row>
    <row r="37" spans="1:31" ht="12.75" hidden="1" customHeight="1">
      <c r="A37" s="1"/>
      <c r="B37" s="22"/>
      <c r="C37" s="23"/>
      <c r="D37" s="23"/>
      <c r="E37" s="23"/>
      <c r="F37" s="23"/>
      <c r="G37" s="23"/>
      <c r="H37" s="23"/>
      <c r="I37" s="22"/>
      <c r="J37" s="22"/>
      <c r="K37" s="13"/>
      <c r="L37" s="13"/>
      <c r="M37" s="13"/>
      <c r="N37" s="13"/>
      <c r="O37" s="13"/>
      <c r="P37" s="13"/>
      <c r="Q37" s="13"/>
      <c r="R37" s="13"/>
      <c r="S37" s="13"/>
      <c r="T37" s="13"/>
      <c r="U37" s="13"/>
      <c r="V37" s="13"/>
      <c r="W37" s="13"/>
      <c r="X37" s="13"/>
      <c r="Y37" s="13"/>
      <c r="Z37" s="13"/>
      <c r="AA37" s="13"/>
      <c r="AB37" s="13"/>
      <c r="AC37" s="13"/>
      <c r="AD37" s="13"/>
      <c r="AE37" s="13"/>
    </row>
    <row r="38" spans="1:31" ht="12.75" hidden="1" customHeight="1">
      <c r="A38" s="1"/>
      <c r="B38" s="20"/>
      <c r="C38" s="21"/>
      <c r="D38" s="21"/>
      <c r="E38" s="21"/>
      <c r="F38" s="21"/>
      <c r="G38" s="21"/>
      <c r="H38" s="21"/>
      <c r="I38" s="20"/>
      <c r="J38" s="20"/>
      <c r="K38" s="13"/>
      <c r="L38" s="13"/>
      <c r="M38" s="13"/>
      <c r="N38" s="13"/>
      <c r="O38" s="13"/>
      <c r="P38" s="13"/>
      <c r="Q38" s="13"/>
      <c r="R38" s="13"/>
      <c r="S38" s="13"/>
      <c r="T38" s="13"/>
      <c r="U38" s="13"/>
      <c r="V38" s="13"/>
      <c r="W38" s="13"/>
      <c r="X38" s="13"/>
      <c r="Y38" s="13"/>
      <c r="Z38" s="13"/>
      <c r="AA38" s="13"/>
      <c r="AB38" s="13"/>
      <c r="AC38" s="13"/>
      <c r="AD38" s="13"/>
      <c r="AE38" s="13"/>
    </row>
    <row r="39" spans="1:31" ht="12.75" hidden="1" customHeight="1">
      <c r="A39" s="1"/>
      <c r="B39" s="22"/>
      <c r="C39" s="23"/>
      <c r="D39" s="23"/>
      <c r="E39" s="23"/>
      <c r="F39" s="23"/>
      <c r="G39" s="23"/>
      <c r="H39" s="23"/>
      <c r="I39" s="22"/>
      <c r="J39" s="22"/>
      <c r="K39" s="13"/>
      <c r="L39" s="13"/>
      <c r="M39" s="13"/>
      <c r="N39" s="13"/>
      <c r="O39" s="13"/>
      <c r="P39" s="13"/>
      <c r="Q39" s="13"/>
      <c r="R39" s="13"/>
      <c r="S39" s="13"/>
      <c r="T39" s="13"/>
      <c r="U39" s="13"/>
      <c r="V39" s="13"/>
      <c r="W39" s="13"/>
      <c r="X39" s="13"/>
      <c r="Y39" s="13"/>
      <c r="Z39" s="13"/>
      <c r="AA39" s="13"/>
      <c r="AB39" s="13"/>
      <c r="AC39" s="13"/>
      <c r="AD39" s="13"/>
      <c r="AE39" s="13"/>
    </row>
    <row r="40" spans="1:31" ht="12.75" hidden="1" customHeight="1">
      <c r="A40" s="1"/>
      <c r="B40" s="20"/>
      <c r="C40" s="21"/>
      <c r="D40" s="21"/>
      <c r="E40" s="21"/>
      <c r="F40" s="21"/>
      <c r="G40" s="21"/>
      <c r="H40" s="21"/>
      <c r="I40" s="20"/>
      <c r="J40" s="20"/>
      <c r="K40" s="13"/>
      <c r="L40" s="13"/>
      <c r="M40" s="13"/>
      <c r="N40" s="13"/>
      <c r="O40" s="13"/>
      <c r="P40" s="13"/>
      <c r="Q40" s="13"/>
      <c r="R40" s="13"/>
      <c r="S40" s="13"/>
      <c r="T40" s="13"/>
      <c r="U40" s="13"/>
      <c r="V40" s="13"/>
      <c r="W40" s="13"/>
      <c r="X40" s="13"/>
      <c r="Y40" s="13"/>
      <c r="Z40" s="13"/>
      <c r="AA40" s="13"/>
      <c r="AB40" s="13"/>
      <c r="AC40" s="13"/>
      <c r="AD40" s="13"/>
      <c r="AE40" s="13"/>
    </row>
    <row r="41" spans="1:31" ht="12.75" hidden="1" customHeight="1">
      <c r="A41" s="1"/>
      <c r="B41" s="22"/>
      <c r="C41" s="23"/>
      <c r="D41" s="23"/>
      <c r="E41" s="23"/>
      <c r="F41" s="23"/>
      <c r="G41" s="23"/>
      <c r="H41" s="23"/>
      <c r="I41" s="22"/>
      <c r="J41" s="22"/>
      <c r="K41" s="13"/>
      <c r="L41" s="13"/>
      <c r="M41" s="13"/>
      <c r="N41" s="13"/>
      <c r="O41" s="13"/>
      <c r="P41" s="13"/>
      <c r="Q41" s="13"/>
      <c r="R41" s="13"/>
      <c r="S41" s="13"/>
      <c r="T41" s="13"/>
      <c r="U41" s="13"/>
      <c r="V41" s="13"/>
      <c r="W41" s="13"/>
      <c r="X41" s="13"/>
      <c r="Y41" s="13"/>
      <c r="Z41" s="13"/>
      <c r="AA41" s="13"/>
      <c r="AB41" s="13"/>
      <c r="AC41" s="13"/>
      <c r="AD41" s="13"/>
      <c r="AE41" s="13"/>
    </row>
    <row r="42" spans="1:31" ht="12.75" hidden="1" customHeight="1">
      <c r="A42" s="1"/>
      <c r="B42" s="20"/>
      <c r="C42" s="21"/>
      <c r="D42" s="21"/>
      <c r="E42" s="21"/>
      <c r="F42" s="21"/>
      <c r="G42" s="21"/>
      <c r="H42" s="21"/>
      <c r="I42" s="20"/>
      <c r="J42" s="20"/>
      <c r="K42" s="13"/>
      <c r="L42" s="13"/>
      <c r="M42" s="13"/>
      <c r="N42" s="13"/>
      <c r="O42" s="13"/>
      <c r="P42" s="13"/>
      <c r="Q42" s="13"/>
      <c r="R42" s="13"/>
      <c r="S42" s="13"/>
      <c r="T42" s="13"/>
      <c r="U42" s="13"/>
      <c r="V42" s="13"/>
      <c r="W42" s="13"/>
      <c r="X42" s="13"/>
      <c r="Y42" s="13"/>
      <c r="Z42" s="13"/>
      <c r="AA42" s="13"/>
      <c r="AB42" s="13"/>
      <c r="AC42" s="13"/>
      <c r="AD42" s="13"/>
      <c r="AE42" s="13"/>
    </row>
    <row r="43" spans="1:31" ht="12.75" hidden="1" customHeight="1">
      <c r="A43" s="1"/>
      <c r="B43" s="24"/>
      <c r="C43" s="25"/>
      <c r="D43" s="25"/>
      <c r="E43" s="25"/>
      <c r="F43" s="25"/>
      <c r="G43" s="25"/>
      <c r="H43" s="25"/>
      <c r="I43" s="24"/>
      <c r="J43" s="24"/>
      <c r="K43" s="13"/>
      <c r="L43" s="13"/>
      <c r="M43" s="13"/>
      <c r="N43" s="13"/>
      <c r="O43" s="13"/>
      <c r="P43" s="13"/>
      <c r="Q43" s="13"/>
      <c r="R43" s="13"/>
      <c r="S43" s="13"/>
      <c r="T43" s="13"/>
      <c r="U43" s="13"/>
      <c r="V43" s="13"/>
      <c r="W43" s="13"/>
      <c r="X43" s="13"/>
      <c r="Y43" s="13"/>
      <c r="Z43" s="13"/>
      <c r="AA43" s="13"/>
      <c r="AB43" s="13"/>
      <c r="AC43" s="13"/>
      <c r="AD43" s="13"/>
      <c r="AE43" s="13"/>
    </row>
    <row r="44" spans="1:31" ht="12.75" hidden="1" customHeight="1">
      <c r="A44" s="1"/>
      <c r="B44" s="18"/>
      <c r="C44" s="19"/>
      <c r="D44" s="19"/>
      <c r="E44" s="19"/>
      <c r="F44" s="19"/>
      <c r="G44" s="19"/>
      <c r="H44" s="19"/>
      <c r="I44" s="18"/>
      <c r="J44" s="18"/>
      <c r="K44" s="13"/>
      <c r="L44" s="13"/>
      <c r="M44" s="13"/>
      <c r="N44" s="13"/>
      <c r="O44" s="13"/>
      <c r="P44" s="13"/>
      <c r="Q44" s="13"/>
      <c r="R44" s="13"/>
      <c r="S44" s="13"/>
      <c r="T44" s="13"/>
      <c r="U44" s="13"/>
      <c r="V44" s="13"/>
      <c r="W44" s="13"/>
      <c r="X44" s="13"/>
      <c r="Y44" s="13"/>
      <c r="Z44" s="13"/>
      <c r="AA44" s="13"/>
      <c r="AB44" s="13"/>
      <c r="AC44" s="13"/>
      <c r="AD44" s="13"/>
      <c r="AE44" s="13"/>
    </row>
    <row r="45" spans="1:31" ht="12.75" hidden="1" customHeight="1">
      <c r="A45" s="1"/>
      <c r="B45" s="20"/>
      <c r="C45" s="21"/>
      <c r="D45" s="21"/>
      <c r="E45" s="21"/>
      <c r="F45" s="21"/>
      <c r="G45" s="21"/>
      <c r="H45" s="21"/>
      <c r="I45" s="20"/>
      <c r="J45" s="20"/>
      <c r="K45" s="13"/>
      <c r="L45" s="13"/>
      <c r="M45" s="13"/>
      <c r="N45" s="13"/>
      <c r="O45" s="13"/>
      <c r="P45" s="13"/>
      <c r="Q45" s="13"/>
      <c r="R45" s="13"/>
      <c r="S45" s="13"/>
      <c r="T45" s="13"/>
      <c r="U45" s="13"/>
      <c r="V45" s="13"/>
      <c r="W45" s="13"/>
      <c r="X45" s="13"/>
      <c r="Y45" s="13"/>
      <c r="Z45" s="13"/>
      <c r="AA45" s="13"/>
      <c r="AB45" s="13"/>
      <c r="AC45" s="13"/>
      <c r="AD45" s="13"/>
      <c r="AE45" s="13"/>
    </row>
    <row r="46" spans="1:31" ht="12.75" hidden="1" customHeight="1">
      <c r="A46" s="1"/>
      <c r="B46" s="22"/>
      <c r="C46" s="23"/>
      <c r="D46" s="23"/>
      <c r="E46" s="23"/>
      <c r="F46" s="23"/>
      <c r="G46" s="23"/>
      <c r="H46" s="23"/>
      <c r="I46" s="22"/>
      <c r="J46" s="22"/>
      <c r="K46" s="13"/>
      <c r="L46" s="13"/>
      <c r="M46" s="13"/>
      <c r="N46" s="13"/>
      <c r="O46" s="13"/>
      <c r="P46" s="13"/>
      <c r="Q46" s="13"/>
      <c r="R46" s="13"/>
      <c r="S46" s="13"/>
      <c r="T46" s="13"/>
      <c r="U46" s="13"/>
      <c r="V46" s="13"/>
      <c r="W46" s="13"/>
      <c r="X46" s="13"/>
      <c r="Y46" s="13"/>
      <c r="Z46" s="13"/>
      <c r="AA46" s="13"/>
      <c r="AB46" s="13"/>
      <c r="AC46" s="13"/>
      <c r="AD46" s="13"/>
      <c r="AE46" s="13"/>
    </row>
    <row r="47" spans="1:31" ht="12.75" hidden="1" customHeight="1">
      <c r="A47" s="1"/>
      <c r="B47" s="20"/>
      <c r="C47" s="21"/>
      <c r="D47" s="21"/>
      <c r="E47" s="21"/>
      <c r="F47" s="21"/>
      <c r="G47" s="21"/>
      <c r="H47" s="21"/>
      <c r="I47" s="20"/>
      <c r="J47" s="20"/>
      <c r="K47" s="13"/>
      <c r="L47" s="13"/>
      <c r="M47" s="13"/>
      <c r="N47" s="13"/>
      <c r="O47" s="13"/>
      <c r="P47" s="13"/>
      <c r="Q47" s="13"/>
      <c r="R47" s="13"/>
      <c r="S47" s="13"/>
      <c r="T47" s="13"/>
      <c r="U47" s="13"/>
      <c r="V47" s="13"/>
      <c r="W47" s="13"/>
      <c r="X47" s="13"/>
      <c r="Y47" s="13"/>
      <c r="Z47" s="13"/>
      <c r="AA47" s="13"/>
      <c r="AB47" s="13"/>
      <c r="AC47" s="13"/>
      <c r="AD47" s="13"/>
      <c r="AE47" s="13"/>
    </row>
    <row r="48" spans="1:31" ht="12.75" hidden="1" customHeight="1">
      <c r="A48" s="1"/>
      <c r="B48" s="22"/>
      <c r="C48" s="23"/>
      <c r="D48" s="23"/>
      <c r="E48" s="23"/>
      <c r="F48" s="23"/>
      <c r="G48" s="23"/>
      <c r="H48" s="23"/>
      <c r="I48" s="22"/>
      <c r="J48" s="22"/>
      <c r="K48" s="13"/>
      <c r="L48" s="13"/>
      <c r="M48" s="13"/>
      <c r="N48" s="13"/>
      <c r="O48" s="13"/>
      <c r="P48" s="13"/>
      <c r="Q48" s="13"/>
      <c r="R48" s="13"/>
      <c r="S48" s="13"/>
      <c r="T48" s="13"/>
      <c r="U48" s="13"/>
      <c r="V48" s="13"/>
      <c r="W48" s="13"/>
      <c r="X48" s="13"/>
      <c r="Y48" s="13"/>
      <c r="Z48" s="13"/>
      <c r="AA48" s="13"/>
      <c r="AB48" s="13"/>
      <c r="AC48" s="13"/>
      <c r="AD48" s="13"/>
      <c r="AE48" s="13"/>
    </row>
    <row r="49" spans="1:31" ht="12.75" hidden="1" customHeight="1">
      <c r="A49" s="1"/>
      <c r="B49" s="20"/>
      <c r="C49" s="21"/>
      <c r="D49" s="21"/>
      <c r="E49" s="21"/>
      <c r="F49" s="21"/>
      <c r="G49" s="21"/>
      <c r="H49" s="21"/>
      <c r="I49" s="20"/>
      <c r="J49" s="20"/>
      <c r="K49" s="13"/>
      <c r="L49" s="13"/>
      <c r="M49" s="13"/>
      <c r="N49" s="13"/>
      <c r="O49" s="13"/>
      <c r="P49" s="13"/>
      <c r="Q49" s="13"/>
      <c r="R49" s="13"/>
      <c r="S49" s="13"/>
      <c r="T49" s="13"/>
      <c r="U49" s="13"/>
      <c r="V49" s="13"/>
      <c r="W49" s="13"/>
      <c r="X49" s="13"/>
      <c r="Y49" s="13"/>
      <c r="Z49" s="13"/>
      <c r="AA49" s="13"/>
      <c r="AB49" s="13"/>
      <c r="AC49" s="13"/>
      <c r="AD49" s="13"/>
      <c r="AE49" s="13"/>
    </row>
    <row r="50" spans="1:31" ht="12.75" hidden="1" customHeight="1">
      <c r="A50" s="1"/>
      <c r="B50" s="24"/>
      <c r="C50" s="25"/>
      <c r="D50" s="25"/>
      <c r="E50" s="25"/>
      <c r="F50" s="25"/>
      <c r="G50" s="25"/>
      <c r="H50" s="25"/>
      <c r="I50" s="24"/>
      <c r="J50" s="24"/>
      <c r="K50" s="13"/>
      <c r="L50" s="13"/>
      <c r="M50" s="13"/>
      <c r="N50" s="13"/>
      <c r="O50" s="13"/>
      <c r="P50" s="13"/>
      <c r="Q50" s="13"/>
      <c r="R50" s="13"/>
      <c r="S50" s="13"/>
      <c r="T50" s="13"/>
      <c r="U50" s="13"/>
      <c r="V50" s="13"/>
      <c r="W50" s="13"/>
      <c r="X50" s="13"/>
      <c r="Y50" s="13"/>
      <c r="Z50" s="13"/>
      <c r="AA50" s="13"/>
      <c r="AB50" s="13"/>
      <c r="AC50" s="13"/>
      <c r="AD50" s="13"/>
      <c r="AE50" s="13"/>
    </row>
    <row r="51" spans="1:31" ht="12.75" hidden="1" customHeight="1">
      <c r="A51" s="1"/>
      <c r="B51" s="18"/>
      <c r="C51" s="19"/>
      <c r="D51" s="19"/>
      <c r="E51" s="19"/>
      <c r="F51" s="19"/>
      <c r="G51" s="19"/>
      <c r="H51" s="19"/>
      <c r="I51" s="18"/>
      <c r="J51" s="18"/>
      <c r="K51" s="13"/>
      <c r="L51" s="13"/>
      <c r="M51" s="13"/>
      <c r="N51" s="13"/>
      <c r="O51" s="13"/>
      <c r="P51" s="13"/>
      <c r="Q51" s="13"/>
      <c r="R51" s="13"/>
      <c r="S51" s="13"/>
      <c r="T51" s="13"/>
      <c r="U51" s="13"/>
      <c r="V51" s="13"/>
      <c r="W51" s="13"/>
      <c r="X51" s="13"/>
      <c r="Y51" s="13"/>
      <c r="Z51" s="13"/>
      <c r="AA51" s="13"/>
      <c r="AB51" s="13"/>
      <c r="AC51" s="13"/>
      <c r="AD51" s="13"/>
      <c r="AE51" s="13"/>
    </row>
    <row r="52" spans="1:31" ht="12.75" hidden="1" customHeight="1">
      <c r="A52" s="1"/>
      <c r="B52" s="20"/>
      <c r="C52" s="21"/>
      <c r="D52" s="21"/>
      <c r="E52" s="21"/>
      <c r="F52" s="21"/>
      <c r="G52" s="21"/>
      <c r="H52" s="21"/>
      <c r="I52" s="20"/>
      <c r="J52" s="20"/>
      <c r="K52" s="13"/>
      <c r="L52" s="13"/>
      <c r="M52" s="13"/>
      <c r="N52" s="13"/>
      <c r="O52" s="13"/>
      <c r="P52" s="13"/>
      <c r="Q52" s="13"/>
      <c r="R52" s="13"/>
      <c r="S52" s="13"/>
      <c r="T52" s="13"/>
      <c r="U52" s="13"/>
      <c r="V52" s="13"/>
      <c r="W52" s="13"/>
      <c r="X52" s="13"/>
      <c r="Y52" s="13"/>
      <c r="Z52" s="13"/>
      <c r="AA52" s="13"/>
      <c r="AB52" s="13"/>
      <c r="AC52" s="13"/>
      <c r="AD52" s="13"/>
      <c r="AE52" s="13"/>
    </row>
    <row r="53" spans="1:31" ht="12.75" hidden="1" customHeight="1">
      <c r="A53" s="1"/>
      <c r="B53" s="22"/>
      <c r="C53" s="23"/>
      <c r="D53" s="23"/>
      <c r="E53" s="23"/>
      <c r="F53" s="23"/>
      <c r="G53" s="23"/>
      <c r="H53" s="23"/>
      <c r="I53" s="22"/>
      <c r="J53" s="22"/>
      <c r="K53" s="13"/>
      <c r="L53" s="13"/>
      <c r="M53" s="13"/>
      <c r="N53" s="13"/>
      <c r="O53" s="13"/>
      <c r="P53" s="13"/>
      <c r="Q53" s="13"/>
      <c r="R53" s="13"/>
      <c r="S53" s="13"/>
      <c r="T53" s="13"/>
      <c r="U53" s="13"/>
      <c r="V53" s="13"/>
      <c r="W53" s="13"/>
      <c r="X53" s="13"/>
      <c r="Y53" s="13"/>
      <c r="Z53" s="13"/>
      <c r="AA53" s="13"/>
      <c r="AB53" s="13"/>
      <c r="AC53" s="13"/>
      <c r="AD53" s="13"/>
      <c r="AE53" s="13"/>
    </row>
    <row r="54" spans="1:31" ht="12.75" hidden="1" customHeight="1">
      <c r="A54" s="1"/>
      <c r="B54" s="20"/>
      <c r="C54" s="21"/>
      <c r="D54" s="21"/>
      <c r="E54" s="21"/>
      <c r="F54" s="21"/>
      <c r="G54" s="21"/>
      <c r="H54" s="21"/>
      <c r="I54" s="20"/>
      <c r="J54" s="20"/>
      <c r="K54" s="13"/>
      <c r="L54" s="13"/>
      <c r="M54" s="13"/>
      <c r="N54" s="13"/>
      <c r="O54" s="13"/>
      <c r="P54" s="13"/>
      <c r="Q54" s="13"/>
      <c r="R54" s="13"/>
      <c r="S54" s="13"/>
      <c r="T54" s="13"/>
      <c r="U54" s="13"/>
      <c r="V54" s="13"/>
      <c r="W54" s="13"/>
      <c r="X54" s="13"/>
      <c r="Y54" s="13"/>
      <c r="Z54" s="13"/>
      <c r="AA54" s="13"/>
      <c r="AB54" s="13"/>
      <c r="AC54" s="13"/>
      <c r="AD54" s="13"/>
      <c r="AE54" s="13"/>
    </row>
    <row r="55" spans="1:31" ht="12.75" hidden="1" customHeight="1">
      <c r="A55" s="1"/>
      <c r="B55" s="22"/>
      <c r="C55" s="23"/>
      <c r="D55" s="23"/>
      <c r="E55" s="23"/>
      <c r="F55" s="23"/>
      <c r="G55" s="23"/>
      <c r="H55" s="23"/>
      <c r="I55" s="22"/>
      <c r="J55" s="22"/>
      <c r="K55" s="13"/>
      <c r="L55" s="13"/>
      <c r="M55" s="13"/>
      <c r="N55" s="13"/>
      <c r="O55" s="13"/>
      <c r="P55" s="13"/>
      <c r="Q55" s="13"/>
      <c r="R55" s="13"/>
      <c r="S55" s="13"/>
      <c r="T55" s="13"/>
      <c r="U55" s="13"/>
      <c r="V55" s="13"/>
      <c r="W55" s="13"/>
      <c r="X55" s="13"/>
      <c r="Y55" s="13"/>
      <c r="Z55" s="13"/>
      <c r="AA55" s="13"/>
      <c r="AB55" s="13"/>
      <c r="AC55" s="13"/>
      <c r="AD55" s="13"/>
      <c r="AE55" s="13"/>
    </row>
    <row r="56" spans="1:31" ht="12.75" hidden="1" customHeight="1">
      <c r="A56" s="1"/>
      <c r="B56" s="26"/>
      <c r="C56" s="27"/>
      <c r="D56" s="27"/>
      <c r="E56" s="27"/>
      <c r="F56" s="27"/>
      <c r="G56" s="27"/>
      <c r="H56" s="27"/>
      <c r="I56" s="26"/>
      <c r="J56" s="26"/>
      <c r="K56" s="13"/>
      <c r="L56" s="13"/>
      <c r="M56" s="13"/>
      <c r="N56" s="13"/>
      <c r="O56" s="13"/>
      <c r="P56" s="13"/>
      <c r="Q56" s="13"/>
      <c r="R56" s="13"/>
      <c r="S56" s="13"/>
      <c r="T56" s="13"/>
      <c r="U56" s="13"/>
      <c r="V56" s="13"/>
      <c r="W56" s="13"/>
      <c r="X56" s="13"/>
      <c r="Y56" s="13"/>
      <c r="Z56" s="13"/>
      <c r="AA56" s="13"/>
      <c r="AB56" s="13"/>
      <c r="AC56" s="13"/>
      <c r="AD56" s="13"/>
      <c r="AE56" s="13"/>
    </row>
    <row r="57" spans="1:31" ht="12.75" hidden="1" customHeight="1">
      <c r="A57" s="1"/>
      <c r="B57" s="26"/>
      <c r="C57" s="27"/>
      <c r="D57" s="27"/>
      <c r="E57" s="27"/>
      <c r="F57" s="27"/>
      <c r="G57" s="27"/>
      <c r="H57" s="27"/>
      <c r="I57" s="26"/>
      <c r="J57" s="26"/>
      <c r="K57" s="13"/>
      <c r="L57" s="13"/>
      <c r="M57" s="13"/>
      <c r="N57" s="13"/>
      <c r="O57" s="13"/>
      <c r="P57" s="13"/>
      <c r="Q57" s="13"/>
      <c r="R57" s="13"/>
      <c r="S57" s="13"/>
      <c r="T57" s="13"/>
      <c r="U57" s="13"/>
      <c r="V57" s="13"/>
      <c r="W57" s="13"/>
      <c r="X57" s="13"/>
      <c r="Y57" s="13"/>
      <c r="Z57" s="13"/>
      <c r="AA57" s="13"/>
      <c r="AB57" s="13"/>
      <c r="AC57" s="13"/>
      <c r="AD57" s="13"/>
      <c r="AE57" s="13"/>
    </row>
    <row r="58" spans="1:31" ht="12.75" hidden="1" customHeight="1">
      <c r="A58" s="1"/>
      <c r="B58" s="26"/>
      <c r="C58" s="27"/>
      <c r="D58" s="27"/>
      <c r="E58" s="27"/>
      <c r="F58" s="27"/>
      <c r="G58" s="27"/>
      <c r="H58" s="27"/>
      <c r="I58" s="26"/>
      <c r="J58" s="26"/>
      <c r="K58" s="13"/>
      <c r="L58" s="13"/>
      <c r="M58" s="13"/>
      <c r="N58" s="13"/>
      <c r="O58" s="13"/>
      <c r="P58" s="13"/>
      <c r="Q58" s="13"/>
      <c r="R58" s="13"/>
      <c r="S58" s="13"/>
      <c r="T58" s="13"/>
      <c r="U58" s="13"/>
      <c r="V58" s="13"/>
      <c r="W58" s="13"/>
      <c r="X58" s="13"/>
      <c r="Y58" s="13"/>
      <c r="Z58" s="13"/>
      <c r="AA58" s="13"/>
      <c r="AB58" s="13"/>
      <c r="AC58" s="13"/>
      <c r="AD58" s="13"/>
      <c r="AE58" s="13"/>
    </row>
    <row r="59" spans="1:31" ht="12.75" hidden="1" customHeight="1">
      <c r="A59" s="1"/>
      <c r="B59" s="26"/>
      <c r="C59" s="27"/>
      <c r="D59" s="27"/>
      <c r="E59" s="27"/>
      <c r="F59" s="27"/>
      <c r="G59" s="27"/>
      <c r="H59" s="27"/>
      <c r="I59" s="26"/>
      <c r="J59" s="26"/>
      <c r="K59" s="13"/>
      <c r="L59" s="13"/>
      <c r="M59" s="13"/>
      <c r="N59" s="13"/>
      <c r="O59" s="13"/>
      <c r="P59" s="13"/>
      <c r="Q59" s="13"/>
      <c r="R59" s="13"/>
      <c r="S59" s="13"/>
      <c r="T59" s="13"/>
      <c r="U59" s="13"/>
      <c r="V59" s="13"/>
      <c r="W59" s="13"/>
      <c r="X59" s="13"/>
      <c r="Y59" s="13"/>
      <c r="Z59" s="13"/>
      <c r="AA59" s="13"/>
      <c r="AB59" s="13"/>
      <c r="AC59" s="13"/>
      <c r="AD59" s="13"/>
      <c r="AE59" s="13"/>
    </row>
    <row r="60" spans="1:31" ht="12.75" hidden="1" customHeight="1">
      <c r="A60" s="1"/>
      <c r="B60" s="26"/>
      <c r="C60" s="27"/>
      <c r="D60" s="27"/>
      <c r="E60" s="27"/>
      <c r="F60" s="27"/>
      <c r="G60" s="27"/>
      <c r="H60" s="27"/>
      <c r="I60" s="26"/>
      <c r="J60" s="26"/>
      <c r="K60" s="13"/>
      <c r="L60" s="13"/>
      <c r="M60" s="13"/>
      <c r="N60" s="13"/>
      <c r="O60" s="13"/>
      <c r="P60" s="13"/>
      <c r="Q60" s="13"/>
      <c r="R60" s="13"/>
      <c r="S60" s="13"/>
      <c r="T60" s="13"/>
      <c r="U60" s="13"/>
      <c r="V60" s="13"/>
      <c r="W60" s="13"/>
      <c r="X60" s="13"/>
      <c r="Y60" s="13"/>
      <c r="Z60" s="13"/>
      <c r="AA60" s="13"/>
      <c r="AB60" s="13"/>
      <c r="AC60" s="13"/>
      <c r="AD60" s="13"/>
      <c r="AE60" s="13"/>
    </row>
    <row r="61" spans="1:31" ht="12.75" hidden="1" customHeight="1">
      <c r="A61" s="1"/>
      <c r="B61" s="13"/>
      <c r="C61" s="1"/>
      <c r="D61" s="1"/>
      <c r="E61" s="1"/>
      <c r="F61" s="1"/>
      <c r="G61" s="1"/>
      <c r="H61" s="1"/>
      <c r="I61" s="13"/>
      <c r="J61" s="13"/>
      <c r="K61" s="13"/>
      <c r="L61" s="13"/>
      <c r="M61" s="13"/>
      <c r="N61" s="13"/>
      <c r="O61" s="13"/>
      <c r="P61" s="13"/>
      <c r="Q61" s="13"/>
      <c r="R61" s="13"/>
      <c r="S61" s="13"/>
      <c r="T61" s="13"/>
      <c r="U61" s="13"/>
      <c r="V61" s="13"/>
      <c r="W61" s="13"/>
      <c r="X61" s="13"/>
      <c r="Y61" s="13"/>
      <c r="Z61" s="13"/>
      <c r="AA61" s="13"/>
      <c r="AB61" s="13"/>
      <c r="AC61" s="13"/>
      <c r="AD61" s="13"/>
      <c r="AE61" s="13"/>
    </row>
    <row r="62" spans="1:31" ht="12.75" hidden="1" customHeight="1">
      <c r="A62" s="1"/>
      <c r="B62" s="13"/>
      <c r="C62" s="1"/>
      <c r="D62" s="1"/>
      <c r="E62" s="1"/>
      <c r="F62" s="1"/>
      <c r="G62" s="1"/>
      <c r="H62" s="1"/>
      <c r="I62" s="13"/>
      <c r="J62" s="13"/>
      <c r="K62" s="13"/>
      <c r="L62" s="13"/>
      <c r="M62" s="13"/>
      <c r="N62" s="13"/>
      <c r="O62" s="13"/>
      <c r="P62" s="13"/>
      <c r="Q62" s="13"/>
      <c r="R62" s="13"/>
      <c r="S62" s="13"/>
      <c r="T62" s="13"/>
      <c r="U62" s="13"/>
      <c r="V62" s="13"/>
      <c r="W62" s="13"/>
      <c r="X62" s="13"/>
      <c r="Y62" s="13"/>
      <c r="Z62" s="13"/>
      <c r="AA62" s="13"/>
      <c r="AB62" s="13"/>
      <c r="AC62" s="13"/>
      <c r="AD62" s="13"/>
      <c r="AE62" s="13"/>
    </row>
    <row r="63" spans="1:31" ht="12.75" hidden="1" customHeight="1">
      <c r="A63" s="1"/>
      <c r="B63" s="13"/>
      <c r="C63" s="1"/>
      <c r="D63" s="1"/>
      <c r="E63" s="1"/>
      <c r="F63" s="1"/>
      <c r="G63" s="1"/>
      <c r="H63" s="1"/>
      <c r="I63" s="13"/>
      <c r="J63" s="13"/>
      <c r="K63" s="13"/>
      <c r="L63" s="13"/>
      <c r="M63" s="13"/>
      <c r="N63" s="13"/>
      <c r="O63" s="13"/>
      <c r="P63" s="13"/>
      <c r="Q63" s="13"/>
      <c r="R63" s="13"/>
      <c r="S63" s="13"/>
      <c r="T63" s="13"/>
      <c r="U63" s="13"/>
      <c r="V63" s="13"/>
      <c r="W63" s="13"/>
      <c r="X63" s="13"/>
      <c r="Y63" s="13"/>
      <c r="Z63" s="13"/>
      <c r="AA63" s="13"/>
      <c r="AB63" s="13"/>
      <c r="AC63" s="13"/>
      <c r="AD63" s="13"/>
      <c r="AE63" s="13"/>
    </row>
    <row r="64" spans="1:31" ht="12.75" hidden="1" customHeight="1">
      <c r="A64" s="1"/>
      <c r="B64" s="13"/>
      <c r="C64" s="1"/>
      <c r="D64" s="1"/>
      <c r="E64" s="1"/>
      <c r="F64" s="1"/>
      <c r="G64" s="1"/>
      <c r="H64" s="1"/>
      <c r="I64" s="13"/>
      <c r="J64" s="13"/>
      <c r="K64" s="13"/>
      <c r="L64" s="13"/>
      <c r="M64" s="13"/>
      <c r="N64" s="13"/>
      <c r="O64" s="13"/>
      <c r="P64" s="13"/>
      <c r="Q64" s="13"/>
      <c r="R64" s="13"/>
      <c r="S64" s="13"/>
      <c r="T64" s="13"/>
      <c r="U64" s="13"/>
      <c r="V64" s="13"/>
      <c r="W64" s="13"/>
      <c r="X64" s="13"/>
      <c r="Y64" s="13"/>
      <c r="Z64" s="13"/>
      <c r="AA64" s="13"/>
      <c r="AB64" s="13"/>
      <c r="AC64" s="13"/>
      <c r="AD64" s="13"/>
      <c r="AE64" s="13"/>
    </row>
    <row r="65" spans="1:31" ht="12.75" hidden="1" customHeight="1">
      <c r="A65" s="1"/>
      <c r="B65" s="13"/>
      <c r="C65" s="1"/>
      <c r="D65" s="1"/>
      <c r="E65" s="1"/>
      <c r="F65" s="1"/>
      <c r="G65" s="1"/>
      <c r="H65" s="1"/>
      <c r="I65" s="13"/>
      <c r="J65" s="13"/>
      <c r="K65" s="13"/>
      <c r="L65" s="13"/>
      <c r="M65" s="13"/>
      <c r="N65" s="13"/>
      <c r="O65" s="13"/>
      <c r="P65" s="13"/>
      <c r="Q65" s="13"/>
      <c r="R65" s="13"/>
      <c r="S65" s="13"/>
      <c r="T65" s="13"/>
      <c r="U65" s="13"/>
      <c r="V65" s="13"/>
      <c r="W65" s="13"/>
      <c r="X65" s="13"/>
      <c r="Y65" s="13"/>
      <c r="Z65" s="13"/>
      <c r="AA65" s="13"/>
      <c r="AB65" s="13"/>
      <c r="AC65" s="13"/>
      <c r="AD65" s="13"/>
      <c r="AE65" s="13"/>
    </row>
    <row r="66" spans="1:31" ht="12.75" hidden="1" customHeight="1">
      <c r="A66" s="1"/>
      <c r="B66" s="13"/>
      <c r="C66" s="1"/>
      <c r="D66" s="1"/>
      <c r="E66" s="1"/>
      <c r="F66" s="1"/>
      <c r="G66" s="1"/>
      <c r="H66" s="1"/>
      <c r="I66" s="13"/>
      <c r="J66" s="13"/>
      <c r="K66" s="13"/>
      <c r="L66" s="13"/>
      <c r="M66" s="13"/>
      <c r="N66" s="13"/>
      <c r="O66" s="13"/>
      <c r="P66" s="13"/>
      <c r="Q66" s="13"/>
      <c r="R66" s="13"/>
      <c r="S66" s="13"/>
      <c r="T66" s="13"/>
      <c r="U66" s="13"/>
      <c r="V66" s="13"/>
      <c r="W66" s="13"/>
      <c r="X66" s="13"/>
      <c r="Y66" s="13"/>
      <c r="Z66" s="13"/>
      <c r="AA66" s="13"/>
      <c r="AB66" s="13"/>
      <c r="AC66" s="13"/>
      <c r="AD66" s="13"/>
      <c r="AE66" s="13"/>
    </row>
    <row r="67" spans="1:31" ht="12.75" hidden="1" customHeight="1">
      <c r="A67" s="1"/>
      <c r="B67" s="13"/>
      <c r="C67" s="1"/>
      <c r="D67" s="1"/>
      <c r="E67" s="1"/>
      <c r="F67" s="1"/>
      <c r="G67" s="1"/>
      <c r="H67" s="1"/>
      <c r="I67" s="13"/>
      <c r="J67" s="13"/>
      <c r="K67" s="13"/>
      <c r="L67" s="13"/>
      <c r="M67" s="13"/>
      <c r="N67" s="13"/>
      <c r="O67" s="13"/>
      <c r="P67" s="13"/>
      <c r="Q67" s="13"/>
      <c r="R67" s="13"/>
      <c r="S67" s="13"/>
      <c r="T67" s="13"/>
      <c r="U67" s="13"/>
      <c r="V67" s="13"/>
      <c r="W67" s="13"/>
      <c r="X67" s="13"/>
      <c r="Y67" s="13"/>
      <c r="Z67" s="13"/>
      <c r="AA67" s="13"/>
      <c r="AB67" s="13"/>
      <c r="AC67" s="13"/>
      <c r="AD67" s="13"/>
      <c r="AE67" s="13"/>
    </row>
    <row r="68" spans="1:31" ht="12.75" hidden="1" customHeight="1">
      <c r="A68" s="1"/>
      <c r="B68" s="13"/>
      <c r="C68" s="1"/>
      <c r="D68" s="1"/>
      <c r="E68" s="1"/>
      <c r="F68" s="1"/>
      <c r="G68" s="1"/>
      <c r="H68" s="1"/>
      <c r="I68" s="13"/>
      <c r="J68" s="13"/>
      <c r="K68" s="13"/>
      <c r="L68" s="13"/>
      <c r="M68" s="13"/>
      <c r="N68" s="13"/>
      <c r="O68" s="13"/>
      <c r="P68" s="13"/>
      <c r="Q68" s="13"/>
      <c r="R68" s="13"/>
      <c r="S68" s="13"/>
      <c r="T68" s="13"/>
      <c r="U68" s="13"/>
      <c r="V68" s="13"/>
      <c r="W68" s="13"/>
      <c r="X68" s="13"/>
      <c r="Y68" s="13"/>
      <c r="Z68" s="13"/>
      <c r="AA68" s="13"/>
      <c r="AB68" s="13"/>
      <c r="AC68" s="13"/>
      <c r="AD68" s="13"/>
      <c r="AE68" s="13"/>
    </row>
    <row r="69" spans="1:31" ht="12.75" hidden="1" customHeight="1">
      <c r="A69" s="1"/>
      <c r="B69" s="13"/>
      <c r="C69" s="1"/>
      <c r="D69" s="1"/>
      <c r="E69" s="1"/>
      <c r="F69" s="1"/>
      <c r="G69" s="1"/>
      <c r="H69" s="1"/>
      <c r="I69" s="13"/>
      <c r="J69" s="13"/>
      <c r="K69" s="13"/>
      <c r="L69" s="13"/>
      <c r="M69" s="13"/>
      <c r="N69" s="13"/>
      <c r="O69" s="13"/>
      <c r="P69" s="13"/>
      <c r="Q69" s="13"/>
      <c r="R69" s="13"/>
      <c r="S69" s="13"/>
      <c r="T69" s="13"/>
      <c r="U69" s="13"/>
      <c r="V69" s="13"/>
      <c r="W69" s="13"/>
      <c r="X69" s="13"/>
      <c r="Y69" s="13"/>
      <c r="Z69" s="13"/>
      <c r="AA69" s="13"/>
      <c r="AB69" s="13"/>
      <c r="AC69" s="13"/>
      <c r="AD69" s="13"/>
      <c r="AE69" s="13"/>
    </row>
    <row r="70" spans="1:31" ht="12.75" hidden="1" customHeight="1">
      <c r="A70" s="1"/>
      <c r="B70" s="13"/>
      <c r="C70" s="1"/>
      <c r="D70" s="1"/>
      <c r="E70" s="1"/>
      <c r="F70" s="1"/>
      <c r="G70" s="1"/>
      <c r="H70" s="1"/>
      <c r="I70" s="13"/>
      <c r="J70" s="13"/>
      <c r="K70" s="13"/>
      <c r="L70" s="13"/>
      <c r="M70" s="13"/>
      <c r="N70" s="13"/>
      <c r="O70" s="13"/>
      <c r="P70" s="13"/>
      <c r="Q70" s="13"/>
      <c r="R70" s="13"/>
      <c r="S70" s="13"/>
      <c r="T70" s="13"/>
      <c r="U70" s="13"/>
      <c r="V70" s="13"/>
      <c r="W70" s="13"/>
      <c r="X70" s="13"/>
      <c r="Y70" s="13"/>
      <c r="Z70" s="13"/>
      <c r="AA70" s="13"/>
      <c r="AB70" s="13"/>
      <c r="AC70" s="13"/>
      <c r="AD70" s="13"/>
      <c r="AE70" s="13"/>
    </row>
    <row r="71" spans="1:31" ht="12.75" hidden="1" customHeight="1">
      <c r="A71" s="1"/>
      <c r="B71" s="13"/>
      <c r="C71" s="1"/>
      <c r="D71" s="1"/>
      <c r="E71" s="1"/>
      <c r="F71" s="1"/>
      <c r="G71" s="1"/>
      <c r="H71" s="1"/>
      <c r="I71" s="13"/>
      <c r="J71" s="13"/>
      <c r="K71" s="13"/>
      <c r="L71" s="13"/>
      <c r="M71" s="13"/>
      <c r="N71" s="13"/>
      <c r="O71" s="13"/>
      <c r="P71" s="13"/>
      <c r="Q71" s="13"/>
      <c r="R71" s="13"/>
      <c r="S71" s="13"/>
      <c r="T71" s="13"/>
      <c r="U71" s="13"/>
      <c r="V71" s="13"/>
      <c r="W71" s="13"/>
      <c r="X71" s="13"/>
      <c r="Y71" s="13"/>
      <c r="Z71" s="13"/>
      <c r="AA71" s="13"/>
      <c r="AB71" s="13"/>
      <c r="AC71" s="13"/>
      <c r="AD71" s="13"/>
      <c r="AE71" s="13"/>
    </row>
    <row r="72" spans="1:31" ht="12.75" hidden="1" customHeight="1">
      <c r="A72" s="1"/>
      <c r="B72" s="13"/>
      <c r="C72" s="1"/>
      <c r="D72" s="1"/>
      <c r="E72" s="1"/>
      <c r="F72" s="1"/>
      <c r="G72" s="1"/>
      <c r="H72" s="1"/>
      <c r="I72" s="13"/>
      <c r="J72" s="13"/>
      <c r="K72" s="13"/>
      <c r="L72" s="13"/>
      <c r="M72" s="13"/>
      <c r="N72" s="13"/>
      <c r="O72" s="13"/>
      <c r="P72" s="13"/>
      <c r="Q72" s="13"/>
      <c r="R72" s="13"/>
      <c r="S72" s="13"/>
      <c r="T72" s="13"/>
      <c r="U72" s="13"/>
      <c r="V72" s="13"/>
      <c r="W72" s="13"/>
      <c r="X72" s="13"/>
      <c r="Y72" s="13"/>
      <c r="Z72" s="13"/>
      <c r="AA72" s="13"/>
      <c r="AB72" s="13"/>
      <c r="AC72" s="13"/>
      <c r="AD72" s="13"/>
      <c r="AE72" s="13"/>
    </row>
    <row r="73" spans="1:31" ht="12.75" hidden="1" customHeight="1">
      <c r="A73" s="1"/>
      <c r="B73" s="13"/>
      <c r="C73" s="1"/>
      <c r="D73" s="1"/>
      <c r="E73" s="1"/>
      <c r="F73" s="1"/>
      <c r="G73" s="1"/>
      <c r="H73" s="1"/>
      <c r="I73" s="13"/>
      <c r="J73" s="13"/>
      <c r="K73" s="13"/>
      <c r="L73" s="13"/>
      <c r="M73" s="13"/>
      <c r="N73" s="13"/>
      <c r="O73" s="13"/>
      <c r="P73" s="13"/>
      <c r="Q73" s="13"/>
      <c r="R73" s="13"/>
      <c r="S73" s="13"/>
      <c r="T73" s="13"/>
      <c r="U73" s="13"/>
      <c r="V73" s="13"/>
      <c r="W73" s="13"/>
      <c r="X73" s="13"/>
      <c r="Y73" s="13"/>
      <c r="Z73" s="13"/>
      <c r="AA73" s="13"/>
      <c r="AB73" s="13"/>
      <c r="AC73" s="13"/>
      <c r="AD73" s="13"/>
      <c r="AE73" s="13"/>
    </row>
    <row r="74" spans="1:31" ht="12.75" hidden="1" customHeight="1">
      <c r="A74" s="1"/>
      <c r="B74" s="13"/>
      <c r="C74" s="1"/>
      <c r="D74" s="1"/>
      <c r="E74" s="1"/>
      <c r="F74" s="1"/>
      <c r="G74" s="1"/>
      <c r="H74" s="1"/>
      <c r="I74" s="13"/>
      <c r="J74" s="13"/>
      <c r="K74" s="13"/>
      <c r="L74" s="13"/>
      <c r="M74" s="13"/>
      <c r="N74" s="13"/>
      <c r="O74" s="13"/>
      <c r="P74" s="13"/>
      <c r="Q74" s="13"/>
      <c r="R74" s="13"/>
      <c r="S74" s="13"/>
      <c r="T74" s="13"/>
      <c r="U74" s="13"/>
      <c r="V74" s="13"/>
      <c r="W74" s="13"/>
      <c r="X74" s="13"/>
      <c r="Y74" s="13"/>
      <c r="Z74" s="13"/>
      <c r="AA74" s="13"/>
      <c r="AB74" s="13"/>
      <c r="AC74" s="13"/>
      <c r="AD74" s="13"/>
      <c r="AE74" s="13"/>
    </row>
    <row r="75" spans="1:31" ht="12.75" hidden="1" customHeight="1">
      <c r="A75" s="1"/>
      <c r="B75" s="13"/>
      <c r="C75" s="1"/>
      <c r="D75" s="1"/>
      <c r="E75" s="1"/>
      <c r="F75" s="1"/>
      <c r="G75" s="1"/>
      <c r="H75" s="1"/>
      <c r="I75" s="13"/>
      <c r="J75" s="13"/>
      <c r="K75" s="13"/>
      <c r="L75" s="13"/>
      <c r="M75" s="13"/>
      <c r="N75" s="13"/>
      <c r="O75" s="13"/>
      <c r="P75" s="13"/>
      <c r="Q75" s="13"/>
      <c r="R75" s="13"/>
      <c r="S75" s="13"/>
      <c r="T75" s="13"/>
      <c r="U75" s="13"/>
      <c r="V75" s="13"/>
      <c r="W75" s="13"/>
      <c r="X75" s="13"/>
      <c r="Y75" s="13"/>
      <c r="Z75" s="13"/>
      <c r="AA75" s="13"/>
      <c r="AB75" s="13"/>
      <c r="AC75" s="13"/>
      <c r="AD75" s="13"/>
      <c r="AE75" s="13"/>
    </row>
    <row r="76" spans="1:31" ht="12.75" hidden="1" customHeight="1">
      <c r="A76" s="1"/>
      <c r="B76" s="13"/>
      <c r="C76" s="1"/>
      <c r="D76" s="1"/>
      <c r="E76" s="1"/>
      <c r="F76" s="1"/>
      <c r="G76" s="1"/>
      <c r="H76" s="1"/>
      <c r="I76" s="13"/>
      <c r="J76" s="13"/>
      <c r="K76" s="13"/>
      <c r="L76" s="13"/>
      <c r="M76" s="13"/>
      <c r="N76" s="13"/>
      <c r="O76" s="13"/>
      <c r="P76" s="13"/>
      <c r="Q76" s="13"/>
      <c r="R76" s="13"/>
      <c r="S76" s="13"/>
      <c r="T76" s="13"/>
      <c r="U76" s="13"/>
      <c r="V76" s="13"/>
      <c r="W76" s="13"/>
      <c r="X76" s="13"/>
      <c r="Y76" s="13"/>
      <c r="Z76" s="13"/>
      <c r="AA76" s="13"/>
      <c r="AB76" s="13"/>
      <c r="AC76" s="13"/>
      <c r="AD76" s="13"/>
      <c r="AE76" s="13"/>
    </row>
    <row r="77" spans="1:31" ht="12.75" hidden="1" customHeight="1">
      <c r="A77" s="1"/>
      <c r="B77" s="13"/>
      <c r="C77" s="1"/>
      <c r="D77" s="1"/>
      <c r="E77" s="1"/>
      <c r="F77" s="1"/>
      <c r="G77" s="1"/>
      <c r="H77" s="1"/>
      <c r="I77" s="13"/>
      <c r="J77" s="13"/>
      <c r="K77" s="13"/>
      <c r="L77" s="13"/>
      <c r="M77" s="13"/>
      <c r="N77" s="13"/>
      <c r="O77" s="13"/>
      <c r="P77" s="13"/>
      <c r="Q77" s="13"/>
      <c r="R77" s="13"/>
      <c r="S77" s="13"/>
      <c r="T77" s="13"/>
      <c r="U77" s="13"/>
      <c r="V77" s="13"/>
      <c r="W77" s="13"/>
      <c r="X77" s="13"/>
      <c r="Y77" s="13"/>
      <c r="Z77" s="13"/>
      <c r="AA77" s="13"/>
      <c r="AB77" s="13"/>
      <c r="AC77" s="13"/>
      <c r="AD77" s="13"/>
      <c r="AE77" s="13"/>
    </row>
    <row r="78" spans="1:31" ht="12.75" hidden="1" customHeight="1">
      <c r="A78" s="1"/>
      <c r="B78" s="13"/>
      <c r="C78" s="1"/>
      <c r="D78" s="1"/>
      <c r="E78" s="1"/>
      <c r="F78" s="1"/>
      <c r="G78" s="1"/>
      <c r="H78" s="1"/>
      <c r="I78" s="13"/>
      <c r="J78" s="13"/>
      <c r="K78" s="13"/>
      <c r="L78" s="13"/>
      <c r="M78" s="13"/>
      <c r="N78" s="13"/>
      <c r="O78" s="13"/>
      <c r="P78" s="13"/>
      <c r="Q78" s="13"/>
      <c r="R78" s="13"/>
      <c r="S78" s="13"/>
      <c r="T78" s="13"/>
      <c r="U78" s="13"/>
      <c r="V78" s="13"/>
      <c r="W78" s="13"/>
      <c r="X78" s="13"/>
      <c r="Y78" s="13"/>
      <c r="Z78" s="13"/>
      <c r="AA78" s="13"/>
      <c r="AB78" s="13"/>
      <c r="AC78" s="13"/>
      <c r="AD78" s="13"/>
      <c r="AE78" s="13"/>
    </row>
    <row r="79" spans="1:31" ht="12.75" hidden="1" customHeight="1">
      <c r="A79" s="1"/>
      <c r="B79" s="13"/>
      <c r="C79" s="1"/>
      <c r="D79" s="1"/>
      <c r="E79" s="1"/>
      <c r="F79" s="1"/>
      <c r="G79" s="1"/>
      <c r="H79" s="1"/>
      <c r="I79" s="13"/>
      <c r="J79" s="13"/>
      <c r="K79" s="13"/>
      <c r="L79" s="13"/>
      <c r="M79" s="13"/>
      <c r="N79" s="13"/>
      <c r="O79" s="13"/>
      <c r="P79" s="13"/>
      <c r="Q79" s="13"/>
      <c r="R79" s="13"/>
      <c r="S79" s="13"/>
      <c r="T79" s="13"/>
      <c r="U79" s="13"/>
      <c r="V79" s="13"/>
      <c r="W79" s="13"/>
      <c r="X79" s="13"/>
      <c r="Y79" s="13"/>
      <c r="Z79" s="13"/>
      <c r="AA79" s="13"/>
      <c r="AB79" s="13"/>
      <c r="AC79" s="13"/>
      <c r="AD79" s="13"/>
      <c r="AE79" s="13"/>
    </row>
    <row r="80" spans="1:31" ht="12.75" hidden="1" customHeight="1">
      <c r="A80" s="1"/>
      <c r="B80" s="13"/>
      <c r="C80" s="1"/>
      <c r="D80" s="1"/>
      <c r="E80" s="1"/>
      <c r="F80" s="1"/>
      <c r="G80" s="1"/>
      <c r="H80" s="1"/>
      <c r="I80" s="13"/>
      <c r="J80" s="13"/>
      <c r="K80" s="13"/>
      <c r="L80" s="13"/>
      <c r="M80" s="13"/>
      <c r="N80" s="13"/>
      <c r="O80" s="13"/>
      <c r="P80" s="13"/>
      <c r="Q80" s="13"/>
      <c r="R80" s="13"/>
      <c r="S80" s="13"/>
      <c r="T80" s="13"/>
      <c r="U80" s="13"/>
      <c r="V80" s="13"/>
      <c r="W80" s="13"/>
      <c r="X80" s="13"/>
      <c r="Y80" s="13"/>
      <c r="Z80" s="13"/>
      <c r="AA80" s="13"/>
      <c r="AB80" s="13"/>
      <c r="AC80" s="13"/>
      <c r="AD80" s="13"/>
      <c r="AE80" s="13"/>
    </row>
    <row r="81" spans="1:31" ht="12.75" hidden="1" customHeight="1">
      <c r="A81" s="1"/>
      <c r="B81" s="13"/>
      <c r="C81" s="1"/>
      <c r="D81" s="1"/>
      <c r="E81" s="1"/>
      <c r="F81" s="1"/>
      <c r="G81" s="1"/>
      <c r="H81" s="1"/>
      <c r="I81" s="13"/>
      <c r="J81" s="13"/>
      <c r="K81" s="13"/>
      <c r="L81" s="13"/>
      <c r="M81" s="13"/>
      <c r="N81" s="13"/>
      <c r="O81" s="13"/>
      <c r="P81" s="13"/>
      <c r="Q81" s="13"/>
      <c r="R81" s="13"/>
      <c r="S81" s="13"/>
      <c r="T81" s="13"/>
      <c r="U81" s="13"/>
      <c r="V81" s="13"/>
      <c r="W81" s="13"/>
      <c r="X81" s="13"/>
      <c r="Y81" s="13"/>
      <c r="Z81" s="13"/>
      <c r="AA81" s="13"/>
      <c r="AB81" s="13"/>
      <c r="AC81" s="13"/>
      <c r="AD81" s="13"/>
      <c r="AE81" s="13"/>
    </row>
    <row r="82" spans="1:31" ht="12.75" hidden="1" customHeight="1">
      <c r="A82" s="1"/>
      <c r="B82" s="13"/>
      <c r="C82" s="1"/>
      <c r="D82" s="1"/>
      <c r="E82" s="1"/>
      <c r="F82" s="1"/>
      <c r="G82" s="1"/>
      <c r="H82" s="1"/>
      <c r="I82" s="13"/>
      <c r="J82" s="13"/>
      <c r="K82" s="13"/>
      <c r="L82" s="13"/>
      <c r="M82" s="13"/>
      <c r="N82" s="13"/>
      <c r="O82" s="13"/>
      <c r="P82" s="13"/>
      <c r="Q82" s="13"/>
      <c r="R82" s="13"/>
      <c r="S82" s="13"/>
      <c r="T82" s="13"/>
      <c r="U82" s="13"/>
      <c r="V82" s="13"/>
      <c r="W82" s="13"/>
      <c r="X82" s="13"/>
      <c r="Y82" s="13"/>
      <c r="Z82" s="13"/>
      <c r="AA82" s="13"/>
      <c r="AB82" s="13"/>
      <c r="AC82" s="13"/>
      <c r="AD82" s="13"/>
      <c r="AE82" s="13"/>
    </row>
    <row r="83" spans="1:31" ht="12.75" hidden="1" customHeight="1">
      <c r="A83" s="1"/>
      <c r="B83" s="13"/>
      <c r="C83" s="1"/>
      <c r="D83" s="1"/>
      <c r="E83" s="1"/>
      <c r="F83" s="1"/>
      <c r="G83" s="1"/>
      <c r="H83" s="1"/>
      <c r="I83" s="13"/>
      <c r="J83" s="13"/>
      <c r="K83" s="13"/>
      <c r="L83" s="13"/>
      <c r="M83" s="13"/>
      <c r="N83" s="13"/>
      <c r="O83" s="13"/>
      <c r="P83" s="13"/>
      <c r="Q83" s="13"/>
      <c r="R83" s="13"/>
      <c r="S83" s="13"/>
      <c r="T83" s="13"/>
      <c r="U83" s="13"/>
      <c r="V83" s="13"/>
      <c r="W83" s="13"/>
      <c r="X83" s="13"/>
      <c r="Y83" s="13"/>
      <c r="Z83" s="13"/>
      <c r="AA83" s="13"/>
      <c r="AB83" s="13"/>
      <c r="AC83" s="13"/>
      <c r="AD83" s="13"/>
      <c r="AE83" s="13"/>
    </row>
    <row r="84" spans="1:31" ht="12.75" hidden="1" customHeight="1">
      <c r="A84" s="1"/>
      <c r="B84" s="13"/>
      <c r="C84" s="1"/>
      <c r="D84" s="1"/>
      <c r="E84" s="1"/>
      <c r="F84" s="1"/>
      <c r="G84" s="1"/>
      <c r="H84" s="1"/>
      <c r="I84" s="13"/>
      <c r="J84" s="13"/>
      <c r="K84" s="13"/>
      <c r="L84" s="13"/>
      <c r="M84" s="13"/>
      <c r="N84" s="13"/>
      <c r="O84" s="13"/>
      <c r="P84" s="13"/>
      <c r="Q84" s="13"/>
      <c r="R84" s="13"/>
      <c r="S84" s="13"/>
      <c r="T84" s="13"/>
      <c r="U84" s="13"/>
      <c r="V84" s="13"/>
      <c r="W84" s="13"/>
      <c r="X84" s="13"/>
      <c r="Y84" s="13"/>
      <c r="Z84" s="13"/>
      <c r="AA84" s="13"/>
      <c r="AB84" s="13"/>
      <c r="AC84" s="13"/>
      <c r="AD84" s="13"/>
      <c r="AE84" s="13"/>
    </row>
    <row r="85" spans="1:31" ht="12.75" hidden="1" customHeight="1">
      <c r="A85" s="1"/>
      <c r="B85" s="13"/>
      <c r="C85" s="1"/>
      <c r="D85" s="1"/>
      <c r="E85" s="1"/>
      <c r="F85" s="1"/>
      <c r="G85" s="1"/>
      <c r="H85" s="1"/>
      <c r="I85" s="13"/>
      <c r="J85" s="13"/>
      <c r="K85" s="13"/>
      <c r="L85" s="13"/>
      <c r="M85" s="13"/>
      <c r="N85" s="13"/>
      <c r="O85" s="13"/>
      <c r="P85" s="13"/>
      <c r="Q85" s="13"/>
      <c r="R85" s="13"/>
      <c r="S85" s="13"/>
      <c r="T85" s="13"/>
      <c r="U85" s="13"/>
      <c r="V85" s="13"/>
      <c r="W85" s="13"/>
      <c r="X85" s="13"/>
      <c r="Y85" s="13"/>
      <c r="Z85" s="13"/>
      <c r="AA85" s="13"/>
      <c r="AB85" s="13"/>
      <c r="AC85" s="13"/>
      <c r="AD85" s="13"/>
      <c r="AE85" s="13"/>
    </row>
    <row r="86" spans="1:31" ht="12.75" hidden="1" customHeight="1">
      <c r="A86" s="1"/>
      <c r="B86" s="13"/>
      <c r="C86" s="1"/>
      <c r="D86" s="1"/>
      <c r="E86" s="1"/>
      <c r="F86" s="1"/>
      <c r="G86" s="1"/>
      <c r="H86" s="1"/>
      <c r="I86" s="13"/>
      <c r="J86" s="13"/>
      <c r="K86" s="13"/>
      <c r="L86" s="13"/>
      <c r="M86" s="13"/>
      <c r="N86" s="13"/>
      <c r="O86" s="13"/>
      <c r="P86" s="13"/>
      <c r="Q86" s="13"/>
      <c r="R86" s="13"/>
      <c r="S86" s="13"/>
      <c r="T86" s="13"/>
      <c r="U86" s="13"/>
      <c r="V86" s="13"/>
      <c r="W86" s="13"/>
      <c r="X86" s="13"/>
      <c r="Y86" s="13"/>
      <c r="Z86" s="13"/>
      <c r="AA86" s="13"/>
      <c r="AB86" s="13"/>
      <c r="AC86" s="13"/>
      <c r="AD86" s="13"/>
      <c r="AE86" s="13"/>
    </row>
    <row r="87" spans="1:31" ht="12.75" hidden="1" customHeight="1">
      <c r="A87" s="1"/>
      <c r="B87" s="13"/>
      <c r="C87" s="1"/>
      <c r="D87" s="1"/>
      <c r="E87" s="1"/>
      <c r="F87" s="1"/>
      <c r="G87" s="1"/>
      <c r="H87" s="1"/>
      <c r="I87" s="13"/>
      <c r="J87" s="13"/>
      <c r="K87" s="13"/>
      <c r="L87" s="13"/>
      <c r="M87" s="13"/>
      <c r="N87" s="13"/>
      <c r="O87" s="13"/>
      <c r="P87" s="13"/>
      <c r="Q87" s="13"/>
      <c r="R87" s="13"/>
      <c r="S87" s="13"/>
      <c r="T87" s="13"/>
      <c r="U87" s="13"/>
      <c r="V87" s="13"/>
      <c r="W87" s="13"/>
      <c r="X87" s="13"/>
      <c r="Y87" s="13"/>
      <c r="Z87" s="13"/>
      <c r="AA87" s="13"/>
      <c r="AB87" s="13"/>
      <c r="AC87" s="13"/>
      <c r="AD87" s="13"/>
      <c r="AE87" s="13"/>
    </row>
    <row r="88" spans="1:31" ht="12.75" hidden="1" customHeight="1">
      <c r="A88" s="1"/>
      <c r="B88" s="13"/>
      <c r="C88" s="1"/>
      <c r="D88" s="1"/>
      <c r="E88" s="1"/>
      <c r="F88" s="1"/>
      <c r="G88" s="1"/>
      <c r="H88" s="1"/>
      <c r="I88" s="13"/>
      <c r="J88" s="13"/>
      <c r="K88" s="13"/>
      <c r="L88" s="13"/>
      <c r="M88" s="13"/>
      <c r="N88" s="13"/>
      <c r="O88" s="13"/>
      <c r="P88" s="13"/>
      <c r="Q88" s="13"/>
      <c r="R88" s="13"/>
      <c r="S88" s="13"/>
      <c r="T88" s="13"/>
      <c r="U88" s="13"/>
      <c r="V88" s="13"/>
      <c r="W88" s="13"/>
      <c r="X88" s="13"/>
      <c r="Y88" s="13"/>
      <c r="Z88" s="13"/>
      <c r="AA88" s="13"/>
      <c r="AB88" s="13"/>
      <c r="AC88" s="13"/>
      <c r="AD88" s="13"/>
      <c r="AE88" s="13"/>
    </row>
    <row r="89" spans="1:31" ht="12.75" hidden="1" customHeight="1">
      <c r="A89" s="1"/>
      <c r="B89" s="13"/>
      <c r="C89" s="1"/>
      <c r="D89" s="1"/>
      <c r="E89" s="1"/>
      <c r="F89" s="1"/>
      <c r="G89" s="1"/>
      <c r="H89" s="1"/>
      <c r="I89" s="13"/>
      <c r="J89" s="13"/>
      <c r="K89" s="13"/>
      <c r="L89" s="13"/>
      <c r="M89" s="13"/>
      <c r="N89" s="13"/>
      <c r="O89" s="13"/>
      <c r="P89" s="13"/>
      <c r="Q89" s="13"/>
      <c r="R89" s="13"/>
      <c r="S89" s="13"/>
      <c r="T89" s="13"/>
      <c r="U89" s="13"/>
      <c r="V89" s="13"/>
      <c r="W89" s="13"/>
      <c r="X89" s="13"/>
      <c r="Y89" s="13"/>
      <c r="Z89" s="13"/>
      <c r="AA89" s="13"/>
      <c r="AB89" s="13"/>
      <c r="AC89" s="13"/>
      <c r="AD89" s="13"/>
      <c r="AE89" s="13"/>
    </row>
    <row r="90" spans="1:31" ht="12.75" hidden="1" customHeight="1">
      <c r="A90" s="1"/>
      <c r="B90" s="13"/>
      <c r="C90" s="1"/>
      <c r="D90" s="1"/>
      <c r="E90" s="1"/>
      <c r="F90" s="1"/>
      <c r="G90" s="1"/>
      <c r="H90" s="1"/>
      <c r="I90" s="13"/>
      <c r="J90" s="13"/>
      <c r="K90" s="13"/>
      <c r="L90" s="13"/>
      <c r="M90" s="13"/>
      <c r="N90" s="13"/>
      <c r="O90" s="13"/>
      <c r="P90" s="13"/>
      <c r="Q90" s="13"/>
      <c r="R90" s="13"/>
      <c r="S90" s="13"/>
      <c r="T90" s="13"/>
      <c r="U90" s="13"/>
      <c r="V90" s="13"/>
      <c r="W90" s="13"/>
      <c r="X90" s="13"/>
      <c r="Y90" s="13"/>
      <c r="Z90" s="13"/>
      <c r="AA90" s="13"/>
      <c r="AB90" s="13"/>
      <c r="AC90" s="13"/>
      <c r="AD90" s="13"/>
      <c r="AE90" s="13"/>
    </row>
    <row r="91" spans="1:31" ht="12.75" hidden="1" customHeight="1">
      <c r="A91" s="1"/>
      <c r="B91" s="13"/>
      <c r="C91" s="1"/>
      <c r="D91" s="1"/>
      <c r="E91" s="1"/>
      <c r="F91" s="1"/>
      <c r="G91" s="1"/>
      <c r="H91" s="1"/>
      <c r="I91" s="13"/>
      <c r="J91" s="13"/>
      <c r="K91" s="13"/>
      <c r="L91" s="13"/>
      <c r="M91" s="13"/>
      <c r="N91" s="13"/>
      <c r="O91" s="13"/>
      <c r="P91" s="13"/>
      <c r="Q91" s="13"/>
      <c r="R91" s="13"/>
      <c r="S91" s="13"/>
      <c r="T91" s="13"/>
      <c r="U91" s="13"/>
      <c r="V91" s="13"/>
      <c r="W91" s="13"/>
      <c r="X91" s="13"/>
      <c r="Y91" s="13"/>
      <c r="Z91" s="13"/>
      <c r="AA91" s="13"/>
      <c r="AB91" s="13"/>
      <c r="AC91" s="13"/>
      <c r="AD91" s="13"/>
      <c r="AE91" s="13"/>
    </row>
    <row r="92" spans="1:31" ht="12.75" hidden="1" customHeight="1">
      <c r="A92" s="1"/>
      <c r="B92" s="13"/>
      <c r="C92" s="1"/>
      <c r="D92" s="1"/>
      <c r="E92" s="1"/>
      <c r="F92" s="1"/>
      <c r="G92" s="1"/>
      <c r="H92" s="1"/>
      <c r="I92" s="13"/>
      <c r="J92" s="13"/>
      <c r="K92" s="13"/>
      <c r="L92" s="13"/>
      <c r="M92" s="13"/>
      <c r="N92" s="13"/>
      <c r="O92" s="13"/>
      <c r="P92" s="13"/>
      <c r="Q92" s="13"/>
      <c r="R92" s="13"/>
      <c r="S92" s="13"/>
      <c r="T92" s="13"/>
      <c r="U92" s="13"/>
      <c r="V92" s="13"/>
      <c r="W92" s="13"/>
      <c r="X92" s="13"/>
      <c r="Y92" s="13"/>
      <c r="Z92" s="13"/>
      <c r="AA92" s="13"/>
      <c r="AB92" s="13"/>
      <c r="AC92" s="13"/>
      <c r="AD92" s="13"/>
      <c r="AE92" s="13"/>
    </row>
    <row r="93" spans="1:31" ht="12.75" hidden="1" customHeight="1">
      <c r="A93" s="1"/>
      <c r="B93" s="13"/>
      <c r="C93" s="1"/>
      <c r="D93" s="1"/>
      <c r="E93" s="1"/>
      <c r="F93" s="1"/>
      <c r="G93" s="1"/>
      <c r="H93" s="1"/>
      <c r="I93" s="13"/>
      <c r="J93" s="13"/>
      <c r="K93" s="13"/>
      <c r="L93" s="13"/>
      <c r="M93" s="13"/>
      <c r="N93" s="13"/>
      <c r="O93" s="13"/>
      <c r="P93" s="13"/>
      <c r="Q93" s="13"/>
      <c r="R93" s="13"/>
      <c r="S93" s="13"/>
      <c r="T93" s="13"/>
      <c r="U93" s="13"/>
      <c r="V93" s="13"/>
      <c r="W93" s="13"/>
      <c r="X93" s="13"/>
      <c r="Y93" s="13"/>
      <c r="Z93" s="13"/>
      <c r="AA93" s="13"/>
      <c r="AB93" s="13"/>
      <c r="AC93" s="13"/>
      <c r="AD93" s="13"/>
      <c r="AE93" s="13"/>
    </row>
    <row r="94" spans="1:31" ht="12.75" hidden="1" customHeight="1">
      <c r="A94" s="1"/>
      <c r="B94" s="13"/>
      <c r="C94" s="1"/>
      <c r="D94" s="1"/>
      <c r="E94" s="1"/>
      <c r="F94" s="1"/>
      <c r="G94" s="1"/>
      <c r="H94" s="1"/>
      <c r="I94" s="13"/>
      <c r="J94" s="13"/>
      <c r="K94" s="13"/>
      <c r="L94" s="13"/>
      <c r="M94" s="13"/>
      <c r="N94" s="13"/>
      <c r="O94" s="13"/>
      <c r="P94" s="13"/>
      <c r="Q94" s="13"/>
      <c r="R94" s="13"/>
      <c r="S94" s="13"/>
      <c r="T94" s="13"/>
      <c r="U94" s="13"/>
      <c r="V94" s="13"/>
      <c r="W94" s="13"/>
      <c r="X94" s="13"/>
      <c r="Y94" s="13"/>
      <c r="Z94" s="13"/>
      <c r="AA94" s="13"/>
      <c r="AB94" s="13"/>
      <c r="AC94" s="13"/>
      <c r="AD94" s="13"/>
      <c r="AE94" s="13"/>
    </row>
    <row r="95" spans="1:31" ht="12.75" hidden="1" customHeight="1">
      <c r="A95" s="1"/>
      <c r="B95" s="13"/>
      <c r="C95" s="1"/>
      <c r="D95" s="1"/>
      <c r="E95" s="1"/>
      <c r="F95" s="1"/>
      <c r="G95" s="1"/>
      <c r="H95" s="1"/>
      <c r="I95" s="13"/>
      <c r="J95" s="13"/>
      <c r="K95" s="13"/>
      <c r="L95" s="13"/>
      <c r="M95" s="13"/>
      <c r="N95" s="13"/>
      <c r="O95" s="13"/>
      <c r="P95" s="13"/>
      <c r="Q95" s="13"/>
      <c r="R95" s="13"/>
      <c r="S95" s="13"/>
      <c r="T95" s="13"/>
      <c r="U95" s="13"/>
      <c r="V95" s="13"/>
      <c r="W95" s="13"/>
      <c r="X95" s="13"/>
      <c r="Y95" s="13"/>
      <c r="Z95" s="13"/>
      <c r="AA95" s="13"/>
      <c r="AB95" s="13"/>
      <c r="AC95" s="13"/>
      <c r="AD95" s="13"/>
      <c r="AE95" s="13"/>
    </row>
    <row r="96" spans="1:31" ht="12.75" hidden="1" customHeight="1">
      <c r="A96" s="1"/>
      <c r="B96" s="13"/>
      <c r="C96" s="1"/>
      <c r="D96" s="1"/>
      <c r="E96" s="1"/>
      <c r="F96" s="1"/>
      <c r="G96" s="1"/>
      <c r="H96" s="1"/>
      <c r="I96" s="13"/>
      <c r="J96" s="13"/>
      <c r="K96" s="13"/>
      <c r="L96" s="13"/>
      <c r="M96" s="13"/>
      <c r="N96" s="13"/>
      <c r="O96" s="13"/>
      <c r="P96" s="13"/>
      <c r="Q96" s="13"/>
      <c r="R96" s="13"/>
      <c r="S96" s="13"/>
      <c r="T96" s="13"/>
      <c r="U96" s="13"/>
      <c r="V96" s="13"/>
      <c r="W96" s="13"/>
      <c r="X96" s="13"/>
      <c r="Y96" s="13"/>
      <c r="Z96" s="13"/>
      <c r="AA96" s="13"/>
      <c r="AB96" s="13"/>
      <c r="AC96" s="13"/>
      <c r="AD96" s="13"/>
      <c r="AE96" s="13"/>
    </row>
    <row r="97" spans="1:31" ht="12.75" hidden="1" customHeight="1">
      <c r="A97" s="1"/>
      <c r="B97" s="13"/>
      <c r="C97" s="1"/>
      <c r="D97" s="1"/>
      <c r="E97" s="1"/>
      <c r="F97" s="1"/>
      <c r="G97" s="1"/>
      <c r="H97" s="1"/>
      <c r="I97" s="13"/>
      <c r="J97" s="13"/>
      <c r="K97" s="13"/>
      <c r="L97" s="13"/>
      <c r="M97" s="13"/>
      <c r="N97" s="13"/>
      <c r="O97" s="13"/>
      <c r="P97" s="13"/>
      <c r="Q97" s="13"/>
      <c r="R97" s="13"/>
      <c r="S97" s="13"/>
      <c r="T97" s="13"/>
      <c r="U97" s="13"/>
      <c r="V97" s="13"/>
      <c r="W97" s="13"/>
      <c r="X97" s="13"/>
      <c r="Y97" s="13"/>
      <c r="Z97" s="13"/>
      <c r="AA97" s="13"/>
      <c r="AB97" s="13"/>
      <c r="AC97" s="13"/>
      <c r="AD97" s="13"/>
      <c r="AE97" s="13"/>
    </row>
    <row r="98" spans="1:31" ht="12.75" hidden="1" customHeight="1">
      <c r="A98" s="1"/>
      <c r="B98" s="13"/>
      <c r="C98" s="1"/>
      <c r="D98" s="1"/>
      <c r="E98" s="1"/>
      <c r="F98" s="1"/>
      <c r="G98" s="1"/>
      <c r="H98" s="1"/>
      <c r="I98" s="13"/>
      <c r="J98" s="13"/>
      <c r="K98" s="13"/>
      <c r="L98" s="13"/>
      <c r="M98" s="13"/>
      <c r="N98" s="13"/>
      <c r="O98" s="13"/>
      <c r="P98" s="13"/>
      <c r="Q98" s="13"/>
      <c r="R98" s="13"/>
      <c r="S98" s="13"/>
      <c r="T98" s="13"/>
      <c r="U98" s="13"/>
      <c r="V98" s="13"/>
      <c r="W98" s="13"/>
      <c r="X98" s="13"/>
      <c r="Y98" s="13"/>
      <c r="Z98" s="13"/>
      <c r="AA98" s="13"/>
      <c r="AB98" s="13"/>
      <c r="AC98" s="13"/>
      <c r="AD98" s="13"/>
      <c r="AE98" s="13"/>
    </row>
    <row r="99" spans="1:31" ht="12.75" hidden="1" customHeight="1">
      <c r="A99" s="1"/>
      <c r="B99" s="13"/>
      <c r="C99" s="1"/>
      <c r="D99" s="1"/>
      <c r="E99" s="1"/>
      <c r="F99" s="1"/>
      <c r="G99" s="1"/>
      <c r="H99" s="1"/>
      <c r="I99" s="13"/>
      <c r="J99" s="13"/>
      <c r="K99" s="13"/>
      <c r="L99" s="13"/>
      <c r="M99" s="13"/>
      <c r="N99" s="13"/>
      <c r="O99" s="13"/>
      <c r="P99" s="13"/>
      <c r="Q99" s="13"/>
      <c r="R99" s="13"/>
      <c r="S99" s="13"/>
      <c r="T99" s="13"/>
      <c r="U99" s="13"/>
      <c r="V99" s="13"/>
      <c r="W99" s="13"/>
      <c r="X99" s="13"/>
      <c r="Y99" s="13"/>
      <c r="Z99" s="13"/>
      <c r="AA99" s="13"/>
      <c r="AB99" s="13"/>
      <c r="AC99" s="13"/>
      <c r="AD99" s="13"/>
      <c r="AE99" s="13"/>
    </row>
    <row r="100" spans="1:31" ht="12.75" hidden="1" customHeight="1">
      <c r="A100" s="1"/>
      <c r="B100" s="13"/>
      <c r="C100" s="1"/>
      <c r="D100" s="1"/>
      <c r="E100" s="1"/>
      <c r="F100" s="1"/>
      <c r="G100" s="1"/>
      <c r="H100" s="1"/>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row>
    <row r="101" spans="1:31" ht="12.75" hidden="1" customHeight="1">
      <c r="A101" s="1"/>
      <c r="B101" s="13"/>
      <c r="C101" s="1"/>
      <c r="D101" s="1"/>
      <c r="E101" s="1"/>
      <c r="F101" s="1"/>
      <c r="G101" s="1"/>
      <c r="H101" s="1"/>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row>
    <row r="102" spans="1:31" ht="12.75" hidden="1" customHeight="1">
      <c r="A102" s="1"/>
      <c r="B102" s="13"/>
      <c r="C102" s="1"/>
      <c r="D102" s="1"/>
      <c r="E102" s="1"/>
      <c r="F102" s="1"/>
      <c r="G102" s="1"/>
      <c r="H102" s="1"/>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row>
    <row r="103" spans="1:31" ht="12.75" hidden="1" customHeight="1">
      <c r="A103" s="1"/>
      <c r="B103" s="13"/>
      <c r="C103" s="1"/>
      <c r="D103" s="1"/>
      <c r="E103" s="1"/>
      <c r="F103" s="1"/>
      <c r="G103" s="1"/>
      <c r="H103" s="1"/>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row>
    <row r="104" spans="1:31" ht="12.75" hidden="1" customHeight="1">
      <c r="A104" s="1"/>
      <c r="B104" s="13"/>
      <c r="C104" s="1"/>
      <c r="D104" s="1"/>
      <c r="E104" s="1"/>
      <c r="F104" s="1"/>
      <c r="G104" s="1"/>
      <c r="H104" s="1"/>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row>
    <row r="105" spans="1:31" ht="12.75" hidden="1" customHeight="1">
      <c r="A105" s="1"/>
      <c r="B105" s="13"/>
      <c r="C105" s="1"/>
      <c r="D105" s="1"/>
      <c r="E105" s="1"/>
      <c r="F105" s="1"/>
      <c r="G105" s="1"/>
      <c r="H105" s="1"/>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row>
    <row r="106" spans="1:31" ht="12.75" hidden="1" customHeight="1">
      <c r="A106" s="1"/>
      <c r="B106" s="13"/>
      <c r="C106" s="1"/>
      <c r="D106" s="1"/>
      <c r="E106" s="1"/>
      <c r="F106" s="1"/>
      <c r="G106" s="1"/>
      <c r="H106" s="1"/>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row>
    <row r="107" spans="1:31" ht="12.75" hidden="1" customHeight="1">
      <c r="A107" s="1"/>
      <c r="B107" s="13"/>
      <c r="C107" s="1"/>
      <c r="D107" s="1"/>
      <c r="E107" s="1"/>
      <c r="F107" s="1"/>
      <c r="G107" s="1"/>
      <c r="H107" s="1"/>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row>
    <row r="108" spans="1:31" ht="12.75" hidden="1" customHeight="1">
      <c r="A108" s="1"/>
      <c r="B108" s="13"/>
      <c r="C108" s="1"/>
      <c r="D108" s="1"/>
      <c r="E108" s="1"/>
      <c r="F108" s="1"/>
      <c r="G108" s="1"/>
      <c r="H108" s="1"/>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row>
    <row r="109" spans="1:31" ht="12.75" hidden="1" customHeight="1">
      <c r="A109" s="1"/>
      <c r="B109" s="13"/>
      <c r="C109" s="1"/>
      <c r="D109" s="1"/>
      <c r="E109" s="1"/>
      <c r="F109" s="1"/>
      <c r="G109" s="1"/>
      <c r="H109" s="1"/>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row>
    <row r="110" spans="1:31" ht="12.75" hidden="1" customHeight="1">
      <c r="A110" s="1"/>
      <c r="B110" s="13"/>
      <c r="C110" s="1"/>
      <c r="D110" s="1"/>
      <c r="E110" s="1"/>
      <c r="F110" s="1"/>
      <c r="G110" s="1"/>
      <c r="H110" s="1"/>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row>
    <row r="111" spans="1:31" ht="12.75" hidden="1" customHeight="1">
      <c r="A111" s="1"/>
      <c r="B111" s="13"/>
      <c r="C111" s="1"/>
      <c r="D111" s="1"/>
      <c r="E111" s="1"/>
      <c r="F111" s="1"/>
      <c r="G111" s="1"/>
      <c r="H111" s="1"/>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row>
    <row r="112" spans="1:31" ht="12.75" hidden="1" customHeight="1">
      <c r="A112" s="1"/>
      <c r="B112" s="13"/>
      <c r="C112" s="1"/>
      <c r="D112" s="1"/>
      <c r="E112" s="1"/>
      <c r="F112" s="1"/>
      <c r="G112" s="1"/>
      <c r="H112" s="1"/>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row>
    <row r="113" spans="1:31" ht="12.75" hidden="1" customHeight="1">
      <c r="A113" s="1"/>
      <c r="B113" s="13"/>
      <c r="C113" s="1"/>
      <c r="D113" s="1"/>
      <c r="E113" s="1"/>
      <c r="F113" s="1"/>
      <c r="G113" s="1"/>
      <c r="H113" s="1"/>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row>
    <row r="114" spans="1:31" ht="12.75" hidden="1" customHeight="1">
      <c r="A114" s="1"/>
      <c r="B114" s="13"/>
      <c r="C114" s="1"/>
      <c r="D114" s="1"/>
      <c r="E114" s="1"/>
      <c r="F114" s="1"/>
      <c r="G114" s="1"/>
      <c r="H114" s="1"/>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row>
    <row r="115" spans="1:31" ht="12.75" hidden="1" customHeight="1">
      <c r="A115" s="1"/>
      <c r="B115" s="13"/>
      <c r="C115" s="1"/>
      <c r="D115" s="1"/>
      <c r="E115" s="1"/>
      <c r="F115" s="1"/>
      <c r="G115" s="1"/>
      <c r="H115" s="1"/>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row>
    <row r="116" spans="1:31" ht="12.75" hidden="1" customHeight="1">
      <c r="A116" s="1"/>
      <c r="B116" s="13"/>
      <c r="C116" s="1"/>
      <c r="D116" s="1"/>
      <c r="E116" s="1"/>
      <c r="F116" s="1"/>
      <c r="G116" s="1"/>
      <c r="H116" s="1"/>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row>
    <row r="117" spans="1:31" ht="12.75" hidden="1" customHeight="1">
      <c r="A117" s="1"/>
      <c r="B117" s="13"/>
      <c r="C117" s="1"/>
      <c r="D117" s="1"/>
      <c r="E117" s="1"/>
      <c r="F117" s="1"/>
      <c r="G117" s="1"/>
      <c r="H117" s="1"/>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row>
    <row r="118" spans="1:31" ht="12.75" hidden="1" customHeight="1">
      <c r="A118" s="1"/>
      <c r="B118" s="13"/>
      <c r="C118" s="1"/>
      <c r="D118" s="1"/>
      <c r="E118" s="1"/>
      <c r="F118" s="1"/>
      <c r="G118" s="1"/>
      <c r="H118" s="1"/>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row>
    <row r="119" spans="1:31" ht="12.75" hidden="1" customHeight="1">
      <c r="A119" s="1"/>
      <c r="B119" s="13"/>
      <c r="C119" s="1"/>
      <c r="D119" s="1"/>
      <c r="E119" s="1"/>
      <c r="F119" s="1"/>
      <c r="G119" s="1"/>
      <c r="H119" s="1"/>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row>
    <row r="120" spans="1:31" ht="12.75" hidden="1" customHeight="1">
      <c r="A120" s="1"/>
      <c r="B120" s="13"/>
      <c r="C120" s="1"/>
      <c r="D120" s="1"/>
      <c r="E120" s="1"/>
      <c r="F120" s="1"/>
      <c r="G120" s="1"/>
      <c r="H120" s="1"/>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row>
    <row r="121" spans="1:31" ht="12.75" hidden="1" customHeight="1">
      <c r="A121" s="1"/>
      <c r="B121" s="13"/>
      <c r="C121" s="1"/>
      <c r="D121" s="1"/>
      <c r="E121" s="1"/>
      <c r="F121" s="1"/>
      <c r="G121" s="1"/>
      <c r="H121" s="1"/>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row>
    <row r="122" spans="1:31" ht="12.75" hidden="1" customHeight="1">
      <c r="A122" s="1"/>
      <c r="B122" s="13"/>
      <c r="C122" s="1"/>
      <c r="D122" s="1"/>
      <c r="E122" s="1"/>
      <c r="F122" s="1"/>
      <c r="G122" s="1"/>
      <c r="H122" s="1"/>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row>
    <row r="123" spans="1:31" ht="12.75" hidden="1" customHeight="1">
      <c r="A123" s="1"/>
      <c r="B123" s="13"/>
      <c r="C123" s="1"/>
      <c r="D123" s="1"/>
      <c r="E123" s="1"/>
      <c r="F123" s="1"/>
      <c r="G123" s="1"/>
      <c r="H123" s="1"/>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row>
    <row r="124" spans="1:31" ht="12.75" hidden="1" customHeight="1">
      <c r="A124" s="1"/>
      <c r="B124" s="13"/>
      <c r="C124" s="1"/>
      <c r="D124" s="1"/>
      <c r="E124" s="1"/>
      <c r="F124" s="1"/>
      <c r="G124" s="1"/>
      <c r="H124" s="1"/>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row>
    <row r="125" spans="1:31" ht="12.75" hidden="1" customHeight="1">
      <c r="A125" s="1"/>
      <c r="B125" s="13"/>
      <c r="C125" s="1"/>
      <c r="D125" s="1"/>
      <c r="E125" s="1"/>
      <c r="F125" s="1"/>
      <c r="G125" s="1"/>
      <c r="H125" s="1"/>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row>
    <row r="126" spans="1:31" ht="12.75" hidden="1" customHeight="1">
      <c r="A126" s="1"/>
      <c r="B126" s="13"/>
      <c r="C126" s="1"/>
      <c r="D126" s="1"/>
      <c r="E126" s="1"/>
      <c r="F126" s="1"/>
      <c r="G126" s="1"/>
      <c r="H126" s="1"/>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row>
    <row r="127" spans="1:31" ht="12.75" hidden="1" customHeight="1">
      <c r="A127" s="1"/>
      <c r="B127" s="13"/>
      <c r="C127" s="1"/>
      <c r="D127" s="1"/>
      <c r="E127" s="1"/>
      <c r="F127" s="1"/>
      <c r="G127" s="1"/>
      <c r="H127" s="1"/>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row>
    <row r="128" spans="1:31" ht="12.75" hidden="1" customHeight="1">
      <c r="A128" s="1"/>
      <c r="B128" s="13"/>
      <c r="C128" s="1"/>
      <c r="D128" s="1"/>
      <c r="E128" s="1"/>
      <c r="F128" s="1"/>
      <c r="G128" s="1"/>
      <c r="H128" s="1"/>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row>
    <row r="129" spans="1:31" ht="12.75" hidden="1" customHeight="1">
      <c r="A129" s="1"/>
      <c r="B129" s="13"/>
      <c r="C129" s="1"/>
      <c r="D129" s="1"/>
      <c r="E129" s="1"/>
      <c r="F129" s="1"/>
      <c r="G129" s="1"/>
      <c r="H129" s="1"/>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row>
    <row r="130" spans="1:31" ht="12.75" hidden="1" customHeight="1">
      <c r="A130" s="1"/>
      <c r="B130" s="13"/>
      <c r="C130" s="1"/>
      <c r="D130" s="1"/>
      <c r="E130" s="1"/>
      <c r="F130" s="1"/>
      <c r="G130" s="1"/>
      <c r="H130" s="1"/>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row>
    <row r="131" spans="1:31" ht="12.75" hidden="1" customHeight="1">
      <c r="A131" s="1"/>
      <c r="B131" s="13"/>
      <c r="C131" s="1"/>
      <c r="D131" s="1"/>
      <c r="E131" s="1"/>
      <c r="F131" s="1"/>
      <c r="G131" s="1"/>
      <c r="H131" s="1"/>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row>
    <row r="132" spans="1:31" ht="12.75" hidden="1" customHeight="1">
      <c r="A132" s="1"/>
      <c r="B132" s="13"/>
      <c r="C132" s="1"/>
      <c r="D132" s="1"/>
      <c r="E132" s="1"/>
      <c r="F132" s="1"/>
      <c r="G132" s="1"/>
      <c r="H132" s="1"/>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row>
    <row r="133" spans="1:31" ht="12.75" hidden="1" customHeight="1">
      <c r="A133" s="1"/>
      <c r="B133" s="13"/>
      <c r="C133" s="1"/>
      <c r="D133" s="1"/>
      <c r="E133" s="1"/>
      <c r="F133" s="1"/>
      <c r="G133" s="1"/>
      <c r="H133" s="1"/>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row>
    <row r="134" spans="1:31" ht="12.75" hidden="1" customHeight="1">
      <c r="A134" s="1"/>
      <c r="B134" s="13"/>
      <c r="C134" s="1"/>
      <c r="D134" s="1"/>
      <c r="E134" s="1"/>
      <c r="F134" s="1"/>
      <c r="G134" s="1"/>
      <c r="H134" s="1"/>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row>
    <row r="135" spans="1:31" ht="12.75" hidden="1" customHeight="1">
      <c r="A135" s="1"/>
      <c r="B135" s="13"/>
      <c r="C135" s="1"/>
      <c r="D135" s="1"/>
      <c r="E135" s="1"/>
      <c r="F135" s="1"/>
      <c r="G135" s="1"/>
      <c r="H135" s="1"/>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row>
    <row r="136" spans="1:31" ht="12.75" hidden="1" customHeight="1">
      <c r="A136" s="1"/>
      <c r="B136" s="13"/>
      <c r="C136" s="1"/>
      <c r="D136" s="1"/>
      <c r="E136" s="1"/>
      <c r="F136" s="1"/>
      <c r="G136" s="1"/>
      <c r="H136" s="1"/>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row>
    <row r="137" spans="1:31" ht="12.75" hidden="1" customHeight="1">
      <c r="A137" s="1"/>
      <c r="B137" s="13"/>
      <c r="C137" s="1"/>
      <c r="D137" s="1"/>
      <c r="E137" s="1"/>
      <c r="F137" s="1"/>
      <c r="G137" s="1"/>
      <c r="H137" s="1"/>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row>
    <row r="138" spans="1:31" ht="12.75" hidden="1" customHeight="1">
      <c r="A138" s="1"/>
      <c r="B138" s="13"/>
      <c r="C138" s="1"/>
      <c r="D138" s="1"/>
      <c r="E138" s="1"/>
      <c r="F138" s="1"/>
      <c r="G138" s="1"/>
      <c r="H138" s="1"/>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row>
    <row r="139" spans="1:31" ht="12.75" hidden="1" customHeight="1">
      <c r="A139" s="1"/>
      <c r="B139" s="13"/>
      <c r="C139" s="1"/>
      <c r="D139" s="1"/>
      <c r="E139" s="1"/>
      <c r="F139" s="1"/>
      <c r="G139" s="1"/>
      <c r="H139" s="1"/>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row>
    <row r="140" spans="1:31" ht="12.75" hidden="1" customHeight="1">
      <c r="A140" s="1"/>
      <c r="B140" s="13"/>
      <c r="C140" s="1"/>
      <c r="D140" s="1"/>
      <c r="E140" s="1"/>
      <c r="F140" s="1"/>
      <c r="G140" s="1"/>
      <c r="H140" s="1"/>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row>
    <row r="141" spans="1:31" ht="12.75" hidden="1" customHeight="1">
      <c r="A141" s="1"/>
      <c r="B141" s="13"/>
      <c r="C141" s="1"/>
      <c r="D141" s="1"/>
      <c r="E141" s="1"/>
      <c r="F141" s="1"/>
      <c r="G141" s="1"/>
      <c r="H141" s="1"/>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row>
    <row r="142" spans="1:31" ht="12.75" hidden="1" customHeight="1">
      <c r="A142" s="1"/>
      <c r="B142" s="13"/>
      <c r="C142" s="1"/>
      <c r="D142" s="1"/>
      <c r="E142" s="1"/>
      <c r="F142" s="1"/>
      <c r="G142" s="1"/>
      <c r="H142" s="1"/>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row>
    <row r="143" spans="1:31" ht="12.75" hidden="1" customHeight="1">
      <c r="A143" s="1"/>
      <c r="B143" s="13"/>
      <c r="C143" s="1"/>
      <c r="D143" s="1"/>
      <c r="E143" s="1"/>
      <c r="F143" s="1"/>
      <c r="G143" s="1"/>
      <c r="H143" s="1"/>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row>
    <row r="144" spans="1:31" ht="12.75" hidden="1" customHeight="1">
      <c r="A144" s="1"/>
      <c r="B144" s="13"/>
      <c r="C144" s="1"/>
      <c r="D144" s="1"/>
      <c r="E144" s="1"/>
      <c r="F144" s="1"/>
      <c r="G144" s="1"/>
      <c r="H144" s="1"/>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row>
    <row r="145" spans="1:31" ht="12.75" hidden="1" customHeight="1">
      <c r="A145" s="1"/>
      <c r="B145" s="13"/>
      <c r="C145" s="1"/>
      <c r="D145" s="1"/>
      <c r="E145" s="1"/>
      <c r="F145" s="1"/>
      <c r="G145" s="1"/>
      <c r="H145" s="1"/>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row>
    <row r="146" spans="1:31" ht="12.75" hidden="1" customHeight="1">
      <c r="A146" s="1"/>
      <c r="B146" s="13"/>
      <c r="C146" s="1"/>
      <c r="D146" s="1"/>
      <c r="E146" s="1"/>
      <c r="F146" s="1"/>
      <c r="G146" s="1"/>
      <c r="H146" s="1"/>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row>
    <row r="147" spans="1:31" ht="12.75" hidden="1" customHeight="1">
      <c r="A147" s="1"/>
      <c r="B147" s="13"/>
      <c r="C147" s="1"/>
      <c r="D147" s="1"/>
      <c r="E147" s="1"/>
      <c r="F147" s="1"/>
      <c r="G147" s="1"/>
      <c r="H147" s="1"/>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row>
    <row r="148" spans="1:31" ht="12.75" hidden="1" customHeight="1">
      <c r="A148" s="1"/>
      <c r="B148" s="13"/>
      <c r="C148" s="1"/>
      <c r="D148" s="1"/>
      <c r="E148" s="1"/>
      <c r="F148" s="1"/>
      <c r="G148" s="1"/>
      <c r="H148" s="1"/>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row>
    <row r="149" spans="1:31" ht="12.75" hidden="1" customHeight="1">
      <c r="A149" s="1"/>
      <c r="B149" s="13"/>
      <c r="C149" s="1"/>
      <c r="D149" s="1"/>
      <c r="E149" s="1"/>
      <c r="F149" s="1"/>
      <c r="G149" s="1"/>
      <c r="H149" s="1"/>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row>
    <row r="150" spans="1:31" ht="12.75" hidden="1" customHeight="1">
      <c r="A150" s="1"/>
      <c r="B150" s="13"/>
      <c r="C150" s="1"/>
      <c r="D150" s="1"/>
      <c r="E150" s="1"/>
      <c r="F150" s="1"/>
      <c r="G150" s="1"/>
      <c r="H150" s="1"/>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row>
    <row r="151" spans="1:31" ht="12.75" hidden="1" customHeight="1">
      <c r="A151" s="1"/>
      <c r="B151" s="13"/>
      <c r="C151" s="1"/>
      <c r="D151" s="1"/>
      <c r="E151" s="1"/>
      <c r="F151" s="1"/>
      <c r="G151" s="1"/>
      <c r="H151" s="1"/>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row>
    <row r="152" spans="1:31" ht="12.75" hidden="1" customHeight="1">
      <c r="A152" s="1"/>
      <c r="B152" s="13"/>
      <c r="C152" s="1"/>
      <c r="D152" s="1"/>
      <c r="E152" s="1"/>
      <c r="F152" s="1"/>
      <c r="G152" s="1"/>
      <c r="H152" s="1"/>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row>
    <row r="153" spans="1:31" ht="12.75" hidden="1" customHeight="1">
      <c r="A153" s="1"/>
      <c r="B153" s="13"/>
      <c r="C153" s="1"/>
      <c r="D153" s="1"/>
      <c r="E153" s="1"/>
      <c r="F153" s="1"/>
      <c r="G153" s="1"/>
      <c r="H153" s="1"/>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row>
    <row r="154" spans="1:31" ht="12.75" hidden="1" customHeight="1">
      <c r="A154" s="1"/>
      <c r="B154" s="13"/>
      <c r="C154" s="1"/>
      <c r="D154" s="1"/>
      <c r="E154" s="1"/>
      <c r="F154" s="1"/>
      <c r="G154" s="1"/>
      <c r="H154" s="1"/>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row>
    <row r="155" spans="1:31" ht="12.75" hidden="1" customHeight="1">
      <c r="A155" s="1"/>
      <c r="B155" s="13"/>
      <c r="C155" s="1"/>
      <c r="D155" s="1"/>
      <c r="E155" s="1"/>
      <c r="F155" s="1"/>
      <c r="G155" s="1"/>
      <c r="H155" s="1"/>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row>
    <row r="156" spans="1:31" ht="12.75" hidden="1" customHeight="1">
      <c r="A156" s="1"/>
      <c r="B156" s="13"/>
      <c r="C156" s="1"/>
      <c r="D156" s="1"/>
      <c r="E156" s="1"/>
      <c r="F156" s="1"/>
      <c r="G156" s="1"/>
      <c r="H156" s="1"/>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row>
    <row r="157" spans="1:31" ht="12.75" hidden="1" customHeight="1">
      <c r="A157" s="1"/>
      <c r="B157" s="13"/>
      <c r="C157" s="1"/>
      <c r="D157" s="1"/>
      <c r="E157" s="1"/>
      <c r="F157" s="1"/>
      <c r="G157" s="1"/>
      <c r="H157" s="1"/>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row>
    <row r="158" spans="1:31" ht="12.75" hidden="1" customHeight="1">
      <c r="A158" s="1"/>
      <c r="B158" s="13"/>
      <c r="C158" s="1"/>
      <c r="D158" s="1"/>
      <c r="E158" s="1"/>
      <c r="F158" s="1"/>
      <c r="G158" s="1"/>
      <c r="H158" s="1"/>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row>
    <row r="159" spans="1:31" ht="12.75" hidden="1" customHeight="1">
      <c r="A159" s="1"/>
      <c r="B159" s="13"/>
      <c r="C159" s="1"/>
      <c r="D159" s="1"/>
      <c r="E159" s="1"/>
      <c r="F159" s="1"/>
      <c r="G159" s="1"/>
      <c r="H159" s="1"/>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row>
    <row r="160" spans="1:31" ht="12.75" hidden="1" customHeight="1">
      <c r="A160" s="1"/>
      <c r="B160" s="13"/>
      <c r="C160" s="1"/>
      <c r="D160" s="1"/>
      <c r="E160" s="1"/>
      <c r="F160" s="1"/>
      <c r="G160" s="1"/>
      <c r="H160" s="1"/>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row>
    <row r="161" spans="1:31" ht="12.75" hidden="1" customHeight="1">
      <c r="A161" s="1"/>
      <c r="B161" s="13"/>
      <c r="C161" s="1"/>
      <c r="D161" s="1"/>
      <c r="E161" s="1"/>
      <c r="F161" s="1"/>
      <c r="G161" s="1"/>
      <c r="H161" s="1"/>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row>
    <row r="162" spans="1:31" ht="12.75" hidden="1" customHeight="1">
      <c r="A162" s="1"/>
      <c r="B162" s="13"/>
      <c r="C162" s="1"/>
      <c r="D162" s="1"/>
      <c r="E162" s="1"/>
      <c r="F162" s="1"/>
      <c r="G162" s="1"/>
      <c r="H162" s="1"/>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row>
    <row r="163" spans="1:31" ht="12.75" hidden="1" customHeight="1">
      <c r="A163" s="1"/>
      <c r="B163" s="13"/>
      <c r="C163" s="1"/>
      <c r="D163" s="1"/>
      <c r="E163" s="1"/>
      <c r="F163" s="1"/>
      <c r="G163" s="1"/>
      <c r="H163" s="1"/>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row>
    <row r="164" spans="1:31" ht="12.75" hidden="1" customHeight="1">
      <c r="A164" s="1"/>
      <c r="B164" s="13"/>
      <c r="C164" s="1"/>
      <c r="D164" s="1"/>
      <c r="E164" s="1"/>
      <c r="F164" s="1"/>
      <c r="G164" s="1"/>
      <c r="H164" s="1"/>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row>
    <row r="165" spans="1:31" ht="12.75" hidden="1" customHeight="1">
      <c r="A165" s="1"/>
      <c r="B165" s="13"/>
      <c r="C165" s="1"/>
      <c r="D165" s="1"/>
      <c r="E165" s="1"/>
      <c r="F165" s="1"/>
      <c r="G165" s="1"/>
      <c r="H165" s="1"/>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row>
    <row r="166" spans="1:31" ht="12.75" hidden="1" customHeight="1">
      <c r="A166" s="1"/>
      <c r="B166" s="13"/>
      <c r="C166" s="1"/>
      <c r="D166" s="1"/>
      <c r="E166" s="1"/>
      <c r="F166" s="1"/>
      <c r="G166" s="1"/>
      <c r="H166" s="1"/>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row>
    <row r="167" spans="1:31" ht="12.75" hidden="1" customHeight="1">
      <c r="A167" s="1"/>
      <c r="B167" s="13"/>
      <c r="C167" s="1"/>
      <c r="D167" s="1"/>
      <c r="E167" s="1"/>
      <c r="F167" s="1"/>
      <c r="G167" s="1"/>
      <c r="H167" s="1"/>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row>
    <row r="168" spans="1:31" ht="12.75" hidden="1" customHeight="1">
      <c r="A168" s="1"/>
      <c r="B168" s="13"/>
      <c r="C168" s="1"/>
      <c r="D168" s="1"/>
      <c r="E168" s="1"/>
      <c r="F168" s="1"/>
      <c r="G168" s="1"/>
      <c r="H168" s="1"/>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row>
    <row r="169" spans="1:31" ht="12.75" hidden="1" customHeight="1">
      <c r="A169" s="1"/>
      <c r="B169" s="13"/>
      <c r="C169" s="1"/>
      <c r="D169" s="1"/>
      <c r="E169" s="1"/>
      <c r="F169" s="1"/>
      <c r="G169" s="1"/>
      <c r="H169" s="1"/>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row>
    <row r="170" spans="1:31" ht="12.75" hidden="1" customHeight="1">
      <c r="A170" s="1"/>
      <c r="B170" s="13"/>
      <c r="C170" s="1"/>
      <c r="D170" s="1"/>
      <c r="E170" s="1"/>
      <c r="F170" s="1"/>
      <c r="G170" s="1"/>
      <c r="H170" s="1"/>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row>
    <row r="171" spans="1:31" ht="12.75" hidden="1" customHeight="1">
      <c r="A171" s="1"/>
      <c r="B171" s="13"/>
      <c r="C171" s="1"/>
      <c r="D171" s="1"/>
      <c r="E171" s="1"/>
      <c r="F171" s="1"/>
      <c r="G171" s="1"/>
      <c r="H171" s="1"/>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row>
    <row r="172" spans="1:31" ht="12.75" hidden="1" customHeight="1">
      <c r="A172" s="1"/>
      <c r="B172" s="13"/>
      <c r="C172" s="1"/>
      <c r="D172" s="1"/>
      <c r="E172" s="1"/>
      <c r="F172" s="1"/>
      <c r="G172" s="1"/>
      <c r="H172" s="1"/>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row>
    <row r="173" spans="1:31" ht="12.75" hidden="1" customHeight="1">
      <c r="A173" s="1"/>
      <c r="B173" s="13"/>
      <c r="C173" s="1"/>
      <c r="D173" s="1"/>
      <c r="E173" s="1"/>
      <c r="F173" s="1"/>
      <c r="G173" s="1"/>
      <c r="H173" s="1"/>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row>
    <row r="174" spans="1:31" ht="12.75" hidden="1" customHeight="1">
      <c r="A174" s="1"/>
      <c r="B174" s="13"/>
      <c r="C174" s="1"/>
      <c r="D174" s="1"/>
      <c r="E174" s="1"/>
      <c r="F174" s="1"/>
      <c r="G174" s="1"/>
      <c r="H174" s="1"/>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row>
    <row r="175" spans="1:31" ht="12.75" hidden="1" customHeight="1">
      <c r="A175" s="1"/>
      <c r="B175" s="13"/>
      <c r="C175" s="1"/>
      <c r="D175" s="1"/>
      <c r="E175" s="1"/>
      <c r="F175" s="1"/>
      <c r="G175" s="1"/>
      <c r="H175" s="1"/>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row>
    <row r="176" spans="1:31" ht="12.75" hidden="1" customHeight="1">
      <c r="A176" s="1"/>
      <c r="B176" s="13"/>
      <c r="C176" s="1"/>
      <c r="D176" s="1"/>
      <c r="E176" s="1"/>
      <c r="F176" s="1"/>
      <c r="G176" s="1"/>
      <c r="H176" s="1"/>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row>
    <row r="177" spans="1:31" ht="12.75" hidden="1" customHeight="1">
      <c r="A177" s="1"/>
      <c r="B177" s="13"/>
      <c r="C177" s="1"/>
      <c r="D177" s="1"/>
      <c r="E177" s="1"/>
      <c r="F177" s="1"/>
      <c r="G177" s="1"/>
      <c r="H177" s="1"/>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row>
    <row r="178" spans="1:31" ht="12.75" hidden="1" customHeight="1">
      <c r="A178" s="1"/>
      <c r="B178" s="13"/>
      <c r="C178" s="1"/>
      <c r="D178" s="1"/>
      <c r="E178" s="1"/>
      <c r="F178" s="1"/>
      <c r="G178" s="1"/>
      <c r="H178" s="1"/>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row>
    <row r="179" spans="1:31" ht="12.75" hidden="1" customHeight="1">
      <c r="A179" s="1"/>
      <c r="B179" s="13"/>
      <c r="C179" s="1"/>
      <c r="D179" s="1"/>
      <c r="E179" s="1"/>
      <c r="F179" s="1"/>
      <c r="G179" s="1"/>
      <c r="H179" s="1"/>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row>
    <row r="180" spans="1:31" ht="12.75" hidden="1" customHeight="1">
      <c r="A180" s="1"/>
      <c r="B180" s="13"/>
      <c r="C180" s="1"/>
      <c r="D180" s="1"/>
      <c r="E180" s="1"/>
      <c r="F180" s="1"/>
      <c r="G180" s="1"/>
      <c r="H180" s="1"/>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row>
    <row r="181" spans="1:31" ht="12.75" hidden="1" customHeight="1">
      <c r="A181" s="1"/>
      <c r="B181" s="13"/>
      <c r="C181" s="1"/>
      <c r="D181" s="1"/>
      <c r="E181" s="1"/>
      <c r="F181" s="1"/>
      <c r="G181" s="1"/>
      <c r="H181" s="1"/>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row>
    <row r="182" spans="1:31" ht="12.75" hidden="1" customHeight="1">
      <c r="A182" s="1"/>
      <c r="B182" s="13"/>
      <c r="C182" s="1"/>
      <c r="D182" s="1"/>
      <c r="E182" s="1"/>
      <c r="F182" s="1"/>
      <c r="G182" s="1"/>
      <c r="H182" s="1"/>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row>
    <row r="183" spans="1:31" ht="12.75" hidden="1" customHeight="1">
      <c r="A183" s="1"/>
      <c r="B183" s="13"/>
      <c r="C183" s="1"/>
      <c r="D183" s="1"/>
      <c r="E183" s="1"/>
      <c r="F183" s="1"/>
      <c r="G183" s="1"/>
      <c r="H183" s="1"/>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row>
    <row r="184" spans="1:31" ht="12.75" hidden="1" customHeight="1">
      <c r="A184" s="1"/>
      <c r="B184" s="13"/>
      <c r="C184" s="1"/>
      <c r="D184" s="1"/>
      <c r="E184" s="1"/>
      <c r="F184" s="1"/>
      <c r="G184" s="1"/>
      <c r="H184" s="1"/>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row>
    <row r="185" spans="1:31" ht="12.75" hidden="1" customHeight="1">
      <c r="A185" s="1"/>
      <c r="B185" s="13"/>
      <c r="C185" s="1"/>
      <c r="D185" s="1"/>
      <c r="E185" s="1"/>
      <c r="F185" s="1"/>
      <c r="G185" s="1"/>
      <c r="H185" s="1"/>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row>
    <row r="186" spans="1:31" ht="12.75" hidden="1" customHeight="1">
      <c r="A186" s="1"/>
      <c r="B186" s="13"/>
      <c r="C186" s="1"/>
      <c r="D186" s="1"/>
      <c r="E186" s="1"/>
      <c r="F186" s="1"/>
      <c r="G186" s="1"/>
      <c r="H186" s="1"/>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row>
    <row r="187" spans="1:31" ht="12.75" hidden="1" customHeight="1">
      <c r="A187" s="1"/>
      <c r="B187" s="13"/>
      <c r="C187" s="1"/>
      <c r="D187" s="1"/>
      <c r="E187" s="1"/>
      <c r="F187" s="1"/>
      <c r="G187" s="1"/>
      <c r="H187" s="1"/>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row>
    <row r="188" spans="1:31" ht="12.75" hidden="1" customHeight="1">
      <c r="A188" s="1"/>
      <c r="B188" s="13"/>
      <c r="C188" s="1"/>
      <c r="D188" s="1"/>
      <c r="E188" s="1"/>
      <c r="F188" s="1"/>
      <c r="G188" s="1"/>
      <c r="H188" s="1"/>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row>
    <row r="189" spans="1:31" ht="12.75" hidden="1" customHeight="1">
      <c r="A189" s="1"/>
      <c r="B189" s="13"/>
      <c r="C189" s="1"/>
      <c r="D189" s="1"/>
      <c r="E189" s="1"/>
      <c r="F189" s="1"/>
      <c r="G189" s="1"/>
      <c r="H189" s="1"/>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row>
    <row r="190" spans="1:31" ht="12.75" hidden="1" customHeight="1">
      <c r="A190" s="1"/>
      <c r="B190" s="13"/>
      <c r="C190" s="1"/>
      <c r="D190" s="1"/>
      <c r="E190" s="1"/>
      <c r="F190" s="1"/>
      <c r="G190" s="1"/>
      <c r="H190" s="1"/>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row>
    <row r="191" spans="1:31" ht="12.75" hidden="1" customHeight="1">
      <c r="A191" s="1"/>
      <c r="B191" s="13"/>
      <c r="C191" s="1"/>
      <c r="D191" s="1"/>
      <c r="E191" s="1"/>
      <c r="F191" s="1"/>
      <c r="G191" s="1"/>
      <c r="H191" s="1"/>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row>
    <row r="192" spans="1:31" ht="12.75" hidden="1" customHeight="1">
      <c r="A192" s="1"/>
      <c r="B192" s="13"/>
      <c r="C192" s="1"/>
      <c r="D192" s="1"/>
      <c r="E192" s="1"/>
      <c r="F192" s="1"/>
      <c r="G192" s="1"/>
      <c r="H192" s="1"/>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row>
    <row r="193" spans="1:31" ht="12.75" hidden="1" customHeight="1">
      <c r="A193" s="1"/>
      <c r="B193" s="13"/>
      <c r="C193" s="1"/>
      <c r="D193" s="1"/>
      <c r="E193" s="1"/>
      <c r="F193" s="1"/>
      <c r="G193" s="1"/>
      <c r="H193" s="1"/>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row>
    <row r="194" spans="1:31" ht="12.75" hidden="1" customHeight="1">
      <c r="A194" s="1"/>
      <c r="B194" s="13"/>
      <c r="C194" s="1"/>
      <c r="D194" s="1"/>
      <c r="E194" s="1"/>
      <c r="F194" s="1"/>
      <c r="G194" s="1"/>
      <c r="H194" s="1"/>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row>
    <row r="195" spans="1:31" ht="12.75" hidden="1" customHeight="1">
      <c r="A195" s="1"/>
      <c r="B195" s="13"/>
      <c r="C195" s="1"/>
      <c r="D195" s="1"/>
      <c r="E195" s="1"/>
      <c r="F195" s="1"/>
      <c r="G195" s="1"/>
      <c r="H195" s="1"/>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row>
    <row r="196" spans="1:31" ht="12.75" hidden="1" customHeight="1">
      <c r="A196" s="1"/>
      <c r="B196" s="13"/>
      <c r="C196" s="1"/>
      <c r="D196" s="1"/>
      <c r="E196" s="1"/>
      <c r="F196" s="1"/>
      <c r="G196" s="1"/>
      <c r="H196" s="1"/>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row>
    <row r="197" spans="1:31" ht="12.75" hidden="1" customHeight="1">
      <c r="A197" s="1"/>
      <c r="B197" s="13"/>
      <c r="C197" s="1"/>
      <c r="D197" s="1"/>
      <c r="E197" s="1"/>
      <c r="F197" s="1"/>
      <c r="G197" s="1"/>
      <c r="H197" s="1"/>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row>
    <row r="198" spans="1:31" ht="12.75" hidden="1" customHeight="1">
      <c r="A198" s="1"/>
      <c r="B198" s="13"/>
      <c r="C198" s="1"/>
      <c r="D198" s="1"/>
      <c r="E198" s="1"/>
      <c r="F198" s="1"/>
      <c r="G198" s="1"/>
      <c r="H198" s="1"/>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row>
    <row r="199" spans="1:31" ht="12.75" hidden="1" customHeight="1">
      <c r="A199" s="1"/>
      <c r="B199" s="13"/>
      <c r="C199" s="1"/>
      <c r="D199" s="1"/>
      <c r="E199" s="1"/>
      <c r="F199" s="1"/>
      <c r="G199" s="1"/>
      <c r="H199" s="1"/>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row>
    <row r="200" spans="1:31" ht="12.75" hidden="1" customHeight="1">
      <c r="A200" s="1"/>
      <c r="B200" s="13"/>
      <c r="C200" s="1"/>
      <c r="D200" s="1"/>
      <c r="E200" s="1"/>
      <c r="F200" s="1"/>
      <c r="G200" s="1"/>
      <c r="H200" s="1"/>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row>
    <row r="201" spans="1:31" ht="12.75" hidden="1" customHeight="1">
      <c r="A201" s="1"/>
      <c r="B201" s="13"/>
      <c r="C201" s="1"/>
      <c r="D201" s="1"/>
      <c r="E201" s="1"/>
      <c r="F201" s="1"/>
      <c r="G201" s="1"/>
      <c r="H201" s="1"/>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row>
    <row r="202" spans="1:31" ht="12.75" hidden="1" customHeight="1">
      <c r="A202" s="1"/>
      <c r="B202" s="13"/>
      <c r="C202" s="1"/>
      <c r="D202" s="1"/>
      <c r="E202" s="1"/>
      <c r="F202" s="1"/>
      <c r="G202" s="1"/>
      <c r="H202" s="1"/>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row>
    <row r="203" spans="1:31" ht="12.75" hidden="1" customHeight="1">
      <c r="A203" s="1"/>
      <c r="B203" s="13"/>
      <c r="C203" s="1"/>
      <c r="D203" s="1"/>
      <c r="E203" s="1"/>
      <c r="F203" s="1"/>
      <c r="G203" s="1"/>
      <c r="H203" s="1"/>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row>
    <row r="204" spans="1:31" ht="12.75" hidden="1" customHeight="1">
      <c r="A204" s="1"/>
      <c r="B204" s="13"/>
      <c r="C204" s="1"/>
      <c r="D204" s="1"/>
      <c r="E204" s="1"/>
      <c r="F204" s="1"/>
      <c r="G204" s="1"/>
      <c r="H204" s="1"/>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row>
    <row r="205" spans="1:31" ht="12.75" hidden="1" customHeight="1">
      <c r="A205" s="1"/>
      <c r="B205" s="13"/>
      <c r="C205" s="1"/>
      <c r="D205" s="1"/>
      <c r="E205" s="1"/>
      <c r="F205" s="1"/>
      <c r="G205" s="1"/>
      <c r="H205" s="1"/>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row>
    <row r="206" spans="1:31" ht="12.75" hidden="1" customHeight="1">
      <c r="A206" s="1"/>
      <c r="B206" s="13"/>
      <c r="C206" s="1"/>
      <c r="D206" s="1"/>
      <c r="E206" s="1"/>
      <c r="F206" s="1"/>
      <c r="G206" s="1"/>
      <c r="H206" s="1"/>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row>
    <row r="207" spans="1:31" ht="12.75" hidden="1" customHeight="1">
      <c r="A207" s="1"/>
      <c r="B207" s="13"/>
      <c r="C207" s="1"/>
      <c r="D207" s="1"/>
      <c r="E207" s="1"/>
      <c r="F207" s="1"/>
      <c r="G207" s="1"/>
      <c r="H207" s="1"/>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row>
    <row r="208" spans="1:31" ht="12.75" hidden="1" customHeight="1">
      <c r="A208" s="1"/>
      <c r="B208" s="13"/>
      <c r="C208" s="1"/>
      <c r="D208" s="1"/>
      <c r="E208" s="1"/>
      <c r="F208" s="1"/>
      <c r="G208" s="1"/>
      <c r="H208" s="1"/>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row>
    <row r="209" spans="1:31" ht="12.75" hidden="1" customHeight="1">
      <c r="A209" s="1"/>
      <c r="B209" s="13"/>
      <c r="C209" s="1"/>
      <c r="D209" s="1"/>
      <c r="E209" s="1"/>
      <c r="F209" s="1"/>
      <c r="G209" s="1"/>
      <c r="H209" s="1"/>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row>
    <row r="210" spans="1:31" ht="12.75" hidden="1" customHeight="1">
      <c r="A210" s="1"/>
      <c r="B210" s="13"/>
      <c r="C210" s="1"/>
      <c r="D210" s="1"/>
      <c r="E210" s="1"/>
      <c r="F210" s="1"/>
      <c r="G210" s="1"/>
      <c r="H210" s="1"/>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row>
    <row r="211" spans="1:31" ht="12.75" hidden="1" customHeight="1">
      <c r="A211" s="1"/>
      <c r="B211" s="13"/>
      <c r="C211" s="1"/>
      <c r="D211" s="1"/>
      <c r="E211" s="1"/>
      <c r="F211" s="1"/>
      <c r="G211" s="1"/>
      <c r="H211" s="1"/>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row>
    <row r="212" spans="1:31" ht="12.75" hidden="1" customHeight="1">
      <c r="A212" s="1"/>
      <c r="B212" s="13"/>
      <c r="C212" s="1"/>
      <c r="D212" s="1"/>
      <c r="E212" s="1"/>
      <c r="F212" s="1"/>
      <c r="G212" s="1"/>
      <c r="H212" s="1"/>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row>
    <row r="213" spans="1:31" ht="12.75" hidden="1" customHeight="1">
      <c r="A213" s="1"/>
      <c r="B213" s="13"/>
      <c r="C213" s="1"/>
      <c r="D213" s="1"/>
      <c r="E213" s="1"/>
      <c r="F213" s="1"/>
      <c r="G213" s="1"/>
      <c r="H213" s="1"/>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row>
    <row r="214" spans="1:31" ht="12.75" hidden="1" customHeight="1">
      <c r="A214" s="1"/>
      <c r="B214" s="13"/>
      <c r="C214" s="1"/>
      <c r="D214" s="1"/>
      <c r="E214" s="1"/>
      <c r="F214" s="1"/>
      <c r="G214" s="1"/>
      <c r="H214" s="1"/>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row>
    <row r="215" spans="1:31" ht="12.75" hidden="1" customHeight="1">
      <c r="A215" s="1"/>
      <c r="B215" s="13"/>
      <c r="C215" s="1"/>
      <c r="D215" s="1"/>
      <c r="E215" s="1"/>
      <c r="F215" s="1"/>
      <c r="G215" s="1"/>
      <c r="H215" s="1"/>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row>
    <row r="216" spans="1:31" ht="12.75" hidden="1" customHeight="1">
      <c r="A216" s="1"/>
      <c r="B216" s="13"/>
      <c r="C216" s="1"/>
      <c r="D216" s="1"/>
      <c r="E216" s="1"/>
      <c r="F216" s="1"/>
      <c r="G216" s="1"/>
      <c r="H216" s="1"/>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row>
    <row r="217" spans="1:31" ht="12.75" hidden="1" customHeight="1">
      <c r="A217" s="1"/>
      <c r="B217" s="13"/>
      <c r="C217" s="1"/>
      <c r="D217" s="1"/>
      <c r="E217" s="1"/>
      <c r="F217" s="1"/>
      <c r="G217" s="1"/>
      <c r="H217" s="1"/>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row>
    <row r="218" spans="1:31" ht="12.75" hidden="1" customHeight="1">
      <c r="A218" s="1"/>
      <c r="B218" s="13"/>
      <c r="C218" s="1"/>
      <c r="D218" s="1"/>
      <c r="E218" s="1"/>
      <c r="F218" s="1"/>
      <c r="G218" s="1"/>
      <c r="H218" s="1"/>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row>
    <row r="219" spans="1:31" ht="12.75" hidden="1" customHeight="1">
      <c r="A219" s="1"/>
      <c r="B219" s="13"/>
      <c r="C219" s="1"/>
      <c r="D219" s="1"/>
      <c r="E219" s="1"/>
      <c r="F219" s="1"/>
      <c r="G219" s="1"/>
      <c r="H219" s="1"/>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row>
    <row r="220" spans="1:31" ht="12.75" hidden="1" customHeight="1">
      <c r="A220" s="1"/>
      <c r="B220" s="13"/>
      <c r="C220" s="1"/>
      <c r="D220" s="1"/>
      <c r="E220" s="1"/>
      <c r="F220" s="1"/>
      <c r="G220" s="1"/>
      <c r="H220" s="1"/>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row>
    <row r="221" spans="1:31"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row>
    <row r="222" spans="1:31"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row>
    <row r="223" spans="1:31"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row>
    <row r="224" spans="1:31"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row>
    <row r="225" spans="1:31"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row>
    <row r="226" spans="1:31"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row>
    <row r="227" spans="1:31"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row>
    <row r="228" spans="1:31"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row>
    <row r="229" spans="1:31"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row>
    <row r="230" spans="1:31"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row>
    <row r="231" spans="1:31"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row>
    <row r="232" spans="1:31"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row>
    <row r="233" spans="1:31"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row>
    <row r="234" spans="1:31"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row>
    <row r="235" spans="1:31"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row>
    <row r="236" spans="1:31"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row>
    <row r="237" spans="1:31"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row>
    <row r="238" spans="1:31"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row>
    <row r="239" spans="1:31"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row>
    <row r="240" spans="1:31"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row>
    <row r="241" spans="1:31"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row>
    <row r="242" spans="1:31"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row>
    <row r="243" spans="1:31"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row>
    <row r="244" spans="1:31"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row>
    <row r="245" spans="1:31"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row>
    <row r="246" spans="1:31"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row>
    <row r="247" spans="1:31"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row>
    <row r="248" spans="1:31"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row>
    <row r="249" spans="1:31"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row>
    <row r="250" spans="1:31"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row>
    <row r="251" spans="1:31"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row>
    <row r="252" spans="1:31"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row>
    <row r="253" spans="1:31"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row>
    <row r="254" spans="1:31"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row>
    <row r="255" spans="1:31"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row>
    <row r="256" spans="1:31"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row>
    <row r="257" spans="1:31"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row>
    <row r="258" spans="1:31"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row>
    <row r="259" spans="1:31"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row>
    <row r="260" spans="1:31"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row>
    <row r="261" spans="1:31"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row>
    <row r="262" spans="1:31"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row>
    <row r="263" spans="1:31"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row>
    <row r="264" spans="1:31"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row>
    <row r="265" spans="1:31"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row>
    <row r="266" spans="1:31"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row>
    <row r="267" spans="1:31"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row>
    <row r="268" spans="1:31"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row>
    <row r="269" spans="1:31"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row>
    <row r="270" spans="1:31"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row>
    <row r="271" spans="1:31"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row>
    <row r="272" spans="1:31"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row>
    <row r="273" spans="1:31"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row>
    <row r="274" spans="1:31"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row>
    <row r="275" spans="1:31"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row>
    <row r="276" spans="1:31"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row>
    <row r="277" spans="1:31"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row>
    <row r="278" spans="1:31"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row>
    <row r="279" spans="1:31"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row>
    <row r="280" spans="1:31"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row>
    <row r="281" spans="1:31"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row>
    <row r="282" spans="1:31"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row>
    <row r="283" spans="1:31"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row>
    <row r="284" spans="1:31"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row>
    <row r="285" spans="1:31"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row>
    <row r="286" spans="1:31"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row>
    <row r="287" spans="1:31"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row>
    <row r="288" spans="1:31"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row>
    <row r="289" spans="1:31"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row>
    <row r="290" spans="1:31"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row>
    <row r="291" spans="1:31"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row>
    <row r="292" spans="1:31"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row>
    <row r="293" spans="1:31"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row>
    <row r="294" spans="1:31"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row>
    <row r="295" spans="1:31"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row>
    <row r="296" spans="1:31"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row>
    <row r="297" spans="1:31"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row>
    <row r="298" spans="1:31"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row>
    <row r="299" spans="1:31"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row>
    <row r="300" spans="1:31"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row>
    <row r="301" spans="1:31"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row>
    <row r="302" spans="1:31"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row>
    <row r="303" spans="1:31"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row>
    <row r="304" spans="1:31"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row>
    <row r="305" spans="1:31"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row>
    <row r="306" spans="1:31"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row>
    <row r="307" spans="1:31"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row>
    <row r="308" spans="1:31"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row>
    <row r="309" spans="1:31"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row>
    <row r="310" spans="1:31"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row>
    <row r="311" spans="1:31"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row>
    <row r="312" spans="1:31"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row>
    <row r="313" spans="1:31"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row>
    <row r="314" spans="1:31"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row>
    <row r="315" spans="1:31"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row>
    <row r="316" spans="1:31"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row>
    <row r="317" spans="1:31"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row>
    <row r="318" spans="1:31"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row>
    <row r="319" spans="1:31"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row>
    <row r="320" spans="1:31"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row>
    <row r="321" spans="1:31"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row>
    <row r="322" spans="1:31"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row>
    <row r="323" spans="1:31"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row>
    <row r="324" spans="1:31"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row>
    <row r="325" spans="1:31"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row>
    <row r="326" spans="1:31"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row>
    <row r="327" spans="1:31"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row>
    <row r="328" spans="1:31"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row>
    <row r="329" spans="1:31"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row>
    <row r="330" spans="1:31"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row>
    <row r="331" spans="1:31"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row>
    <row r="332" spans="1:31"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row>
    <row r="333" spans="1:31"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row>
    <row r="334" spans="1:31"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row>
    <row r="335" spans="1:31"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row>
    <row r="336" spans="1:31"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row>
    <row r="337" spans="1:31"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row>
    <row r="338" spans="1:31"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row>
    <row r="339" spans="1:31"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row>
    <row r="340" spans="1:31"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row>
    <row r="341" spans="1:31"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row>
    <row r="342" spans="1:31"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row>
    <row r="343" spans="1:31"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row>
    <row r="344" spans="1:31"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row>
    <row r="345" spans="1:31"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row>
    <row r="346" spans="1:31"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row>
    <row r="347" spans="1:31"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row>
    <row r="348" spans="1:31"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row>
    <row r="349" spans="1:31"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row>
    <row r="350" spans="1:31"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row>
    <row r="351" spans="1:31"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row>
    <row r="352" spans="1:31"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row>
    <row r="353" spans="1:31"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row>
    <row r="354" spans="1:31"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row>
    <row r="355" spans="1:31"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row>
    <row r="356" spans="1:31"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row>
    <row r="357" spans="1:31"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row>
    <row r="358" spans="1:31"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row>
    <row r="359" spans="1:31"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row>
    <row r="360" spans="1:31"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row>
    <row r="361" spans="1:31"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row>
    <row r="362" spans="1:31"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row>
    <row r="363" spans="1:31"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row>
    <row r="364" spans="1:31"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row>
    <row r="365" spans="1:31"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row>
    <row r="366" spans="1:31"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row>
    <row r="367" spans="1:31"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row>
    <row r="368" spans="1:31"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row>
    <row r="369" spans="1:31"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row>
    <row r="370" spans="1:31"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row>
    <row r="371" spans="1:31"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row>
    <row r="372" spans="1:31"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row>
    <row r="373" spans="1:31"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row>
    <row r="374" spans="1:31"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row>
    <row r="375" spans="1:31"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row>
    <row r="376" spans="1:31"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row>
    <row r="377" spans="1:31"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row>
    <row r="378" spans="1:31"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row>
    <row r="379" spans="1:31"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row>
    <row r="380" spans="1:31"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row>
    <row r="381" spans="1:31"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row>
    <row r="382" spans="1:31"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row>
    <row r="383" spans="1:31"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row>
    <row r="384" spans="1:31"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row>
    <row r="385" spans="1:31"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row>
    <row r="386" spans="1:31"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row>
    <row r="387" spans="1:31"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row>
    <row r="388" spans="1:31"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row>
    <row r="389" spans="1:31"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row>
    <row r="390" spans="1:31"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row>
    <row r="391" spans="1:31"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row>
    <row r="392" spans="1:31"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row>
    <row r="393" spans="1:31"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row>
    <row r="394" spans="1:31"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row>
    <row r="395" spans="1:31"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row>
    <row r="396" spans="1:31"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row>
    <row r="397" spans="1:31"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row>
    <row r="398" spans="1:31"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row>
    <row r="399" spans="1:31"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row>
    <row r="400" spans="1:31"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row>
    <row r="401" spans="1:31"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row>
    <row r="402" spans="1:31"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row>
    <row r="403" spans="1:31"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row>
    <row r="404" spans="1:31"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row>
    <row r="405" spans="1:31"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row>
    <row r="406" spans="1:31"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row>
    <row r="407" spans="1:31"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row>
    <row r="408" spans="1:31"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row>
    <row r="409" spans="1:31"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row>
    <row r="410" spans="1:31"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row>
    <row r="411" spans="1:31"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row>
    <row r="412" spans="1:31"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row>
    <row r="413" spans="1:31"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row>
    <row r="414" spans="1:31"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row>
    <row r="415" spans="1:31"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row>
    <row r="416" spans="1:31"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row>
    <row r="417" spans="1:31"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row>
    <row r="418" spans="1:31"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row>
    <row r="419" spans="1:31"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row>
    <row r="420" spans="1:31"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row>
    <row r="421" spans="1:31"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row>
    <row r="422" spans="1:31"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row>
    <row r="423" spans="1:31"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row>
    <row r="424" spans="1:31"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row>
    <row r="425" spans="1:31"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row>
    <row r="426" spans="1:31"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row>
    <row r="427" spans="1:31"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row>
    <row r="428" spans="1:31"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row>
    <row r="429" spans="1:31"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row>
    <row r="430" spans="1:31"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row>
    <row r="431" spans="1:31"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row>
    <row r="432" spans="1:31"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row>
    <row r="433" spans="1:31"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row>
    <row r="434" spans="1:31"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row>
    <row r="435" spans="1:31"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row>
    <row r="436" spans="1:31"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row>
    <row r="437" spans="1:31"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row>
    <row r="438" spans="1:31"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row>
    <row r="439" spans="1:31"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row>
    <row r="440" spans="1:31"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row>
    <row r="441" spans="1:31"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row>
    <row r="442" spans="1:31"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row>
    <row r="443" spans="1:31"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row>
    <row r="444" spans="1:31"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row>
    <row r="445" spans="1:31"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row>
    <row r="446" spans="1:31"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row>
    <row r="447" spans="1:31"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row>
    <row r="448" spans="1:31"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row>
    <row r="449" spans="1:31"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row>
    <row r="450" spans="1:31"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row>
    <row r="451" spans="1:31"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row>
    <row r="452" spans="1:31"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row>
    <row r="453" spans="1:31"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row>
    <row r="454" spans="1:31"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row>
    <row r="455" spans="1:31"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row>
    <row r="456" spans="1:31"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row>
    <row r="457" spans="1:31"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row>
    <row r="458" spans="1:31"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row>
    <row r="459" spans="1:31"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row>
    <row r="460" spans="1:31"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row>
    <row r="461" spans="1:31"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row>
    <row r="462" spans="1:31"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row>
    <row r="463" spans="1:31"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row>
    <row r="464" spans="1:31"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row>
    <row r="465" spans="1:31"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row>
    <row r="466" spans="1:31"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row>
    <row r="467" spans="1:31"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row>
    <row r="468" spans="1:31"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row>
    <row r="469" spans="1:31"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row>
    <row r="470" spans="1:31"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row>
    <row r="471" spans="1:31"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row>
    <row r="472" spans="1:31"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row>
    <row r="473" spans="1:31"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row>
    <row r="474" spans="1:31"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row>
    <row r="475" spans="1:31"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row>
    <row r="476" spans="1:31"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row>
    <row r="477" spans="1:31"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row>
    <row r="478" spans="1:31"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row>
    <row r="479" spans="1:31"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row>
    <row r="480" spans="1:31"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row>
    <row r="481" spans="1:31"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row>
    <row r="482" spans="1:31"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row>
    <row r="483" spans="1:31"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row>
    <row r="484" spans="1:31"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row>
    <row r="485" spans="1:31"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row>
    <row r="486" spans="1:31"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row>
    <row r="487" spans="1:31"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row>
    <row r="488" spans="1:31"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row>
    <row r="489" spans="1:31"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row>
    <row r="490" spans="1:31"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row>
    <row r="491" spans="1:31"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row>
    <row r="492" spans="1:31"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row>
    <row r="493" spans="1:31"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row>
    <row r="494" spans="1:31"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row>
    <row r="495" spans="1:31"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row>
    <row r="496" spans="1:31"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row>
    <row r="497" spans="1:31"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row>
    <row r="498" spans="1:31"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row>
    <row r="499" spans="1:31"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row>
    <row r="500" spans="1:31"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row>
    <row r="501" spans="1:31"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row>
    <row r="502" spans="1:31"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row>
    <row r="503" spans="1:31"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row>
    <row r="504" spans="1:31"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row>
    <row r="505" spans="1:31"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row>
    <row r="506" spans="1:31"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row>
    <row r="507" spans="1:31"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row>
    <row r="508" spans="1:31"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row>
    <row r="509" spans="1:31"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row>
    <row r="510" spans="1:31"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row>
    <row r="511" spans="1:31"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row>
    <row r="512" spans="1:31"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row>
    <row r="513" spans="1:31"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row>
    <row r="514" spans="1:31"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row>
    <row r="515" spans="1:31"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row>
    <row r="516" spans="1:31"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row>
    <row r="517" spans="1:31"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row>
    <row r="518" spans="1:31"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row>
    <row r="519" spans="1:31"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row>
    <row r="520" spans="1:31"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row>
    <row r="521" spans="1:31"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row>
    <row r="522" spans="1:31"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row>
    <row r="523" spans="1:31"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row>
    <row r="524" spans="1:31"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row>
    <row r="525" spans="1:31"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row>
    <row r="526" spans="1:31"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row>
    <row r="527" spans="1:31"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row>
    <row r="528" spans="1:31"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row>
    <row r="529" spans="1:31"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row>
    <row r="530" spans="1:31"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row>
    <row r="531" spans="1:31"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row>
    <row r="532" spans="1:31"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row>
    <row r="533" spans="1:31"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row>
    <row r="534" spans="1:31"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row>
    <row r="535" spans="1:31"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row>
    <row r="536" spans="1:31"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row>
    <row r="537" spans="1:31"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row>
    <row r="538" spans="1:31"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row>
    <row r="539" spans="1:31"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row>
    <row r="540" spans="1:31"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row>
    <row r="541" spans="1:31"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row>
    <row r="542" spans="1:31"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row>
    <row r="543" spans="1:31"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row>
    <row r="544" spans="1:31"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row>
    <row r="545" spans="1:31"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row>
    <row r="546" spans="1:31"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row>
    <row r="547" spans="1:31"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row>
    <row r="548" spans="1:31"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row>
    <row r="549" spans="1:31"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row>
    <row r="550" spans="1:31"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row>
    <row r="551" spans="1:31"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row>
    <row r="552" spans="1:31"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row>
    <row r="553" spans="1:31"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row>
    <row r="554" spans="1:31"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row>
    <row r="555" spans="1:31"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row>
    <row r="556" spans="1:31"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row>
    <row r="557" spans="1:31"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row>
    <row r="558" spans="1:31"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row>
    <row r="559" spans="1:31"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row>
    <row r="560" spans="1:31"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row>
    <row r="561" spans="1:31"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row>
    <row r="562" spans="1:31"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row>
    <row r="563" spans="1:31"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row>
    <row r="564" spans="1:31"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row>
    <row r="565" spans="1:31"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row>
    <row r="566" spans="1:31"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row>
    <row r="567" spans="1:31"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row>
    <row r="568" spans="1:31"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row>
    <row r="569" spans="1:31"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row>
    <row r="570" spans="1:31"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row>
    <row r="571" spans="1:31"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row>
    <row r="572" spans="1:31"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row>
    <row r="573" spans="1:31"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row>
    <row r="574" spans="1:31"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row>
    <row r="575" spans="1:31"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row>
    <row r="576" spans="1:31"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row>
    <row r="577" spans="1:31"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row>
    <row r="578" spans="1:31"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row>
    <row r="579" spans="1:31"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row>
    <row r="580" spans="1:31"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row>
    <row r="581" spans="1:31"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row>
    <row r="582" spans="1:31"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row>
    <row r="583" spans="1:31"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row>
    <row r="584" spans="1:31"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row>
    <row r="585" spans="1:31"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row>
    <row r="586" spans="1:31"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row>
    <row r="587" spans="1:31"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row>
    <row r="588" spans="1:31"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row>
    <row r="589" spans="1:31"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row>
    <row r="590" spans="1:31"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row>
    <row r="591" spans="1:31"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row>
    <row r="592" spans="1:31"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row>
    <row r="593" spans="1:31"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row>
    <row r="594" spans="1:31"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row>
    <row r="595" spans="1:31"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row>
    <row r="596" spans="1:31"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row>
    <row r="597" spans="1:31"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row>
    <row r="598" spans="1:31"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row>
    <row r="599" spans="1:31"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row>
    <row r="600" spans="1:31"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row>
    <row r="601" spans="1:31"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row>
    <row r="602" spans="1:31"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row>
    <row r="603" spans="1:31"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row>
    <row r="604" spans="1:31"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row>
    <row r="605" spans="1:31"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row>
    <row r="606" spans="1:31"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row>
    <row r="607" spans="1:31"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row>
    <row r="608" spans="1:31"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row>
    <row r="609" spans="1:31"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row>
    <row r="610" spans="1:31"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row>
    <row r="611" spans="1:31"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row>
    <row r="612" spans="1:31"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row>
    <row r="613" spans="1:31"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row>
    <row r="614" spans="1:31"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row>
    <row r="615" spans="1:31"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row>
    <row r="616" spans="1:31"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row>
    <row r="617" spans="1:31"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row>
    <row r="618" spans="1:31"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row>
    <row r="619" spans="1:31"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row>
    <row r="620" spans="1:31"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row>
    <row r="621" spans="1:31"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row>
    <row r="622" spans="1:31"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row>
    <row r="623" spans="1:31"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row>
    <row r="624" spans="1:31"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row>
    <row r="625" spans="1:31"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row>
    <row r="626" spans="1:31"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row>
    <row r="627" spans="1:31"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row>
    <row r="628" spans="1:31"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row>
    <row r="629" spans="1:31"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row>
    <row r="630" spans="1:31"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row>
    <row r="631" spans="1:31"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row>
    <row r="632" spans="1:31"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row>
    <row r="633" spans="1:31"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row>
    <row r="634" spans="1:31"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row>
    <row r="635" spans="1:31"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row>
    <row r="636" spans="1:31"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row>
    <row r="637" spans="1:31"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row>
    <row r="638" spans="1:31"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row>
    <row r="639" spans="1:31"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row>
    <row r="640" spans="1:31"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row>
    <row r="641" spans="1:31"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row>
    <row r="642" spans="1:31"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row>
    <row r="643" spans="1:31"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row>
    <row r="644" spans="1:31"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row>
    <row r="645" spans="1:31"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row>
    <row r="646" spans="1:31"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row>
    <row r="647" spans="1:31"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row>
    <row r="648" spans="1:31"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row>
    <row r="649" spans="1:31"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row>
    <row r="650" spans="1:31"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row>
    <row r="651" spans="1:31"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row>
    <row r="652" spans="1:31"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row>
    <row r="653" spans="1:31"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row>
    <row r="654" spans="1:31"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row>
    <row r="655" spans="1:31"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row>
    <row r="656" spans="1:31"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row>
    <row r="657" spans="1:31"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row>
    <row r="658" spans="1:31"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row>
    <row r="659" spans="1:31"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row>
    <row r="660" spans="1:31"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row>
    <row r="661" spans="1:31"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row>
    <row r="662" spans="1:31"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row>
    <row r="663" spans="1:31"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row>
    <row r="664" spans="1:31"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row>
    <row r="665" spans="1:31"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row>
    <row r="666" spans="1:31"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row>
    <row r="667" spans="1:31"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row>
    <row r="668" spans="1:31"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row>
    <row r="669" spans="1:31"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row>
    <row r="670" spans="1:31"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row>
    <row r="671" spans="1:31"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row>
    <row r="672" spans="1:31"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row>
    <row r="673" spans="1:31"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row>
    <row r="674" spans="1:31"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row>
    <row r="675" spans="1:31"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row>
    <row r="676" spans="1:31"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row>
    <row r="677" spans="1:31"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row>
    <row r="678" spans="1:31"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row>
    <row r="679" spans="1:31"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row>
    <row r="680" spans="1:31"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row>
    <row r="681" spans="1:31"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row>
    <row r="682" spans="1:31"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row>
    <row r="683" spans="1:31"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row>
    <row r="684" spans="1:31"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row>
    <row r="685" spans="1:31"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row>
    <row r="686" spans="1:31"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row>
    <row r="687" spans="1:31"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row>
    <row r="688" spans="1:31"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row>
    <row r="689" spans="1:31"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row>
    <row r="690" spans="1:31"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row>
    <row r="691" spans="1:31"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row>
    <row r="692" spans="1:31"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row>
    <row r="693" spans="1:31"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row>
    <row r="694" spans="1:31"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row>
    <row r="695" spans="1:31"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row>
    <row r="696" spans="1:31"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row>
    <row r="697" spans="1:31"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row>
    <row r="698" spans="1:31"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row>
    <row r="699" spans="1:31"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row>
    <row r="700" spans="1:31"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row>
    <row r="701" spans="1:31"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row>
    <row r="702" spans="1:31"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row>
    <row r="703" spans="1:31"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row>
    <row r="704" spans="1:31"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row>
    <row r="705" spans="1:31"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row>
    <row r="706" spans="1:31"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row>
    <row r="707" spans="1:31"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row>
    <row r="708" spans="1:31"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row>
    <row r="709" spans="1:31"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row>
    <row r="710" spans="1:31"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row>
    <row r="711" spans="1:31"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row>
    <row r="712" spans="1:31"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row>
    <row r="713" spans="1:31"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row>
    <row r="714" spans="1:31"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row>
    <row r="715" spans="1:31"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row>
    <row r="716" spans="1:31"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row>
    <row r="717" spans="1:31"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row>
    <row r="718" spans="1:31"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row>
    <row r="719" spans="1:31"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row>
    <row r="720" spans="1:31"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row>
    <row r="721" spans="1:31"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row>
    <row r="722" spans="1:31"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row>
    <row r="723" spans="1:31"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row>
    <row r="724" spans="1:31"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row>
    <row r="725" spans="1:31"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row>
    <row r="726" spans="1:31"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row>
    <row r="727" spans="1:31"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row>
    <row r="728" spans="1:31"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row>
    <row r="729" spans="1:31"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row>
    <row r="730" spans="1:31"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row>
    <row r="731" spans="1:31"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row>
    <row r="732" spans="1:31"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row>
    <row r="733" spans="1:31"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row>
    <row r="734" spans="1:31"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row>
    <row r="735" spans="1:31"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row>
    <row r="736" spans="1:31"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row>
    <row r="737" spans="1:31"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row>
    <row r="738" spans="1:31"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row>
    <row r="739" spans="1:31"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row>
    <row r="740" spans="1:31"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row>
    <row r="741" spans="1:31"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row>
    <row r="742" spans="1:31"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row>
    <row r="743" spans="1:31"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row>
    <row r="744" spans="1:31"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row>
    <row r="745" spans="1:31"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row>
    <row r="746" spans="1:31"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row>
    <row r="747" spans="1:31"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row>
    <row r="748" spans="1:31"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row>
    <row r="749" spans="1:31"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row>
    <row r="750" spans="1:31"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row>
    <row r="751" spans="1:31"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row>
    <row r="752" spans="1:31"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row>
    <row r="753" spans="1:31"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row>
    <row r="754" spans="1:31"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row>
    <row r="755" spans="1:31"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row>
    <row r="756" spans="1:31"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row>
    <row r="757" spans="1:31"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row>
    <row r="758" spans="1:31"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row>
    <row r="759" spans="1:31"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row>
    <row r="760" spans="1:31"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row>
    <row r="761" spans="1:31"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row>
    <row r="762" spans="1:31"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row>
    <row r="763" spans="1:31"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row>
    <row r="764" spans="1:31"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row>
    <row r="765" spans="1:31"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row>
    <row r="766" spans="1:31"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row>
    <row r="767" spans="1:31"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row>
    <row r="768" spans="1:31"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row>
    <row r="769" spans="1:31"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row>
    <row r="770" spans="1:31"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row>
    <row r="771" spans="1:31"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row>
    <row r="772" spans="1:31"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row>
    <row r="773" spans="1:31"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row>
    <row r="774" spans="1:31"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row>
    <row r="775" spans="1:31"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row>
    <row r="776" spans="1:31"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row>
    <row r="777" spans="1:31"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row>
    <row r="778" spans="1:31"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row>
    <row r="779" spans="1:31"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row>
    <row r="780" spans="1:31"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row>
    <row r="781" spans="1:31"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row>
    <row r="782" spans="1:31"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row>
    <row r="783" spans="1:31"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row>
    <row r="784" spans="1:31"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row>
    <row r="785" spans="1:31"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row>
    <row r="786" spans="1:31"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row>
    <row r="787" spans="1:31"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row>
    <row r="788" spans="1:31"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row>
    <row r="789" spans="1:31"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row>
    <row r="790" spans="1:31"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row>
    <row r="791" spans="1:31"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row>
    <row r="792" spans="1:31"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row>
    <row r="793" spans="1:31"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row>
    <row r="794" spans="1:31"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row>
    <row r="795" spans="1:31"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row>
    <row r="796" spans="1:31"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row>
    <row r="797" spans="1:31"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row>
    <row r="798" spans="1:31"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row>
    <row r="799" spans="1:31"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row>
    <row r="800" spans="1:31"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row>
    <row r="801" spans="1:31"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row>
    <row r="802" spans="1:31"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row>
    <row r="803" spans="1:31"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row>
    <row r="804" spans="1:31"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row>
    <row r="805" spans="1:31"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row>
    <row r="806" spans="1:31"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row>
    <row r="807" spans="1:31"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row>
    <row r="808" spans="1:31"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row>
    <row r="809" spans="1:31"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row>
    <row r="810" spans="1:31"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row>
    <row r="811" spans="1:31"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row>
    <row r="812" spans="1:31"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row>
    <row r="813" spans="1:31"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row>
    <row r="814" spans="1:31"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row>
    <row r="815" spans="1:31"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row>
    <row r="816" spans="1:31"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row>
    <row r="817" spans="1:31"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row>
    <row r="818" spans="1:31"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row>
    <row r="819" spans="1:31"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row>
    <row r="820" spans="1:31"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row>
    <row r="821" spans="1:31"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row>
    <row r="822" spans="1:31"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row>
    <row r="823" spans="1:31"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row>
    <row r="824" spans="1:31"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row>
    <row r="825" spans="1:31"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row>
    <row r="826" spans="1:31"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row>
    <row r="827" spans="1:31"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row>
    <row r="828" spans="1:31"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row>
    <row r="829" spans="1:31"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row>
    <row r="830" spans="1:31"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row>
    <row r="831" spans="1:31"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row>
    <row r="832" spans="1:31"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row>
    <row r="833" spans="1:31"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row>
    <row r="834" spans="1:31"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row>
    <row r="835" spans="1:31"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row>
    <row r="836" spans="1:31"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row>
    <row r="837" spans="1:31"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row>
    <row r="838" spans="1:31"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row>
    <row r="839" spans="1:31"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row>
    <row r="840" spans="1:31"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row>
    <row r="841" spans="1:31"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row>
    <row r="842" spans="1:31"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row>
    <row r="843" spans="1:31"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row>
    <row r="844" spans="1:31"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row>
    <row r="845" spans="1:31"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row>
    <row r="846" spans="1:31"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row>
    <row r="847" spans="1:31"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row>
    <row r="848" spans="1:31"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row>
    <row r="849" spans="1:31"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row>
    <row r="850" spans="1:31"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row>
    <row r="851" spans="1:31"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row>
    <row r="852" spans="1:31"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row>
    <row r="853" spans="1:31"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row>
    <row r="854" spans="1:31"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row>
    <row r="855" spans="1:31"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row>
    <row r="856" spans="1:31"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row>
    <row r="857" spans="1:31"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row>
    <row r="858" spans="1:31"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row>
    <row r="859" spans="1:31"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row>
    <row r="860" spans="1:31"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row>
    <row r="861" spans="1:31"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row>
    <row r="862" spans="1:31"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row>
    <row r="863" spans="1:31"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row>
    <row r="864" spans="1:31"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row>
    <row r="865" spans="1:31"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row>
    <row r="866" spans="1:31"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row>
    <row r="867" spans="1:31"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row>
    <row r="868" spans="1:31"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row>
    <row r="869" spans="1:31"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row>
    <row r="870" spans="1:31"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row>
    <row r="871" spans="1:31"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row>
    <row r="872" spans="1:31"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row>
    <row r="873" spans="1:31"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row>
    <row r="874" spans="1:31"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row>
    <row r="875" spans="1:31"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row>
    <row r="876" spans="1:31"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row>
    <row r="877" spans="1:31"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row>
    <row r="878" spans="1:31"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row>
    <row r="879" spans="1:31"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row>
    <row r="880" spans="1:31"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row>
    <row r="881" spans="1:31"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row>
    <row r="882" spans="1:31"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row>
    <row r="883" spans="1:31"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row>
    <row r="884" spans="1:31"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row>
    <row r="885" spans="1:31"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row>
    <row r="886" spans="1:31"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row>
    <row r="887" spans="1:31"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row>
    <row r="888" spans="1:31"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row>
    <row r="889" spans="1:31"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row>
    <row r="890" spans="1:31"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row>
    <row r="891" spans="1:31"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row>
    <row r="892" spans="1:31"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row>
    <row r="893" spans="1:31"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row>
    <row r="894" spans="1:31"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row>
    <row r="895" spans="1:31"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row>
    <row r="896" spans="1:31"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row>
    <row r="897" spans="1:31"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row>
    <row r="898" spans="1:31"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row>
    <row r="899" spans="1:31"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row>
    <row r="900" spans="1:31"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row>
    <row r="901" spans="1:31"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row>
    <row r="902" spans="1:31"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row>
    <row r="903" spans="1:31"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row>
    <row r="904" spans="1:31"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row>
    <row r="905" spans="1:31"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row>
    <row r="906" spans="1:31"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row>
    <row r="907" spans="1:31"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row>
    <row r="908" spans="1:31"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row>
    <row r="909" spans="1:31"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row>
    <row r="910" spans="1:31"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row>
    <row r="911" spans="1:31"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row>
    <row r="912" spans="1:31"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row>
    <row r="913" spans="1:31"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row>
    <row r="914" spans="1:31"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row>
    <row r="915" spans="1:31"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row>
    <row r="916" spans="1:31"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row>
    <row r="917" spans="1:31"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row>
    <row r="918" spans="1:31"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row>
    <row r="919" spans="1:31"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row>
    <row r="920" spans="1:31"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row>
    <row r="921" spans="1:31"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row>
    <row r="922" spans="1:31"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row>
    <row r="923" spans="1:31"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row>
    <row r="924" spans="1:31"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row>
    <row r="925" spans="1:31"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row>
    <row r="926" spans="1:31"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row>
    <row r="927" spans="1:31"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row>
    <row r="928" spans="1:31"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row>
    <row r="929" spans="1:31"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row>
    <row r="930" spans="1:31"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row>
    <row r="931" spans="1:31"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row>
    <row r="932" spans="1:31"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row>
    <row r="933" spans="1:31"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row>
    <row r="934" spans="1:31"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row>
    <row r="935" spans="1:31"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row>
    <row r="936" spans="1:31"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row>
    <row r="937" spans="1:31"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row>
    <row r="938" spans="1:31"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row>
    <row r="939" spans="1:31"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row>
    <row r="940" spans="1:31"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row>
    <row r="941" spans="1:31"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row>
    <row r="942" spans="1:31"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row>
    <row r="943" spans="1:31"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row>
    <row r="944" spans="1:31"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row>
    <row r="945" spans="1:31"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row>
    <row r="946" spans="1:31"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row>
    <row r="947" spans="1:31"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row>
    <row r="948" spans="1:31"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row>
    <row r="949" spans="1:31"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row>
    <row r="950" spans="1:31"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row>
    <row r="951" spans="1:31"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row>
    <row r="952" spans="1:31"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row>
    <row r="953" spans="1:31"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row>
    <row r="954" spans="1:31"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row>
    <row r="955" spans="1:31"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row>
    <row r="956" spans="1:31"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row>
    <row r="957" spans="1:31"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row>
    <row r="958" spans="1:31"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row>
    <row r="959" spans="1:31"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row>
    <row r="960" spans="1:31"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row>
    <row r="961" spans="1:31"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row>
    <row r="962" spans="1:31"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row>
    <row r="963" spans="1:31"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row>
    <row r="964" spans="1:31"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row>
    <row r="965" spans="1:31"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row>
    <row r="966" spans="1:31"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row>
    <row r="967" spans="1:31"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row>
    <row r="968" spans="1:31"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row>
    <row r="969" spans="1:31"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row>
    <row r="970" spans="1:31"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row>
    <row r="971" spans="1:31"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row>
    <row r="972" spans="1:31"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row>
    <row r="973" spans="1:31"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row>
    <row r="974" spans="1:31"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row>
    <row r="975" spans="1:31"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row>
    <row r="976" spans="1:31"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row>
    <row r="977" spans="1:31"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row>
    <row r="978" spans="1:31"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row>
    <row r="979" spans="1:31"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row>
    <row r="980" spans="1:31"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row>
    <row r="981" spans="1:31"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row>
    <row r="982" spans="1:31"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row>
    <row r="983" spans="1:31"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row>
    <row r="984" spans="1:31"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row>
    <row r="985" spans="1:31"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row>
    <row r="986" spans="1:31"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row>
    <row r="987" spans="1:31"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row>
    <row r="988" spans="1:31"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row>
    <row r="989" spans="1:31"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row>
    <row r="990" spans="1:31"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row>
    <row r="991" spans="1:31"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row>
    <row r="992" spans="1:31"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row>
    <row r="993" spans="1:31"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row>
    <row r="994" spans="1:31"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row>
    <row r="995" spans="1:31"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row>
    <row r="996" spans="1:31"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row>
    <row r="997" spans="1:31"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row>
    <row r="998" spans="1:31"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row>
    <row r="999" spans="1:31"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row>
    <row r="1000" spans="1:31"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row>
  </sheetData>
  <mergeCells count="13">
    <mergeCell ref="E1:E20"/>
    <mergeCell ref="F8:F19"/>
    <mergeCell ref="G8:G19"/>
    <mergeCell ref="A1:A20"/>
    <mergeCell ref="B1:D1"/>
    <mergeCell ref="B2:D2"/>
    <mergeCell ref="B3:D3"/>
    <mergeCell ref="B4:D4"/>
    <mergeCell ref="B5:D5"/>
    <mergeCell ref="D8:D19"/>
    <mergeCell ref="B20:D20"/>
    <mergeCell ref="B6:D6"/>
    <mergeCell ref="C7:C18"/>
  </mergeCells>
  <pageMargins left="0.7" right="0.7" top="0.75" bottom="0.75" header="0" footer="0"/>
  <pageSetup paperSize="9"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B369"/>
  <sheetViews>
    <sheetView tabSelected="1" workbookViewId="0">
      <selection activeCell="O17" sqref="O17:Y17"/>
    </sheetView>
  </sheetViews>
  <sheetFormatPr defaultColWidth="14.42578125" defaultRowHeight="15" customHeight="1"/>
  <cols>
    <col min="1" max="1" width="2.85546875" customWidth="1"/>
    <col min="2" max="2" width="22.85546875" customWidth="1"/>
    <col min="3" max="6" width="5.7109375" customWidth="1"/>
    <col min="7" max="7" width="2.140625" customWidth="1"/>
    <col min="8" max="8" width="1.42578125" customWidth="1"/>
    <col min="9" max="9" width="2.140625" customWidth="1"/>
    <col min="10" max="41" width="5.7109375" customWidth="1"/>
    <col min="42" max="42" width="2.85546875" customWidth="1"/>
    <col min="43" max="48" width="8" hidden="1" customWidth="1"/>
    <col min="49" max="49" width="8.140625" hidden="1" customWidth="1"/>
    <col min="50" max="60" width="8" hidden="1" customWidth="1"/>
    <col min="61" max="61" width="15.5703125" hidden="1" customWidth="1"/>
    <col min="62" max="62" width="8.5703125" hidden="1" customWidth="1"/>
    <col min="63" max="70" width="8" hidden="1" customWidth="1"/>
    <col min="71" max="71" width="73.42578125" hidden="1" customWidth="1"/>
    <col min="72" max="72" width="9.85546875" hidden="1" customWidth="1"/>
    <col min="73" max="73" width="27" hidden="1" customWidth="1"/>
    <col min="74" max="74" width="22.85546875" hidden="1" customWidth="1"/>
    <col min="75" max="75" width="29.140625" hidden="1" customWidth="1"/>
    <col min="76" max="81" width="8" hidden="1" customWidth="1"/>
    <col min="82" max="82" width="10.140625" hidden="1" customWidth="1"/>
    <col min="83" max="83" width="14.5703125" hidden="1" customWidth="1"/>
    <col min="84" max="84" width="13" hidden="1" customWidth="1"/>
    <col min="85" max="99" width="8" hidden="1" customWidth="1"/>
    <col min="100" max="100" width="8.140625" hidden="1" customWidth="1"/>
    <col min="101" max="106" width="8" hidden="1" customWidth="1"/>
  </cols>
  <sheetData>
    <row r="1" spans="1:106" ht="30" customHeight="1">
      <c r="A1" s="28" t="s">
        <v>62</v>
      </c>
      <c r="B1" s="28" t="str">
        <f>IF(J24="Español","NOMBRE JUGADOR",(IF(J24="Deutsch","NAME",(IF(J24="Français","NOM DU JOUEUR","PLAYER NAME")))))</f>
        <v>PLAYER NAME</v>
      </c>
      <c r="C1" s="287" t="str">
        <f>IF(J24="Español","TIPO",(IF(J24="Deutsch","POSITION",(IF(J24="Français","POSTE","TYPE")))))</f>
        <v>TYPE</v>
      </c>
      <c r="D1" s="233"/>
      <c r="E1" s="233"/>
      <c r="F1" s="234"/>
      <c r="G1" s="259" t="str">
        <f>IF(J24="Español","CANT",(IF(J24="Deutsch","An- zahl",(IF(J24="Français","QTT","QTY")))))</f>
        <v>QTY</v>
      </c>
      <c r="H1" s="233"/>
      <c r="I1" s="234"/>
      <c r="J1" s="28" t="str">
        <f>IF(J24="Español","MO",(IF(J24="Deutsch","BE",(IF(J24="Français","M","MA")))))</f>
        <v>MA</v>
      </c>
      <c r="K1" s="28" t="str">
        <f>IF(J24="Español","FU",(IF(J24="Deutsch","ST",(IF(J24="Français","F","ST")))))</f>
        <v>ST</v>
      </c>
      <c r="L1" s="28" t="str">
        <f>IF(J24="Español","AG",(IF(J24="Deutsch","GE",(IF(J24="Français","AG","AG")))))</f>
        <v>AG</v>
      </c>
      <c r="M1" s="28" t="str">
        <f>IF(J24="Español","PA",(IF(J24="Deutsch","WG",(IF(J24="Français","CP","PA")))))</f>
        <v>PA</v>
      </c>
      <c r="N1" s="28" t="str">
        <f>IF(J24="Español","AR",(IF(J24="Deutsch","RW",(IF(J24="Français","AR","AV")))))</f>
        <v>AV</v>
      </c>
      <c r="O1" s="287" t="str">
        <f>IF(J24="Español","HABILIDADES",(IF(J24="Deutsch","FERTIGKEITEN",(IF(J24="Français","COMPÉTENCES","SKILLS")))))</f>
        <v>SKILLS</v>
      </c>
      <c r="P1" s="233"/>
      <c r="Q1" s="233"/>
      <c r="R1" s="233"/>
      <c r="S1" s="233"/>
      <c r="T1" s="233"/>
      <c r="U1" s="233"/>
      <c r="V1" s="233"/>
      <c r="W1" s="233"/>
      <c r="X1" s="233"/>
      <c r="Y1" s="234"/>
      <c r="Z1" s="29" t="str">
        <f>IF(J24="Español","LPP /RT",(IF(J24="Deutsch","VNS /AD",(IF(J24="Français","RPM /RT","MNG /TR")))))</f>
        <v>MNG /TR</v>
      </c>
      <c r="AA1" s="30" t="str">
        <f>IF(J24="Español","ESP",(IF(J24="Deutsch","SPE",(IF(J24="Français","SPE","SPE")))))</f>
        <v>SPE</v>
      </c>
      <c r="AB1" s="28" t="str">
        <f>IF(J24="Español","CP",(IF(J24="Deutsch","GP",(IF(J24="Français","REU","CP")))))</f>
        <v>CP</v>
      </c>
      <c r="AC1" s="28" t="str">
        <f>IF(J24="Español","TD",(IF(J24="Deutsch","TD",(IF(J24="Français","TD","TD")))))</f>
        <v>TD</v>
      </c>
      <c r="AD1" s="28" t="str">
        <f>IF(J24="Español","DES",(IF(J24="Deutsch","AB",(IF(J24="Français","DET","DEF")))))</f>
        <v>DEF</v>
      </c>
      <c r="AE1" s="28" t="str">
        <f>IF(J24="Español","INT",(IF(J24="Deutsch","INT",(IF(J24="Français","INT","INT")))))</f>
        <v>INT</v>
      </c>
      <c r="AF1" s="28" t="str">
        <f>IF(J24="Español","HL",(IF(J24="Deutsch","SV",(IF(J24="Français","COM","BH")))))</f>
        <v>BH</v>
      </c>
      <c r="AG1" s="28" t="str">
        <f>IF(J24="Español","HG",(IF(J24="Deutsch","BV",(IF(J24="Français","BS","SI")))))</f>
        <v>SI</v>
      </c>
      <c r="AH1" s="28" t="str">
        <f>IF(J24="Español","RIP",(IF(J24="Deutsch","TOT",(IF(J24="Français","MORT","KILL")))))</f>
        <v>KILL</v>
      </c>
      <c r="AI1" s="28" t="str">
        <f>IF(J24="Español","MVP",(IF(J24="Deutsch","SDT",(IF(J24="Français","JdM","MVP")))))</f>
        <v>MVP</v>
      </c>
      <c r="AJ1" s="259" t="str">
        <f>IF(J24="Español","SPP Totales",(IF(J24="Deutsch","Gesamte SPP",(IF(J24="Français","Total PSP","Total SPP")))))</f>
        <v>Total SPP</v>
      </c>
      <c r="AK1" s="234"/>
      <c r="AL1" s="259" t="str">
        <f>IF(J24="Español","SPP Sin gastar",(IF(J24="Deutsch","Verfügb. SPP",(IF(J24="Français","PSP restant","Unspent SPP")))))</f>
        <v>Unspent SPP</v>
      </c>
      <c r="AM1" s="234"/>
      <c r="AN1" s="287" t="str">
        <f>IF(J24="Español","PRECIO",(IF(J24="Deutsch","WERT",(IF(J24="Français","VALEUR","COST")))))</f>
        <v>COST</v>
      </c>
      <c r="AO1" s="234"/>
      <c r="AP1" s="304"/>
      <c r="AQ1" s="31" t="s">
        <v>63</v>
      </c>
      <c r="AR1" s="32" t="s">
        <v>64</v>
      </c>
      <c r="AS1" s="32"/>
      <c r="AT1" s="32"/>
      <c r="AU1" s="32"/>
      <c r="AV1" s="32"/>
      <c r="AW1" s="32"/>
      <c r="AX1" s="305" t="s">
        <v>65</v>
      </c>
      <c r="AY1" s="289"/>
      <c r="AZ1" s="289"/>
      <c r="BA1" s="289"/>
      <c r="BB1" s="289"/>
      <c r="BC1" s="289"/>
      <c r="BD1" s="289"/>
      <c r="BE1" s="289"/>
      <c r="BF1" s="264"/>
      <c r="BG1" s="32"/>
      <c r="BH1" s="32"/>
      <c r="BI1" s="32"/>
      <c r="BJ1" s="32"/>
      <c r="BK1" s="32"/>
      <c r="BL1" s="32"/>
      <c r="BM1" s="32"/>
      <c r="BN1" s="32"/>
      <c r="BO1" s="32" t="str">
        <f t="array" ref="BO1">INDEX(BY3:BY31,(SUM(BY2:CB2)))</f>
        <v>Necromantic</v>
      </c>
      <c r="BP1" s="32"/>
      <c r="BQ1" s="32"/>
      <c r="BR1" s="32"/>
      <c r="BS1" s="32"/>
      <c r="BT1" s="32"/>
      <c r="BU1" s="33"/>
      <c r="BV1" s="33"/>
      <c r="BW1" s="32"/>
      <c r="BX1" s="32"/>
      <c r="BY1" s="32"/>
      <c r="BZ1" s="32"/>
      <c r="CA1" s="33"/>
      <c r="CB1" s="32"/>
      <c r="CC1" s="32"/>
      <c r="CD1" s="32"/>
      <c r="CE1" s="32"/>
      <c r="CF1" s="33"/>
      <c r="CG1" s="32"/>
      <c r="CH1" s="32"/>
      <c r="CI1" s="32"/>
      <c r="CJ1" s="32"/>
      <c r="CK1" s="32"/>
      <c r="CL1" s="32"/>
      <c r="CM1" s="32"/>
      <c r="CN1" s="32"/>
      <c r="CO1" s="32"/>
      <c r="CP1" s="32"/>
      <c r="CQ1" s="32"/>
      <c r="CR1" s="32"/>
      <c r="CS1" s="32"/>
      <c r="CT1" s="32"/>
      <c r="CU1" s="32"/>
      <c r="CV1" s="32"/>
      <c r="CW1" s="2"/>
      <c r="CX1" s="2"/>
      <c r="CY1" s="2"/>
      <c r="CZ1" s="2"/>
      <c r="DA1" s="2"/>
      <c r="DB1" s="2"/>
    </row>
    <row r="2" spans="1:106" ht="30" customHeight="1">
      <c r="A2" s="28">
        <v>1</v>
      </c>
      <c r="B2" s="34" t="s">
        <v>66</v>
      </c>
      <c r="C2" s="248" t="s">
        <v>67</v>
      </c>
      <c r="D2" s="233"/>
      <c r="E2" s="233"/>
      <c r="F2" s="233"/>
      <c r="G2" s="35">
        <f>IF(C2="",0,(COUNTIF(C2:F17,C2)))</f>
        <v>2</v>
      </c>
      <c r="H2" s="36" t="s">
        <v>68</v>
      </c>
      <c r="I2" s="37">
        <f>IFERROR((VLOOKUP($BO$1&amp;C2,Teams!D:M,10,0)),0)</f>
        <v>2</v>
      </c>
      <c r="J2" s="38">
        <f t="shared" ref="J2:K2" si="0">IFERROR(K59,0)</f>
        <v>4</v>
      </c>
      <c r="K2" s="38">
        <f t="shared" si="0"/>
        <v>4</v>
      </c>
      <c r="L2" s="38" t="str">
        <f t="shared" ref="L2:N2" si="1">IFERROR(M59&amp;"+",0)</f>
        <v>4+</v>
      </c>
      <c r="M2" s="38" t="str">
        <f t="shared" si="1"/>
        <v>0+</v>
      </c>
      <c r="N2" s="38" t="str">
        <f t="shared" si="1"/>
        <v>10+</v>
      </c>
      <c r="O2" s="257" t="str">
        <f>IFERROR((IF(AV2="YES",(VLOOKUP($BO$1&amp;C2,Teams!D:M,7,0)&amp;BF2),AW2)),"")</f>
        <v>Regeneration, Stand Firm, Thick Skull, Block -  NI</v>
      </c>
      <c r="P2" s="233"/>
      <c r="Q2" s="233"/>
      <c r="R2" s="233"/>
      <c r="S2" s="233"/>
      <c r="T2" s="233"/>
      <c r="U2" s="233"/>
      <c r="V2" s="233"/>
      <c r="W2" s="233"/>
      <c r="X2" s="233"/>
      <c r="Y2" s="234"/>
      <c r="Z2" s="39"/>
      <c r="AA2" s="39"/>
      <c r="AB2" s="40"/>
      <c r="AC2" s="40"/>
      <c r="AD2" s="40"/>
      <c r="AE2" s="41"/>
      <c r="AF2" s="41"/>
      <c r="AG2" s="41">
        <v>3</v>
      </c>
      <c r="AH2" s="41"/>
      <c r="AI2" s="42"/>
      <c r="AJ2" s="255">
        <f t="shared" ref="AJ2:AJ17" si="2">AA2+AB2+(AC2*3)+AD2+(AE2*2)+(AF2*2)+(AG2*2)+(AH2*2)+(AI2*4)</f>
        <v>6</v>
      </c>
      <c r="AK2" s="234"/>
      <c r="AL2" s="255">
        <f t="shared" ref="AL2:AL17" si="3">AJ2-AI36</f>
        <v>0</v>
      </c>
      <c r="AM2" s="234"/>
      <c r="AN2" s="255">
        <f>IFERROR((VLOOKUP($BO$1&amp;C2,Teams!D:M,8,0)+AG36),0)</f>
        <v>135000</v>
      </c>
      <c r="AO2" s="234"/>
      <c r="AP2" s="228"/>
      <c r="AQ2" s="31">
        <f>IFERROR((IF(Z2&lt;&gt;"",0,((VLOOKUP($BO$1&amp;C2,Teams!D:M,9,0)+(AG36/1000))))),0)</f>
        <v>135</v>
      </c>
      <c r="AR2" s="32">
        <f>IFERROR((VLOOKUP($BO$1&amp;C2,Teams!D:N,11,0)),0)</f>
        <v>0</v>
      </c>
      <c r="AS2" s="32" t="str">
        <f t="shared" ref="AS2:AS19" si="4">IF(G2&gt;I2,(IF($J$24="English","Player limit exceded… You are cheating!",(IF($J$24="Español","Límite de jugadores excedido… ¡Estás haciendo trampas!",(IF($J$24="Deutsch","Spieler-Limit überschritten… Du schummelst!",(IF($J$24="Français","Tu as trop de joueurs… Tricheur!","")))))))),"")</f>
        <v/>
      </c>
      <c r="AT2" s="32" t="str">
        <f t="shared" ref="AT2:AT17" si="5">IF(AR2&gt;0,(IF($BA$70&gt;$BA$72,(IF($J$24="English","Big guys limit exceded... You are cheating!",(IF($J$24="Español","Límite de tipos grandes excedido... ¡Estás haciendo trampas!",(IF($J$24="Deutsch","Brocken-Limit überschritten… Du schummelst!",(IF($J$24="Français","Tu as trop de Gros Bras… Tricheur!","")))))))),"")),"")</f>
        <v/>
      </c>
      <c r="AU2" s="32" t="str">
        <f t="shared" ref="AU2:AU17" si="6">IF(AL2&lt;0,(IF($J$24="English","Not Enough SPP!",(IF($J$24="Español","¡Te faltan SPP!",(IF($J$24="Deutsch","Nicht genug SPP!",(IF($J$24="Français","Tu n'as pas assez de PSP!","")))))))),"")</f>
        <v/>
      </c>
      <c r="AV2" s="32" t="str">
        <f t="shared" ref="AV2:AV17" si="7">IF(AS2&lt;&gt;"","NO",IF(AT2&lt;&gt;"","NO",IF(AU2&lt;&gt;"","NO","YES")))</f>
        <v>YES</v>
      </c>
      <c r="AW2" s="32" t="str">
        <f t="shared" ref="AW2:AW17" si="8">IFERROR((IF(AS2&lt;&gt;"",AS2,(IF(AT2&lt;&gt;"",AT2,(IF(AU2&lt;&gt;"",AU2,"")))))),"")</f>
        <v/>
      </c>
      <c r="AX2" s="43" t="str">
        <f t="shared" ref="AX2:AX17" si="9">IF(C36&lt;&gt;"",(IF(OR(C36="+ MA", C36="+ST", C36="- PA", C36="+ AV", C36="+ MO", C36="+ FU", C36="+ M", C36="+ F", C36="- CP", C36="- AG", C36="+ AR", C36="+ BE", C36="+ ST", C36="- WG", C36="- GE", C36="+ RW"),"",BG2&amp;C36)),"")</f>
        <v>, Block</v>
      </c>
      <c r="AY2" s="43" t="str">
        <f t="shared" ref="AY2:AY17" si="10">IF(G36&lt;&gt;"",(IF(OR(G36="+ MA", G36="+ST", G36="- PA", G36="+ AV", G36="+ MO", G36="+ FU", G36="+ M", G36="+ F", G36="- CP", G36="- AG", G36="+ AR", G36="+ BE", G36="+ ST", G36="- WG", G36="- GE", G36="+ RW"),"",", "&amp;G36)),"")</f>
        <v/>
      </c>
      <c r="AZ2" s="43" t="str">
        <f t="shared" ref="AZ2:AZ17" si="11">IF(M36&lt;&gt;"",(IF(OR(M36="+ MA", M36="+ST", M36="- PA", M36="+ AV", M36="+ MO", M36="+ FU", M36="+ M", M36="+ F", M36="- CP", M36="- AG", M36="+ AR", M36="+ BE", M36="+ ST", M36="- WG", M36="- GE", M36="+ RW"),"",", "&amp;M36)),"")</f>
        <v/>
      </c>
      <c r="BA2" s="43" t="str">
        <f t="shared" ref="BA2:BA17" si="12">IF(Q36&lt;&gt;"",(IF(OR(Q36="+ MA", Q36="+ST", Q36="- PA", Q36="+ AV", Q36="+ MO", Q36="+ FU", Q36="+ M", Q36="+ F", Q36="- CP", Q36="- AG", Q36="+ AR", Q36="+ BE", Q36="+ ST", Q36="- WG", Q36="- GE", Q36="+ RW"),"",", "&amp;Q36)),"")</f>
        <v/>
      </c>
      <c r="BB2" s="43" t="str">
        <f t="shared" ref="BB2:BB17" si="13">IF(U36&lt;&gt;"",(IF(OR(U36="+ MA", U36="+ST", U36="- PA", U36="+ AV", U36="+ MO", U36="+ FU", U36="+ M", U36="+ F", U36="- CP", U36="- AG", U36="+ AR", U36="+ BE", U36="+ ST", U36="- WG", U36="- GE", U36="+ RW"),"",", "&amp;U36)),"")</f>
        <v/>
      </c>
      <c r="BC2" s="43" t="str">
        <f t="shared" ref="BC2:BC17" si="14">IF(Y36&lt;&gt;"",(IF(OR(Y36="+ MA", Y36="+ST", Y36="- PA", Y36="+ AV", Y36="+ MO", Y36="+ FU", Y36="+ M", Y36="+ F", Y36="- CP", Y36="- AG", Y36="+ AR", Y36="+ BE", Y36="+ ST", Y36="- WG", Y36="- GE", Y36="+ RW"),"",", "&amp;Y36)),"")</f>
        <v/>
      </c>
      <c r="BD2" s="43" t="str">
        <f t="shared" ref="BD2:BD17" si="15">IF(AC36=0,"",AC36)</f>
        <v/>
      </c>
      <c r="BE2" s="43" t="str">
        <f t="shared" ref="BE2:BE17" si="16">((IF(AJ36&gt;0," - "&amp;AJ36&amp;" NI", "")))</f>
        <v xml:space="preserve"> -  NI</v>
      </c>
      <c r="BF2" s="44" t="str">
        <f t="shared" ref="BF2:BF17" si="17">IF(AL2&lt;0,"",AX2&amp;AY2&amp;AZ2&amp;BA2&amp;BB2&amp;BC2&amp;BD2&amp;BE2)</f>
        <v>, Block -  NI</v>
      </c>
      <c r="BG2" s="2" t="str">
        <f>IFERROR((IF((VLOOKUP($BO$1&amp;C2,Teams!D:M,7,0))="","",", ")),"")</f>
        <v xml:space="preserve">, </v>
      </c>
      <c r="BH2" s="32"/>
      <c r="BI2" s="32" t="str">
        <f>$BO$1&amp;1</f>
        <v>Necromantic1</v>
      </c>
      <c r="BJ2" s="2" t="str">
        <f>IFERROR(IF((VLOOKUP(BI2,Teams!B:C,2,FALSE))=0,"",(VLOOKUP(BI2,Teams!B:C,2,FALSE))),"")</f>
        <v/>
      </c>
      <c r="BK2" s="32"/>
      <c r="BL2" s="2"/>
      <c r="BM2" s="45"/>
      <c r="BN2" s="45" t="s">
        <v>69</v>
      </c>
      <c r="BO2" s="32" t="str">
        <f t="array" ref="BO2">INDEX(BN3:BN31,(SUM(BY2:CB2)))</f>
        <v>Necromantic</v>
      </c>
      <c r="BP2" s="45" t="s">
        <v>70</v>
      </c>
      <c r="BQ2" s="45" t="s">
        <v>71</v>
      </c>
      <c r="BR2" s="45" t="s">
        <v>72</v>
      </c>
      <c r="BS2" s="46" t="s">
        <v>73</v>
      </c>
      <c r="BT2" s="46" t="s">
        <v>74</v>
      </c>
      <c r="BU2" s="33" t="str">
        <f>VLOOKUP(BO1,BL:BT,9,FALSE)</f>
        <v>SylvanianSpotlight</v>
      </c>
      <c r="BV2" s="33" t="str">
        <f>VLOOKUP(BO1,BL1:BU37,10,FALSE)</f>
        <v>Sylvanian</v>
      </c>
      <c r="BW2" s="33">
        <f>VLOOKUP(BO1,BL1:BV37,11,FALSE)</f>
        <v>0</v>
      </c>
      <c r="BX2" s="32"/>
      <c r="BY2" s="46">
        <f t="shared" ref="BY2:CB2" si="18">IFERROR(MATCH($J$22,BY3:BY31,0),0)</f>
        <v>16</v>
      </c>
      <c r="BZ2" s="46">
        <f t="shared" si="18"/>
        <v>0</v>
      </c>
      <c r="CA2" s="46">
        <f t="shared" si="18"/>
        <v>0</v>
      </c>
      <c r="CB2" s="46">
        <f t="shared" si="18"/>
        <v>0</v>
      </c>
      <c r="CC2" s="46"/>
      <c r="CD2" s="45"/>
      <c r="CE2" s="45"/>
      <c r="CF2" s="46"/>
      <c r="CG2" s="45"/>
      <c r="CH2" s="45"/>
      <c r="CI2" s="32"/>
      <c r="CJ2" s="32"/>
      <c r="CK2" s="32"/>
      <c r="CL2" s="32"/>
      <c r="CM2" s="32"/>
      <c r="CN2" s="32"/>
      <c r="CO2" s="32"/>
      <c r="CP2" s="32"/>
      <c r="CQ2" s="32"/>
      <c r="CR2" s="32"/>
      <c r="CS2" s="32"/>
      <c r="CT2" s="32"/>
      <c r="CU2" s="32"/>
      <c r="CV2" s="32"/>
      <c r="CW2" s="2"/>
      <c r="CX2" s="2"/>
      <c r="CY2" s="2"/>
      <c r="CZ2" s="2"/>
      <c r="DA2" s="2"/>
      <c r="DB2" s="2"/>
    </row>
    <row r="3" spans="1:106" ht="30" customHeight="1">
      <c r="A3" s="28">
        <v>2</v>
      </c>
      <c r="B3" s="34" t="s">
        <v>75</v>
      </c>
      <c r="C3" s="248" t="s">
        <v>67</v>
      </c>
      <c r="D3" s="233"/>
      <c r="E3" s="233"/>
      <c r="F3" s="233"/>
      <c r="G3" s="35">
        <f>IF(C3="",0,(COUNTIF(C2:F17,C3)))</f>
        <v>2</v>
      </c>
      <c r="H3" s="36" t="s">
        <v>68</v>
      </c>
      <c r="I3" s="37">
        <f>IFERROR((VLOOKUP($BO$1&amp;C3,Teams!D:M,10,0)),0)</f>
        <v>2</v>
      </c>
      <c r="J3" s="38">
        <f t="shared" ref="J3:K3" si="19">IFERROR(K60,0)</f>
        <v>4</v>
      </c>
      <c r="K3" s="38">
        <f t="shared" si="19"/>
        <v>4</v>
      </c>
      <c r="L3" s="38" t="str">
        <f t="shared" ref="L3:N3" si="20">IFERROR(M60&amp;"+",0)</f>
        <v>4+</v>
      </c>
      <c r="M3" s="38" t="str">
        <f t="shared" si="20"/>
        <v>0+</v>
      </c>
      <c r="N3" s="38" t="str">
        <f t="shared" si="20"/>
        <v>10+</v>
      </c>
      <c r="O3" s="257" t="str">
        <f>IFERROR((IF(AV3="YES",(VLOOKUP($BO$1&amp;C3,Teams!D:M,7,0)&amp;BF3),AW3)),"")</f>
        <v>Regeneration, Stand Firm, Thick Skull</v>
      </c>
      <c r="P3" s="233"/>
      <c r="Q3" s="233"/>
      <c r="R3" s="233"/>
      <c r="S3" s="233"/>
      <c r="T3" s="233"/>
      <c r="U3" s="233"/>
      <c r="V3" s="233"/>
      <c r="W3" s="233"/>
      <c r="X3" s="233"/>
      <c r="Y3" s="234"/>
      <c r="Z3" s="39"/>
      <c r="AA3" s="39"/>
      <c r="AB3" s="40"/>
      <c r="AC3" s="40"/>
      <c r="AD3" s="40"/>
      <c r="AE3" s="41"/>
      <c r="AF3" s="41"/>
      <c r="AG3" s="41">
        <v>1</v>
      </c>
      <c r="AH3" s="41"/>
      <c r="AI3" s="41"/>
      <c r="AJ3" s="255">
        <f t="shared" si="2"/>
        <v>2</v>
      </c>
      <c r="AK3" s="234"/>
      <c r="AL3" s="255">
        <f t="shared" si="3"/>
        <v>2</v>
      </c>
      <c r="AM3" s="234"/>
      <c r="AN3" s="255">
        <f>IFERROR((VLOOKUP($BO$1&amp;C3,Teams!D:M,8,0)+AG37),0)</f>
        <v>115000</v>
      </c>
      <c r="AO3" s="234"/>
      <c r="AP3" s="228"/>
      <c r="AQ3" s="31">
        <f>IFERROR((IF(Z3&lt;&gt;"",0,((VLOOKUP($BO$1&amp;C3,Teams!D:M,9,0)+(AG37/1000))))),0)</f>
        <v>115</v>
      </c>
      <c r="AR3" s="32">
        <f>IFERROR((VLOOKUP($BO$1&amp;C3,Teams!D:N,11,0)),0)</f>
        <v>0</v>
      </c>
      <c r="AS3" s="32" t="str">
        <f t="shared" si="4"/>
        <v/>
      </c>
      <c r="AT3" s="32" t="str">
        <f t="shared" si="5"/>
        <v/>
      </c>
      <c r="AU3" s="32" t="str">
        <f t="shared" si="6"/>
        <v/>
      </c>
      <c r="AV3" s="32" t="str">
        <f t="shared" si="7"/>
        <v>YES</v>
      </c>
      <c r="AW3" s="32" t="str">
        <f t="shared" si="8"/>
        <v/>
      </c>
      <c r="AX3" s="43" t="str">
        <f t="shared" si="9"/>
        <v/>
      </c>
      <c r="AY3" s="43" t="str">
        <f t="shared" si="10"/>
        <v/>
      </c>
      <c r="AZ3" s="43" t="str">
        <f t="shared" si="11"/>
        <v/>
      </c>
      <c r="BA3" s="43" t="str">
        <f t="shared" si="12"/>
        <v/>
      </c>
      <c r="BB3" s="43" t="str">
        <f t="shared" si="13"/>
        <v/>
      </c>
      <c r="BC3" s="43" t="str">
        <f t="shared" si="14"/>
        <v/>
      </c>
      <c r="BD3" s="43" t="str">
        <f t="shared" si="15"/>
        <v/>
      </c>
      <c r="BE3" s="43" t="str">
        <f t="shared" si="16"/>
        <v/>
      </c>
      <c r="BF3" s="44" t="str">
        <f t="shared" si="17"/>
        <v/>
      </c>
      <c r="BG3" s="2" t="str">
        <f>IFERROR((IF((VLOOKUP($BO$1&amp;C3,Teams!D:M,7,0))="","",", ")),"")</f>
        <v xml:space="preserve">, </v>
      </c>
      <c r="BH3" s="2"/>
      <c r="BI3" s="32" t="str">
        <f>$BO$1&amp;2</f>
        <v>Necromantic2</v>
      </c>
      <c r="BJ3" s="2" t="str">
        <f>IFERROR(IF((VLOOKUP(BI3,Teams!B:C,2,FALSE))=0,"",(VLOOKUP(BI3,Teams!B:C,2,FALSE))),"")</f>
        <v>Zombie</v>
      </c>
      <c r="BK3" s="32"/>
      <c r="BL3" s="32" t="s">
        <v>76</v>
      </c>
      <c r="BM3" s="32" t="str">
        <f>IF($J$24="English","Amazon",(IF($J$24="Español","Alianza del Viejo Mundo",(IF($J$24="Deutsch","Amazonen",(IF($J$24="Français","Alliance du Vieux Monde")))))))</f>
        <v>Amazon</v>
      </c>
      <c r="BN3" s="32" t="s">
        <v>76</v>
      </c>
      <c r="BO3" s="32"/>
      <c r="BP3" s="32">
        <v>50000</v>
      </c>
      <c r="BQ3" s="32">
        <v>50000</v>
      </c>
      <c r="BR3" s="32">
        <v>0</v>
      </c>
      <c r="BS3" s="33" t="str">
        <f>IF(J24="English","Lustrian Superleague",(IF(J24="Español","Superliga Lustriana",(IF(J24="Deutsch","Lustria-Superliga",(IF(J24="Français","Super-Ligue de Lustrie")))))))</f>
        <v>Lustrian Superleague</v>
      </c>
      <c r="BT3" s="33" t="s">
        <v>77</v>
      </c>
      <c r="BU3" s="33"/>
      <c r="BV3" s="33"/>
      <c r="BW3" s="32"/>
      <c r="BX3" s="33"/>
      <c r="BY3" s="32" t="s">
        <v>76</v>
      </c>
      <c r="BZ3" s="32" t="s">
        <v>78</v>
      </c>
      <c r="CA3" s="47" t="s">
        <v>79</v>
      </c>
      <c r="CB3" s="31" t="s">
        <v>80</v>
      </c>
      <c r="CC3" s="31"/>
      <c r="CD3" s="31"/>
      <c r="CE3" s="31"/>
      <c r="CF3" s="48"/>
      <c r="CG3" s="31"/>
      <c r="CH3" s="31"/>
      <c r="CI3" s="32"/>
      <c r="CJ3" s="32"/>
      <c r="CK3" s="32"/>
      <c r="CL3" s="32"/>
      <c r="CM3" s="32"/>
      <c r="CN3" s="32"/>
      <c r="CO3" s="32"/>
      <c r="CP3" s="32"/>
      <c r="CQ3" s="32"/>
      <c r="CR3" s="32"/>
      <c r="CS3" s="32"/>
      <c r="CT3" s="32"/>
      <c r="CU3" s="32"/>
      <c r="CV3" s="32"/>
      <c r="CW3" s="2"/>
      <c r="CX3" s="2"/>
      <c r="CY3" s="2"/>
      <c r="CZ3" s="2"/>
      <c r="DA3" s="2"/>
      <c r="DB3" s="2"/>
    </row>
    <row r="4" spans="1:106" ht="30" customHeight="1">
      <c r="A4" s="28">
        <v>3</v>
      </c>
      <c r="B4" s="34" t="s">
        <v>81</v>
      </c>
      <c r="C4" s="248" t="s">
        <v>82</v>
      </c>
      <c r="D4" s="233"/>
      <c r="E4" s="233"/>
      <c r="F4" s="233"/>
      <c r="G4" s="35">
        <f>IF(C4="",0,(COUNTIF(C2:F17,C4)))</f>
        <v>2</v>
      </c>
      <c r="H4" s="36" t="s">
        <v>68</v>
      </c>
      <c r="I4" s="37">
        <f>IFERROR((VLOOKUP($BO$1&amp;C4,Teams!D:M,10,0)),0)</f>
        <v>2</v>
      </c>
      <c r="J4" s="38">
        <f t="shared" ref="J4:K4" si="21">IFERROR(K61,0)</f>
        <v>8</v>
      </c>
      <c r="K4" s="38">
        <f t="shared" si="21"/>
        <v>3</v>
      </c>
      <c r="L4" s="38" t="str">
        <f t="shared" ref="L4:N4" si="22">IFERROR(M61&amp;"+",0)</f>
        <v>3+</v>
      </c>
      <c r="M4" s="38" t="str">
        <f t="shared" si="22"/>
        <v>4+</v>
      </c>
      <c r="N4" s="38" t="str">
        <f t="shared" si="22"/>
        <v>9+</v>
      </c>
      <c r="O4" s="257" t="str">
        <f>IFERROR((IF(AV4="YES",(VLOOKUP($BO$1&amp;C4,Teams!D:M,7,0)&amp;BF4),AW4)),"")</f>
        <v>Claws, Frenzy, Regeneration, Block</v>
      </c>
      <c r="P4" s="233"/>
      <c r="Q4" s="233"/>
      <c r="R4" s="233"/>
      <c r="S4" s="233"/>
      <c r="T4" s="233"/>
      <c r="U4" s="233"/>
      <c r="V4" s="233"/>
      <c r="W4" s="233"/>
      <c r="X4" s="233"/>
      <c r="Y4" s="234"/>
      <c r="Z4" s="39"/>
      <c r="AA4" s="39"/>
      <c r="AB4" s="40"/>
      <c r="AC4" s="40">
        <v>1</v>
      </c>
      <c r="AD4" s="40"/>
      <c r="AE4" s="41"/>
      <c r="AF4" s="41"/>
      <c r="AG4" s="41"/>
      <c r="AH4" s="41"/>
      <c r="AI4" s="42">
        <v>1</v>
      </c>
      <c r="AJ4" s="255">
        <f t="shared" si="2"/>
        <v>7</v>
      </c>
      <c r="AK4" s="234"/>
      <c r="AL4" s="255">
        <f t="shared" si="3"/>
        <v>1</v>
      </c>
      <c r="AM4" s="234"/>
      <c r="AN4" s="255">
        <f>IFERROR((VLOOKUP($BO$1&amp;C4,Teams!D:M,8,0)+AG38),0)</f>
        <v>145000</v>
      </c>
      <c r="AO4" s="234"/>
      <c r="AP4" s="228"/>
      <c r="AQ4" s="31">
        <f>IFERROR((IF(Z4&lt;&gt;"",0,((VLOOKUP($BO$1&amp;C4,Teams!D:M,9,0)+(AG38/1000))))),0)</f>
        <v>145</v>
      </c>
      <c r="AR4" s="32">
        <f>IFERROR((VLOOKUP($BO$1&amp;C4,Teams!D:N,11,0)),0)</f>
        <v>0</v>
      </c>
      <c r="AS4" s="32" t="str">
        <f t="shared" si="4"/>
        <v/>
      </c>
      <c r="AT4" s="32" t="str">
        <f t="shared" si="5"/>
        <v/>
      </c>
      <c r="AU4" s="32" t="str">
        <f t="shared" si="6"/>
        <v/>
      </c>
      <c r="AV4" s="32" t="str">
        <f t="shared" si="7"/>
        <v>YES</v>
      </c>
      <c r="AW4" s="32" t="str">
        <f t="shared" si="8"/>
        <v/>
      </c>
      <c r="AX4" s="43" t="str">
        <f t="shared" si="9"/>
        <v>, Block</v>
      </c>
      <c r="AY4" s="43" t="str">
        <f t="shared" si="10"/>
        <v/>
      </c>
      <c r="AZ4" s="43" t="str">
        <f t="shared" si="11"/>
        <v/>
      </c>
      <c r="BA4" s="43" t="str">
        <f t="shared" si="12"/>
        <v/>
      </c>
      <c r="BB4" s="43" t="str">
        <f t="shared" si="13"/>
        <v/>
      </c>
      <c r="BC4" s="43" t="str">
        <f t="shared" si="14"/>
        <v/>
      </c>
      <c r="BD4" s="43" t="str">
        <f t="shared" si="15"/>
        <v/>
      </c>
      <c r="BE4" s="43" t="str">
        <f t="shared" si="16"/>
        <v/>
      </c>
      <c r="BF4" s="44" t="str">
        <f t="shared" si="17"/>
        <v>, Block</v>
      </c>
      <c r="BG4" s="2" t="str">
        <f>IFERROR((IF((VLOOKUP($BO$1&amp;C4,Teams!D:M,7,0))="","",", ")),"")</f>
        <v xml:space="preserve">, </v>
      </c>
      <c r="BH4" s="2"/>
      <c r="BI4" s="32" t="str">
        <f>$BO$1&amp;3</f>
        <v>Necromantic3</v>
      </c>
      <c r="BJ4" s="2" t="str">
        <f>IFERROR(IF((VLOOKUP(BI4,Teams!B:C,2,FALSE))=0,"",(VLOOKUP(BI4,Teams!B:C,2,FALSE))),"")</f>
        <v>Ghoul</v>
      </c>
      <c r="BK4" s="32"/>
      <c r="BL4" s="32" t="s">
        <v>83</v>
      </c>
      <c r="BM4" s="32" t="str">
        <f>IF($J$24="English","Black Orc",(IF($J$24="Español","Altos Elfos",(IF($J$24="Deutsch","Black Orks",(IF($J$24="Français","Amazones")))))))</f>
        <v>Black Orc</v>
      </c>
      <c r="BN4" s="32" t="s">
        <v>84</v>
      </c>
      <c r="BO4" s="32"/>
      <c r="BP4" s="32">
        <v>60000</v>
      </c>
      <c r="BQ4" s="32">
        <v>50000</v>
      </c>
      <c r="BR4" s="32">
        <v>1</v>
      </c>
      <c r="BS4" s="33" t="str">
        <f>IF(J24="English","Badlands Brawl and Bribery and Corruption",(IF(J24="Español","Reyerta en las Yermas y Sobornos y Corrupción",(IF(J24="Deutsch","Düsterland-Rauferei, Bestechung und Korruption",(IF(J24="Français","Bagarre des Terres Arides et Chantage &amp; Corruption")))))))</f>
        <v>Badlands Brawl and Bribery and Corruption</v>
      </c>
      <c r="BT4" s="33" t="s">
        <v>85</v>
      </c>
      <c r="BU4" s="33" t="s">
        <v>86</v>
      </c>
      <c r="BV4" s="33"/>
      <c r="BW4" s="32"/>
      <c r="BX4" s="33"/>
      <c r="BY4" s="32" t="s">
        <v>83</v>
      </c>
      <c r="BZ4" s="32" t="s">
        <v>87</v>
      </c>
      <c r="CA4" s="47" t="s">
        <v>88</v>
      </c>
      <c r="CB4" s="31" t="s">
        <v>89</v>
      </c>
      <c r="CC4" s="31"/>
      <c r="CD4" s="31"/>
      <c r="CE4" s="31"/>
      <c r="CF4" s="48"/>
      <c r="CG4" s="31"/>
      <c r="CH4" s="31"/>
      <c r="CI4" s="32"/>
      <c r="CJ4" s="32"/>
      <c r="CK4" s="32"/>
      <c r="CL4" s="32"/>
      <c r="CM4" s="32"/>
      <c r="CN4" s="32"/>
      <c r="CO4" s="32"/>
      <c r="CP4" s="32"/>
      <c r="CQ4" s="32"/>
      <c r="CR4" s="32"/>
      <c r="CS4" s="32"/>
      <c r="CT4" s="32"/>
      <c r="CU4" s="32"/>
      <c r="CV4" s="32"/>
      <c r="CW4" s="2"/>
      <c r="CX4" s="2"/>
      <c r="CY4" s="2"/>
      <c r="CZ4" s="2"/>
      <c r="DA4" s="2"/>
      <c r="DB4" s="2"/>
    </row>
    <row r="5" spans="1:106" ht="30" customHeight="1">
      <c r="A5" s="28">
        <v>4</v>
      </c>
      <c r="B5" s="34" t="s">
        <v>90</v>
      </c>
      <c r="C5" s="248" t="s">
        <v>82</v>
      </c>
      <c r="D5" s="233"/>
      <c r="E5" s="233"/>
      <c r="F5" s="233"/>
      <c r="G5" s="35">
        <f>IF(C5="",0,(COUNTIF(C2:F17,C5)))</f>
        <v>2</v>
      </c>
      <c r="H5" s="36" t="s">
        <v>68</v>
      </c>
      <c r="I5" s="37">
        <f>IFERROR((VLOOKUP($BO$1&amp;C5,Teams!D:M,10,0)),0)</f>
        <v>2</v>
      </c>
      <c r="J5" s="38">
        <f t="shared" ref="J5:K5" si="23">IFERROR(K62,0)</f>
        <v>8</v>
      </c>
      <c r="K5" s="38">
        <f t="shared" si="23"/>
        <v>3</v>
      </c>
      <c r="L5" s="38" t="str">
        <f t="shared" ref="L5:N5" si="24">IFERROR(M62&amp;"+",0)</f>
        <v>3+</v>
      </c>
      <c r="M5" s="38" t="str">
        <f t="shared" si="24"/>
        <v>4+</v>
      </c>
      <c r="N5" s="38" t="str">
        <f t="shared" si="24"/>
        <v>9+</v>
      </c>
      <c r="O5" s="257" t="str">
        <f>IFERROR((IF(AV5="YES",(VLOOKUP($BO$1&amp;C5,Teams!D:M,7,0)&amp;BF5),AW5)),"")</f>
        <v>Claws, Frenzy, Regeneration, Block</v>
      </c>
      <c r="P5" s="233"/>
      <c r="Q5" s="233"/>
      <c r="R5" s="233"/>
      <c r="S5" s="233"/>
      <c r="T5" s="233"/>
      <c r="U5" s="233"/>
      <c r="V5" s="233"/>
      <c r="W5" s="233"/>
      <c r="X5" s="233"/>
      <c r="Y5" s="234"/>
      <c r="Z5" s="39"/>
      <c r="AA5" s="39"/>
      <c r="AB5" s="40"/>
      <c r="AC5" s="40">
        <v>1</v>
      </c>
      <c r="AD5" s="40"/>
      <c r="AE5" s="41"/>
      <c r="AF5" s="41"/>
      <c r="AG5" s="41"/>
      <c r="AH5" s="41"/>
      <c r="AI5" s="41">
        <v>1</v>
      </c>
      <c r="AJ5" s="255">
        <f t="shared" si="2"/>
        <v>7</v>
      </c>
      <c r="AK5" s="234"/>
      <c r="AL5" s="255">
        <f t="shared" si="3"/>
        <v>1</v>
      </c>
      <c r="AM5" s="234"/>
      <c r="AN5" s="255">
        <f>IFERROR((VLOOKUP($BO$1&amp;C5,Teams!D:M,8,0)+AG39),0)</f>
        <v>145000</v>
      </c>
      <c r="AO5" s="234"/>
      <c r="AP5" s="228"/>
      <c r="AQ5" s="31">
        <f>IFERROR((IF(Z5&lt;&gt;"",0,((VLOOKUP($BO$1&amp;C5,Teams!D:M,9,0)+(AG39/1000))))),0)</f>
        <v>145</v>
      </c>
      <c r="AR5" s="32">
        <f>IFERROR((VLOOKUP($BO$1&amp;C5,Teams!D:N,11,0)),0)</f>
        <v>0</v>
      </c>
      <c r="AS5" s="32" t="str">
        <f t="shared" si="4"/>
        <v/>
      </c>
      <c r="AT5" s="32" t="str">
        <f t="shared" si="5"/>
        <v/>
      </c>
      <c r="AU5" s="32" t="str">
        <f t="shared" si="6"/>
        <v/>
      </c>
      <c r="AV5" s="32" t="str">
        <f t="shared" si="7"/>
        <v>YES</v>
      </c>
      <c r="AW5" s="32" t="str">
        <f t="shared" si="8"/>
        <v/>
      </c>
      <c r="AX5" s="43" t="str">
        <f t="shared" si="9"/>
        <v>, Block</v>
      </c>
      <c r="AY5" s="43" t="str">
        <f t="shared" si="10"/>
        <v/>
      </c>
      <c r="AZ5" s="43" t="str">
        <f t="shared" si="11"/>
        <v/>
      </c>
      <c r="BA5" s="43" t="str">
        <f t="shared" si="12"/>
        <v/>
      </c>
      <c r="BB5" s="43" t="str">
        <f t="shared" si="13"/>
        <v/>
      </c>
      <c r="BC5" s="43" t="str">
        <f t="shared" si="14"/>
        <v/>
      </c>
      <c r="BD5" s="43" t="str">
        <f t="shared" si="15"/>
        <v/>
      </c>
      <c r="BE5" s="43" t="str">
        <f t="shared" si="16"/>
        <v/>
      </c>
      <c r="BF5" s="44" t="str">
        <f t="shared" si="17"/>
        <v>, Block</v>
      </c>
      <c r="BG5" s="2" t="str">
        <f>IFERROR((IF((VLOOKUP($BO$1&amp;C5,Teams!D:M,7,0))="","",", ")),"")</f>
        <v xml:space="preserve">, </v>
      </c>
      <c r="BH5" s="2"/>
      <c r="BI5" s="32" t="str">
        <f>$BO$1&amp;4</f>
        <v>Necromantic4</v>
      </c>
      <c r="BJ5" s="2" t="str">
        <f>IFERROR(IF((VLOOKUP(BI5,Teams!B:C,2,FALSE))=0,"",(VLOOKUP(BI5,Teams!B:C,2,FALSE))),"")</f>
        <v>Wraiths</v>
      </c>
      <c r="BK5" s="32"/>
      <c r="BL5" s="32" t="s">
        <v>91</v>
      </c>
      <c r="BM5" s="32" t="str">
        <f>IF($J$24="English","Chaos Chosen",(IF($J$24="Español","Amazonas",(IF($J$24="Deutsch","Chaos Chosen ",(IF($J$24="Français","Bas-Fonds")))))))</f>
        <v>Chaos Chosen</v>
      </c>
      <c r="BN5" s="32" t="s">
        <v>92</v>
      </c>
      <c r="BO5" s="32"/>
      <c r="BP5" s="32">
        <v>60000</v>
      </c>
      <c r="BQ5" s="32">
        <v>50000</v>
      </c>
      <c r="BR5" s="32">
        <v>1</v>
      </c>
      <c r="BS5" s="33" t="str">
        <f>IF(J24="English","Favoured of…",(IF(J24="Español","Elegido de…",(IF(J24="Deutsch","Auserwählte des…",(IF(J24="Français","Favoris de...")))))))</f>
        <v>Favoured of…</v>
      </c>
      <c r="BT5" s="33" t="s">
        <v>93</v>
      </c>
      <c r="BU5" s="33"/>
      <c r="BV5" s="33"/>
      <c r="BW5" s="32"/>
      <c r="BX5" s="33"/>
      <c r="BY5" s="32" t="s">
        <v>91</v>
      </c>
      <c r="BZ5" s="32" t="s">
        <v>94</v>
      </c>
      <c r="CA5" s="47" t="s">
        <v>95</v>
      </c>
      <c r="CB5" s="31" t="s">
        <v>96</v>
      </c>
      <c r="CC5" s="31"/>
      <c r="CD5" s="31"/>
      <c r="CE5" s="31"/>
      <c r="CF5" s="48"/>
      <c r="CG5" s="31"/>
      <c r="CH5" s="31"/>
      <c r="CI5" s="32"/>
      <c r="CJ5" s="32"/>
      <c r="CK5" s="32"/>
      <c r="CL5" s="32"/>
      <c r="CM5" s="32"/>
      <c r="CN5" s="32"/>
      <c r="CO5" s="32"/>
      <c r="CP5" s="32"/>
      <c r="CQ5" s="32"/>
      <c r="CR5" s="32"/>
      <c r="CS5" s="32"/>
      <c r="CT5" s="32"/>
      <c r="CU5" s="32"/>
      <c r="CV5" s="32"/>
      <c r="CW5" s="2"/>
      <c r="CX5" s="2"/>
      <c r="CY5" s="2"/>
      <c r="CZ5" s="2"/>
      <c r="DA5" s="2"/>
      <c r="DB5" s="2"/>
    </row>
    <row r="6" spans="1:106" ht="30" customHeight="1">
      <c r="A6" s="28">
        <v>5</v>
      </c>
      <c r="B6" s="34" t="s">
        <v>97</v>
      </c>
      <c r="C6" s="248" t="s">
        <v>98</v>
      </c>
      <c r="D6" s="233"/>
      <c r="E6" s="233"/>
      <c r="F6" s="233"/>
      <c r="G6" s="35">
        <f>IF(C6="",0,(COUNTIF(C2:F17,C6)))</f>
        <v>2</v>
      </c>
      <c r="H6" s="36" t="s">
        <v>68</v>
      </c>
      <c r="I6" s="37">
        <f>IFERROR((VLOOKUP($BO$1&amp;C6,Teams!D:M,10,0)),0)</f>
        <v>2</v>
      </c>
      <c r="J6" s="38">
        <f t="shared" ref="J6:K6" si="25">IFERROR(K63,0)</f>
        <v>7</v>
      </c>
      <c r="K6" s="38">
        <f t="shared" si="25"/>
        <v>3</v>
      </c>
      <c r="L6" s="38" t="str">
        <f t="shared" ref="L6:N6" si="26">IFERROR(M63&amp;"+",0)</f>
        <v>3+</v>
      </c>
      <c r="M6" s="38" t="str">
        <f t="shared" si="26"/>
        <v>4+</v>
      </c>
      <c r="N6" s="38" t="str">
        <f t="shared" si="26"/>
        <v>8+</v>
      </c>
      <c r="O6" s="257" t="str">
        <f>IFERROR((IF(AV6="YES",(VLOOKUP($BO$1&amp;C6,Teams!D:M,7,0)&amp;BF6),AW6)),"")</f>
        <v>Dodge, Block, Sure Hands</v>
      </c>
      <c r="P6" s="233"/>
      <c r="Q6" s="233"/>
      <c r="R6" s="233"/>
      <c r="S6" s="233"/>
      <c r="T6" s="233"/>
      <c r="U6" s="233"/>
      <c r="V6" s="233"/>
      <c r="W6" s="233"/>
      <c r="X6" s="233"/>
      <c r="Y6" s="234"/>
      <c r="Z6" s="39"/>
      <c r="AA6" s="39"/>
      <c r="AB6" s="40"/>
      <c r="AC6" s="40">
        <v>5</v>
      </c>
      <c r="AD6" s="40"/>
      <c r="AE6" s="41"/>
      <c r="AF6" s="41"/>
      <c r="AG6" s="41"/>
      <c r="AH6" s="41"/>
      <c r="AI6" s="41">
        <v>1</v>
      </c>
      <c r="AJ6" s="255">
        <f t="shared" si="2"/>
        <v>19</v>
      </c>
      <c r="AK6" s="234"/>
      <c r="AL6" s="255">
        <f t="shared" si="3"/>
        <v>5</v>
      </c>
      <c r="AM6" s="234"/>
      <c r="AN6" s="255">
        <f>IFERROR((VLOOKUP($BO$1&amp;C6,Teams!D:M,8,0)+AG40),0)</f>
        <v>115000</v>
      </c>
      <c r="AO6" s="234"/>
      <c r="AP6" s="228"/>
      <c r="AQ6" s="31">
        <f>IFERROR((IF(Z6&lt;&gt;"",0,((VLOOKUP($BO$1&amp;C6,Teams!D:M,9,0)+(AG40/1000))))),0)</f>
        <v>115</v>
      </c>
      <c r="AR6" s="32">
        <f>IFERROR((VLOOKUP($BO$1&amp;C6,Teams!D:N,11,0)),0)</f>
        <v>0</v>
      </c>
      <c r="AS6" s="32" t="str">
        <f t="shared" si="4"/>
        <v/>
      </c>
      <c r="AT6" s="32" t="str">
        <f t="shared" si="5"/>
        <v/>
      </c>
      <c r="AU6" s="32" t="str">
        <f t="shared" si="6"/>
        <v/>
      </c>
      <c r="AV6" s="32" t="str">
        <f t="shared" si="7"/>
        <v>YES</v>
      </c>
      <c r="AW6" s="32" t="str">
        <f t="shared" si="8"/>
        <v/>
      </c>
      <c r="AX6" s="43" t="str">
        <f t="shared" si="9"/>
        <v>, Block</v>
      </c>
      <c r="AY6" s="43" t="str">
        <f t="shared" si="10"/>
        <v>, Sure Hands</v>
      </c>
      <c r="AZ6" s="43" t="str">
        <f t="shared" si="11"/>
        <v/>
      </c>
      <c r="BA6" s="43" t="str">
        <f t="shared" si="12"/>
        <v/>
      </c>
      <c r="BB6" s="43" t="str">
        <f t="shared" si="13"/>
        <v/>
      </c>
      <c r="BC6" s="43" t="str">
        <f t="shared" si="14"/>
        <v/>
      </c>
      <c r="BD6" s="43" t="str">
        <f t="shared" si="15"/>
        <v/>
      </c>
      <c r="BE6" s="43" t="str">
        <f t="shared" si="16"/>
        <v/>
      </c>
      <c r="BF6" s="44" t="str">
        <f t="shared" si="17"/>
        <v>, Block, Sure Hands</v>
      </c>
      <c r="BG6" s="2" t="str">
        <f>IFERROR((IF((VLOOKUP($BO$1&amp;C6,Teams!D:M,7,0))="","",", ")),"")</f>
        <v xml:space="preserve">, </v>
      </c>
      <c r="BH6" s="2"/>
      <c r="BI6" s="32" t="str">
        <f>$BO$1&amp;5</f>
        <v>Necromantic5</v>
      </c>
      <c r="BJ6" s="2" t="str">
        <f>IFERROR(IF((VLOOKUP(BI6,Teams!B:C,2,FALSE))=0,"",(VLOOKUP(BI6,Teams!B:C,2,FALSE))),"")</f>
        <v>Flesh Golem</v>
      </c>
      <c r="BK6" s="32"/>
      <c r="BL6" s="32" t="s">
        <v>99</v>
      </c>
      <c r="BM6" s="32" t="str">
        <f>IF($J$24="English","Chaos Dwarf",(IF($J$24="Español","Caos",(IF($J$24="Deutsch","Chaos Renegade ",(IF($J$24="Français","Démons de Khorne")))))))</f>
        <v>Chaos Dwarf</v>
      </c>
      <c r="BN6" s="32" t="s">
        <v>100</v>
      </c>
      <c r="BO6" s="32"/>
      <c r="BP6" s="32">
        <v>70000</v>
      </c>
      <c r="BQ6" s="32">
        <v>50000</v>
      </c>
      <c r="BR6" s="32">
        <v>1</v>
      </c>
      <c r="BS6" s="33" t="str">
        <f>IF(J24="English","Worlds Edge Superleague, Badlands Brawl and Favoured of…",(IF(J24="Español","Superliga del Fin del Mundo, Reyerta en las Yermas y Elegido de…",(IF(J24="Deutsch","Weltrandsuperliga, Düsterland-Rauferei und Auserwählte des…",(IF(J24="Français","Super-Ligue du Bord du Monde, Baggare des Terres Arides et Favoris de...")))))))</f>
        <v>Worlds Edge Superleague, Badlands Brawl and Favoured of…</v>
      </c>
      <c r="BT6" s="33" t="s">
        <v>101</v>
      </c>
      <c r="BU6" s="33"/>
      <c r="BV6" s="33"/>
      <c r="BW6" s="32"/>
      <c r="BX6" s="33"/>
      <c r="BY6" s="32" t="s">
        <v>99</v>
      </c>
      <c r="BZ6" s="32" t="s">
        <v>102</v>
      </c>
      <c r="CA6" s="47" t="s">
        <v>103</v>
      </c>
      <c r="CB6" s="31" t="s">
        <v>104</v>
      </c>
      <c r="CC6" s="31"/>
      <c r="CD6" s="31"/>
      <c r="CE6" s="31"/>
      <c r="CF6" s="48"/>
      <c r="CG6" s="31"/>
      <c r="CH6" s="31"/>
      <c r="CI6" s="32"/>
      <c r="CJ6" s="32"/>
      <c r="CK6" s="32"/>
      <c r="CL6" s="32"/>
      <c r="CM6" s="32"/>
      <c r="CN6" s="32"/>
      <c r="CO6" s="32"/>
      <c r="CP6" s="32"/>
      <c r="CQ6" s="32"/>
      <c r="CR6" s="32"/>
      <c r="CS6" s="32"/>
      <c r="CT6" s="32"/>
      <c r="CU6" s="32"/>
      <c r="CV6" s="32"/>
      <c r="CW6" s="2"/>
      <c r="CX6" s="2"/>
      <c r="CY6" s="2"/>
      <c r="CZ6" s="2"/>
      <c r="DA6" s="2"/>
      <c r="DB6" s="2"/>
    </row>
    <row r="7" spans="1:106" ht="30" customHeight="1">
      <c r="A7" s="28">
        <v>6</v>
      </c>
      <c r="B7" s="34" t="s">
        <v>105</v>
      </c>
      <c r="C7" s="248" t="s">
        <v>106</v>
      </c>
      <c r="D7" s="233"/>
      <c r="E7" s="233"/>
      <c r="F7" s="233"/>
      <c r="G7" s="35">
        <f>IF(C7="",0,(COUNTIF(C2:F17,C7)))</f>
        <v>2</v>
      </c>
      <c r="H7" s="36" t="s">
        <v>68</v>
      </c>
      <c r="I7" s="37">
        <f>IFERROR((VLOOKUP($BO$1&amp;C7,Teams!D:M,10,0)),0)</f>
        <v>2</v>
      </c>
      <c r="J7" s="38">
        <f t="shared" ref="J7:K7" si="27">IFERROR(K64,0)</f>
        <v>6</v>
      </c>
      <c r="K7" s="38">
        <f t="shared" si="27"/>
        <v>3</v>
      </c>
      <c r="L7" s="38" t="str">
        <f t="shared" ref="L7:N7" si="28">IFERROR(M64&amp;"+",0)</f>
        <v>3+</v>
      </c>
      <c r="M7" s="38" t="str">
        <f t="shared" si="28"/>
        <v>0+</v>
      </c>
      <c r="N7" s="38" t="str">
        <f t="shared" si="28"/>
        <v>9+</v>
      </c>
      <c r="O7" s="257" t="str">
        <f>IFERROR((IF(AV7="YES",(VLOOKUP($BO$1&amp;C7,Teams!D:M,7,0)&amp;BF7),AW7)),"")</f>
        <v>Block, Foul Appearance, No Hands, Regeneration, Side Step, Guard</v>
      </c>
      <c r="P7" s="233"/>
      <c r="Q7" s="233"/>
      <c r="R7" s="233"/>
      <c r="S7" s="233"/>
      <c r="T7" s="233"/>
      <c r="U7" s="233"/>
      <c r="V7" s="233"/>
      <c r="W7" s="233"/>
      <c r="X7" s="233"/>
      <c r="Y7" s="234"/>
      <c r="Z7" s="39"/>
      <c r="AA7" s="39"/>
      <c r="AB7" s="40"/>
      <c r="AC7" s="40"/>
      <c r="AD7" s="40"/>
      <c r="AE7" s="41"/>
      <c r="AF7" s="41"/>
      <c r="AG7" s="41"/>
      <c r="AH7" s="41"/>
      <c r="AI7" s="41">
        <v>2</v>
      </c>
      <c r="AJ7" s="255">
        <f t="shared" si="2"/>
        <v>8</v>
      </c>
      <c r="AK7" s="234"/>
      <c r="AL7" s="255">
        <f t="shared" si="3"/>
        <v>2</v>
      </c>
      <c r="AM7" s="234"/>
      <c r="AN7" s="255">
        <f>IFERROR((VLOOKUP($BO$1&amp;C7,Teams!D:M,8,0)+AG41),0)</f>
        <v>115000</v>
      </c>
      <c r="AO7" s="234"/>
      <c r="AP7" s="228"/>
      <c r="AQ7" s="31">
        <f>IFERROR((IF(Z7&lt;&gt;"",0,((VLOOKUP($BO$1&amp;C7,Teams!D:M,9,0)+(AG41/1000))))),0)</f>
        <v>115</v>
      </c>
      <c r="AR7" s="32">
        <f>IFERROR((VLOOKUP($BO$1&amp;C7,Teams!D:N,11,0)),0)</f>
        <v>0</v>
      </c>
      <c r="AS7" s="32" t="str">
        <f t="shared" si="4"/>
        <v/>
      </c>
      <c r="AT7" s="32" t="str">
        <f t="shared" si="5"/>
        <v/>
      </c>
      <c r="AU7" s="32" t="str">
        <f t="shared" si="6"/>
        <v/>
      </c>
      <c r="AV7" s="32" t="str">
        <f t="shared" si="7"/>
        <v>YES</v>
      </c>
      <c r="AW7" s="32" t="str">
        <f t="shared" si="8"/>
        <v/>
      </c>
      <c r="AX7" s="43" t="str">
        <f t="shared" si="9"/>
        <v>, Guard</v>
      </c>
      <c r="AY7" s="43" t="str">
        <f t="shared" si="10"/>
        <v/>
      </c>
      <c r="AZ7" s="43" t="str">
        <f t="shared" si="11"/>
        <v/>
      </c>
      <c r="BA7" s="43" t="str">
        <f t="shared" si="12"/>
        <v/>
      </c>
      <c r="BB7" s="43" t="str">
        <f t="shared" si="13"/>
        <v/>
      </c>
      <c r="BC7" s="43" t="str">
        <f t="shared" si="14"/>
        <v/>
      </c>
      <c r="BD7" s="43" t="str">
        <f t="shared" si="15"/>
        <v/>
      </c>
      <c r="BE7" s="43" t="str">
        <f t="shared" si="16"/>
        <v/>
      </c>
      <c r="BF7" s="44" t="str">
        <f t="shared" si="17"/>
        <v>, Guard</v>
      </c>
      <c r="BG7" s="2" t="str">
        <f>IFERROR((IF((VLOOKUP($BO$1&amp;C7,Teams!D:M,7,0))="","",", ")),"")</f>
        <v xml:space="preserve">, </v>
      </c>
      <c r="BH7" s="2"/>
      <c r="BI7" s="32" t="str">
        <f>$BO$1&amp;6</f>
        <v>Necromantic6</v>
      </c>
      <c r="BJ7" s="2" t="str">
        <f>IFERROR(IF((VLOOKUP(BI7,Teams!B:C,2,FALSE))=0,"",(VLOOKUP(BI7,Teams!B:C,2,FALSE))),"")</f>
        <v>Werewolf</v>
      </c>
      <c r="BK7" s="32"/>
      <c r="BL7" s="32" t="s">
        <v>107</v>
      </c>
      <c r="BM7" s="32" t="str">
        <f>IF($J$24="English","Chaos Renegades",(IF($J$24="Español","Demonios de Khorne",(IF($J$24="Deutsch","Chaoszwerge",(IF($J$24="Français","Elfes noirs")))))))</f>
        <v>Chaos Renegades</v>
      </c>
      <c r="BN7" s="32" t="s">
        <v>108</v>
      </c>
      <c r="BO7" s="32"/>
      <c r="BP7" s="32">
        <v>70000</v>
      </c>
      <c r="BQ7" s="32">
        <v>50000</v>
      </c>
      <c r="BR7" s="32">
        <v>3</v>
      </c>
      <c r="BS7" s="33" t="str">
        <f>IF(J24="English","Favoured of…",(IF(J24="Español","Elegido de…",(IF(J24="Deutsch","Auserwählte des…",(IF(J24="Français","Favoris de...")))))))</f>
        <v>Favoured of…</v>
      </c>
      <c r="BT7" s="33" t="s">
        <v>93</v>
      </c>
      <c r="BU7" s="33"/>
      <c r="BV7" s="33"/>
      <c r="BW7" s="32"/>
      <c r="BX7" s="33"/>
      <c r="BY7" s="32" t="s">
        <v>107</v>
      </c>
      <c r="BZ7" s="32" t="s">
        <v>109</v>
      </c>
      <c r="CA7" s="47" t="s">
        <v>110</v>
      </c>
      <c r="CB7" s="31" t="s">
        <v>111</v>
      </c>
      <c r="CC7" s="31"/>
      <c r="CD7" s="31"/>
      <c r="CE7" s="31"/>
      <c r="CF7" s="48"/>
      <c r="CG7" s="31"/>
      <c r="CH7" s="31"/>
      <c r="CI7" s="32"/>
      <c r="CJ7" s="32"/>
      <c r="CK7" s="32"/>
      <c r="CL7" s="32"/>
      <c r="CM7" s="32"/>
      <c r="CN7" s="32"/>
      <c r="CO7" s="32"/>
      <c r="CP7" s="32"/>
      <c r="CQ7" s="32"/>
      <c r="CR7" s="32"/>
      <c r="CS7" s="32"/>
      <c r="CT7" s="32"/>
      <c r="CU7" s="32"/>
      <c r="CV7" s="32"/>
      <c r="CW7" s="2"/>
      <c r="CX7" s="2"/>
      <c r="CY7" s="2"/>
      <c r="CZ7" s="2"/>
      <c r="DA7" s="2"/>
      <c r="DB7" s="2"/>
    </row>
    <row r="8" spans="1:106" ht="30" customHeight="1">
      <c r="A8" s="28">
        <v>7</v>
      </c>
      <c r="B8" s="34" t="s">
        <v>112</v>
      </c>
      <c r="C8" s="248" t="s">
        <v>113</v>
      </c>
      <c r="D8" s="233"/>
      <c r="E8" s="233"/>
      <c r="F8" s="233"/>
      <c r="G8" s="35">
        <f>IF(C8="",0,(COUNTIF(C2:F17,C8)))</f>
        <v>4</v>
      </c>
      <c r="H8" s="36" t="s">
        <v>68</v>
      </c>
      <c r="I8" s="37">
        <f>IFERROR((VLOOKUP($BO$1&amp;C8,Teams!D:M,10,0)),0)</f>
        <v>16</v>
      </c>
      <c r="J8" s="38">
        <f t="shared" ref="J8:K8" si="29">IFERROR(K65,0)</f>
        <v>4</v>
      </c>
      <c r="K8" s="38">
        <f t="shared" si="29"/>
        <v>3</v>
      </c>
      <c r="L8" s="38" t="str">
        <f t="shared" ref="L8:N8" si="30">IFERROR(M65&amp;"+",0)</f>
        <v>4+</v>
      </c>
      <c r="M8" s="38" t="str">
        <f t="shared" si="30"/>
        <v>0+</v>
      </c>
      <c r="N8" s="38" t="str">
        <f t="shared" si="30"/>
        <v>9+</v>
      </c>
      <c r="O8" s="257" t="str">
        <f>IFERROR((IF(AV8="YES",(VLOOKUP($BO$1&amp;C8,Teams!D:M,7,0)&amp;BF8),AW8)),"")</f>
        <v>Regeneration</v>
      </c>
      <c r="P8" s="233"/>
      <c r="Q8" s="233"/>
      <c r="R8" s="233"/>
      <c r="S8" s="233"/>
      <c r="T8" s="233"/>
      <c r="U8" s="233"/>
      <c r="V8" s="233"/>
      <c r="W8" s="233"/>
      <c r="X8" s="233"/>
      <c r="Y8" s="234"/>
      <c r="Z8" s="39"/>
      <c r="AA8" s="39"/>
      <c r="AB8" s="40"/>
      <c r="AC8" s="40"/>
      <c r="AD8" s="40"/>
      <c r="AE8" s="41">
        <v>1</v>
      </c>
      <c r="AF8" s="41"/>
      <c r="AG8" s="41"/>
      <c r="AH8" s="41"/>
      <c r="AI8" s="41"/>
      <c r="AJ8" s="255">
        <f t="shared" si="2"/>
        <v>2</v>
      </c>
      <c r="AK8" s="234"/>
      <c r="AL8" s="255">
        <f t="shared" si="3"/>
        <v>2</v>
      </c>
      <c r="AM8" s="234"/>
      <c r="AN8" s="255">
        <f>IFERROR((VLOOKUP($BO$1&amp;C8,Teams!D:M,8,0)+AG42),0)</f>
        <v>40000</v>
      </c>
      <c r="AO8" s="234"/>
      <c r="AP8" s="228"/>
      <c r="AQ8" s="31">
        <f>IFERROR((IF(Z8&lt;&gt;"",0,((VLOOKUP($BO$1&amp;C8,Teams!D:M,9,0)+(AG42/1000))))),0)</f>
        <v>40</v>
      </c>
      <c r="AR8" s="32">
        <f>IFERROR((VLOOKUP($BO$1&amp;C8,Teams!D:N,11,0)),0)</f>
        <v>0</v>
      </c>
      <c r="AS8" s="32" t="str">
        <f t="shared" si="4"/>
        <v/>
      </c>
      <c r="AT8" s="32" t="str">
        <f t="shared" si="5"/>
        <v/>
      </c>
      <c r="AU8" s="32" t="str">
        <f t="shared" si="6"/>
        <v/>
      </c>
      <c r="AV8" s="32" t="str">
        <f t="shared" si="7"/>
        <v>YES</v>
      </c>
      <c r="AW8" s="32" t="str">
        <f t="shared" si="8"/>
        <v/>
      </c>
      <c r="AX8" s="43" t="str">
        <f t="shared" si="9"/>
        <v/>
      </c>
      <c r="AY8" s="43" t="str">
        <f t="shared" si="10"/>
        <v/>
      </c>
      <c r="AZ8" s="43" t="str">
        <f t="shared" si="11"/>
        <v/>
      </c>
      <c r="BA8" s="43" t="str">
        <f t="shared" si="12"/>
        <v/>
      </c>
      <c r="BB8" s="43" t="str">
        <f t="shared" si="13"/>
        <v/>
      </c>
      <c r="BC8" s="43" t="str">
        <f t="shared" si="14"/>
        <v/>
      </c>
      <c r="BD8" s="43" t="str">
        <f t="shared" si="15"/>
        <v/>
      </c>
      <c r="BE8" s="43" t="str">
        <f t="shared" si="16"/>
        <v/>
      </c>
      <c r="BF8" s="44" t="str">
        <f t="shared" si="17"/>
        <v/>
      </c>
      <c r="BG8" s="2" t="str">
        <f>IFERROR((IF((VLOOKUP($BO$1&amp;C8,Teams!D:M,7,0))="","",", ")),"")</f>
        <v xml:space="preserve">, </v>
      </c>
      <c r="BH8" s="2"/>
      <c r="BI8" s="32" t="str">
        <f>$BO$1&amp;7</f>
        <v>Necromantic7</v>
      </c>
      <c r="BJ8" s="2" t="str">
        <f>IFERROR(IF((VLOOKUP(BI8,Teams!B:C,2,FALSE))=0,"",(VLOOKUP(BI8,Teams!B:C,2,FALSE))),"")</f>
        <v>Raised Zombie</v>
      </c>
      <c r="BK8" s="32"/>
      <c r="BL8" s="32" t="s">
        <v>114</v>
      </c>
      <c r="BM8" s="32" t="str">
        <f>IF($J$24="English","Daemons of Khorne",(IF($J$24="Español","Elfos Oscuros",(IF($J$24="Deutsch","Daemons of Khorne ",(IF($J$24="Français","Elfes Sylvains")))))))</f>
        <v>Daemons of Khorne</v>
      </c>
      <c r="BN8" s="32" t="s">
        <v>115</v>
      </c>
      <c r="BO8" s="32"/>
      <c r="BP8" s="32">
        <v>70000</v>
      </c>
      <c r="BQ8" s="32">
        <v>50000</v>
      </c>
      <c r="BR8" s="32">
        <v>1</v>
      </c>
      <c r="BS8" s="33" t="str">
        <f>IF(J24="English","Favoured of Khorne",(IF(J24="Español","Elegido de Khorne",(IF(J24="Deutsch","Auserwählte des Khorne",(IF(J24="Français","Favori de Khorne")))))))</f>
        <v>Favoured of Khorne</v>
      </c>
      <c r="BT8" s="33" t="s">
        <v>93</v>
      </c>
      <c r="BU8" s="33"/>
      <c r="BV8" s="33"/>
      <c r="BW8" s="32"/>
      <c r="BX8" s="33"/>
      <c r="BY8" s="32" t="s">
        <v>114</v>
      </c>
      <c r="BZ8" s="32" t="s">
        <v>116</v>
      </c>
      <c r="CA8" s="33" t="s">
        <v>117</v>
      </c>
      <c r="CB8" s="32" t="s">
        <v>118</v>
      </c>
      <c r="CC8" s="32"/>
      <c r="CD8" s="31"/>
      <c r="CE8" s="31"/>
      <c r="CF8" s="48"/>
      <c r="CG8" s="31"/>
      <c r="CH8" s="31"/>
      <c r="CI8" s="32"/>
      <c r="CJ8" s="32"/>
      <c r="CK8" s="32"/>
      <c r="CL8" s="32"/>
      <c r="CM8" s="32"/>
      <c r="CN8" s="32"/>
      <c r="CO8" s="32"/>
      <c r="CP8" s="32"/>
      <c r="CQ8" s="32"/>
      <c r="CR8" s="32"/>
      <c r="CS8" s="32"/>
      <c r="CT8" s="32"/>
      <c r="CU8" s="32"/>
      <c r="CV8" s="32"/>
      <c r="CW8" s="2"/>
      <c r="CX8" s="2"/>
      <c r="CY8" s="2"/>
      <c r="CZ8" s="2"/>
      <c r="DA8" s="2"/>
      <c r="DB8" s="2"/>
    </row>
    <row r="9" spans="1:106" ht="30" customHeight="1">
      <c r="A9" s="28">
        <v>8</v>
      </c>
      <c r="B9" s="34" t="s">
        <v>1232</v>
      </c>
      <c r="C9" s="246" t="s">
        <v>98</v>
      </c>
      <c r="D9" s="233"/>
      <c r="E9" s="233"/>
      <c r="F9" s="233"/>
      <c r="G9" s="35">
        <f>IF(C9="",0,(COUNTIF(C2:F17,C9)))</f>
        <v>2</v>
      </c>
      <c r="H9" s="36" t="s">
        <v>68</v>
      </c>
      <c r="I9" s="37">
        <f>IFERROR((VLOOKUP($BO$1&amp;C9,Teams!D:M,10,0)),0)</f>
        <v>2</v>
      </c>
      <c r="J9" s="38">
        <f t="shared" ref="J9:K9" si="31">IFERROR(K66,0)</f>
        <v>7</v>
      </c>
      <c r="K9" s="38">
        <f t="shared" si="31"/>
        <v>3</v>
      </c>
      <c r="L9" s="38" t="str">
        <f t="shared" ref="L9:N9" si="32">IFERROR(M66&amp;"+",0)</f>
        <v>3+</v>
      </c>
      <c r="M9" s="38" t="str">
        <f t="shared" si="32"/>
        <v>4+</v>
      </c>
      <c r="N9" s="38" t="str">
        <f t="shared" si="32"/>
        <v>8+</v>
      </c>
      <c r="O9" s="257" t="str">
        <f>IFERROR((IF(AV9="YES",(VLOOKUP($BO$1&amp;C9,Teams!D:M,7,0)&amp;BF9),AW9)),"")</f>
        <v>Dodge</v>
      </c>
      <c r="P9" s="233"/>
      <c r="Q9" s="233"/>
      <c r="R9" s="233"/>
      <c r="S9" s="233"/>
      <c r="T9" s="233"/>
      <c r="U9" s="233"/>
      <c r="V9" s="233"/>
      <c r="W9" s="233"/>
      <c r="X9" s="233"/>
      <c r="Y9" s="234"/>
      <c r="Z9" s="39"/>
      <c r="AA9" s="39"/>
      <c r="AB9" s="40"/>
      <c r="AC9" s="40"/>
      <c r="AD9" s="40"/>
      <c r="AE9" s="41"/>
      <c r="AF9" s="41"/>
      <c r="AG9" s="41"/>
      <c r="AH9" s="41"/>
      <c r="AI9" s="41"/>
      <c r="AJ9" s="255">
        <f t="shared" si="2"/>
        <v>0</v>
      </c>
      <c r="AK9" s="234"/>
      <c r="AL9" s="255">
        <f t="shared" si="3"/>
        <v>0</v>
      </c>
      <c r="AM9" s="234"/>
      <c r="AN9" s="255">
        <f>IFERROR((VLOOKUP($BO$1&amp;C9,Teams!D:M,8,0)+AG43),0)</f>
        <v>75000</v>
      </c>
      <c r="AO9" s="234"/>
      <c r="AP9" s="228"/>
      <c r="AQ9" s="31">
        <f>IFERROR((IF(Z9&lt;&gt;"",0,((VLOOKUP($BO$1&amp;C9,Teams!D:M,9,0)+(AG43/1000))))),0)</f>
        <v>75</v>
      </c>
      <c r="AR9" s="32">
        <f>IFERROR((VLOOKUP($BO$1&amp;C9,Teams!D:N,11,0)),0)</f>
        <v>0</v>
      </c>
      <c r="AS9" s="32" t="str">
        <f t="shared" si="4"/>
        <v/>
      </c>
      <c r="AT9" s="32" t="str">
        <f t="shared" si="5"/>
        <v/>
      </c>
      <c r="AU9" s="32" t="str">
        <f t="shared" si="6"/>
        <v/>
      </c>
      <c r="AV9" s="32" t="str">
        <f t="shared" si="7"/>
        <v>YES</v>
      </c>
      <c r="AW9" s="32" t="str">
        <f t="shared" si="8"/>
        <v/>
      </c>
      <c r="AX9" s="43" t="str">
        <f t="shared" si="9"/>
        <v/>
      </c>
      <c r="AY9" s="43" t="str">
        <f t="shared" si="10"/>
        <v/>
      </c>
      <c r="AZ9" s="43" t="str">
        <f t="shared" si="11"/>
        <v/>
      </c>
      <c r="BA9" s="43" t="str">
        <f t="shared" si="12"/>
        <v/>
      </c>
      <c r="BB9" s="43" t="str">
        <f t="shared" si="13"/>
        <v/>
      </c>
      <c r="BC9" s="43" t="str">
        <f t="shared" si="14"/>
        <v/>
      </c>
      <c r="BD9" s="43" t="str">
        <f t="shared" si="15"/>
        <v/>
      </c>
      <c r="BE9" s="43" t="str">
        <f t="shared" si="16"/>
        <v/>
      </c>
      <c r="BF9" s="44" t="str">
        <f t="shared" si="17"/>
        <v/>
      </c>
      <c r="BG9" s="2" t="str">
        <f>IFERROR((IF((VLOOKUP($BO$1&amp;C9,Teams!D:M,7,0))="","",", ")),"")</f>
        <v xml:space="preserve">, </v>
      </c>
      <c r="BH9" s="2"/>
      <c r="BI9" s="32" t="str">
        <f>$BO$1&amp;8</f>
        <v>Necromantic8</v>
      </c>
      <c r="BJ9" s="2" t="str">
        <f>IFERROR(IF((VLOOKUP(BI9,Teams!B:C,2,FALSE))=0,"",(VLOOKUP(BI9,Teams!B:C,2,FALSE))),"")</f>
        <v>Journey Zombie</v>
      </c>
      <c r="BK9" s="32"/>
      <c r="BL9" s="32" t="s">
        <v>120</v>
      </c>
      <c r="BM9" s="32" t="str">
        <f>IF($J$24="English","Dark Elf",(IF($J$24="Español","Elfos Pro",(IF($J$24="Deutsch","Dunkelelfen",(IF($J$24="Français","Élus du chaos")))))))</f>
        <v>Dark Elf</v>
      </c>
      <c r="BN9" s="32" t="s">
        <v>121</v>
      </c>
      <c r="BO9" s="32"/>
      <c r="BP9" s="32">
        <v>50000</v>
      </c>
      <c r="BQ9" s="32">
        <v>50000</v>
      </c>
      <c r="BR9" s="32">
        <v>0</v>
      </c>
      <c r="BS9" s="33" t="str">
        <f>IF(J24="English","Elven Kingdoms League",(IF(J24="Español","Liga de los Reinos Elfos",(IF(J24="Deutsch","Liga der Elfenkönigreiche",(IF(J24="Français","Ligue des Royaumes Elfiques")))))))</f>
        <v>Elven Kingdoms League</v>
      </c>
      <c r="BT9" s="33" t="s">
        <v>122</v>
      </c>
      <c r="BU9" s="33"/>
      <c r="BV9" s="33"/>
      <c r="BW9" s="32"/>
      <c r="BX9" s="33"/>
      <c r="BY9" s="32" t="s">
        <v>120</v>
      </c>
      <c r="BZ9" s="32" t="s">
        <v>123</v>
      </c>
      <c r="CA9" s="33" t="s">
        <v>124</v>
      </c>
      <c r="CB9" s="32" t="s">
        <v>125</v>
      </c>
      <c r="CC9" s="32"/>
      <c r="CD9" s="31"/>
      <c r="CE9" s="31"/>
      <c r="CF9" s="48"/>
      <c r="CG9" s="31"/>
      <c r="CH9" s="31"/>
      <c r="CI9" s="32"/>
      <c r="CJ9" s="32"/>
      <c r="CK9" s="32"/>
      <c r="CL9" s="32"/>
      <c r="CM9" s="32"/>
      <c r="CN9" s="32"/>
      <c r="CO9" s="32"/>
      <c r="CP9" s="32"/>
      <c r="CQ9" s="32"/>
      <c r="CR9" s="32"/>
      <c r="CS9" s="32"/>
      <c r="CT9" s="32"/>
      <c r="CU9" s="32"/>
      <c r="CV9" s="32"/>
      <c r="CW9" s="2"/>
      <c r="CX9" s="2"/>
      <c r="CY9" s="2"/>
      <c r="CZ9" s="2"/>
      <c r="DA9" s="2"/>
      <c r="DB9" s="2"/>
    </row>
    <row r="10" spans="1:106" ht="30" customHeight="1">
      <c r="A10" s="28">
        <v>9</v>
      </c>
      <c r="B10" s="34" t="s">
        <v>126</v>
      </c>
      <c r="C10" s="248" t="s">
        <v>113</v>
      </c>
      <c r="D10" s="233"/>
      <c r="E10" s="233"/>
      <c r="F10" s="233"/>
      <c r="G10" s="35">
        <f>IF(C10="",0,(COUNTIF(C2:F17,C10)))</f>
        <v>4</v>
      </c>
      <c r="H10" s="36" t="s">
        <v>68</v>
      </c>
      <c r="I10" s="37">
        <f>IFERROR((VLOOKUP($BO$1&amp;C10,Teams!D:M,10,0)),0)</f>
        <v>16</v>
      </c>
      <c r="J10" s="38">
        <f t="shared" ref="J10:K10" si="33">IFERROR(K67,0)</f>
        <v>4</v>
      </c>
      <c r="K10" s="38">
        <f t="shared" si="33"/>
        <v>3</v>
      </c>
      <c r="L10" s="38" t="str">
        <f t="shared" ref="L10:N10" si="34">IFERROR(M67&amp;"+",0)</f>
        <v>4+</v>
      </c>
      <c r="M10" s="38" t="str">
        <f t="shared" si="34"/>
        <v>0+</v>
      </c>
      <c r="N10" s="38" t="str">
        <f t="shared" si="34"/>
        <v>9+</v>
      </c>
      <c r="O10" s="257" t="str">
        <f>IFERROR((IF(AV10="YES",(VLOOKUP($BO$1&amp;C10,Teams!D:M,7,0)&amp;BF10),AW10)),"")</f>
        <v>Regeneration</v>
      </c>
      <c r="P10" s="233"/>
      <c r="Q10" s="233"/>
      <c r="R10" s="233"/>
      <c r="S10" s="233"/>
      <c r="T10" s="233"/>
      <c r="U10" s="233"/>
      <c r="V10" s="233"/>
      <c r="W10" s="233"/>
      <c r="X10" s="233"/>
      <c r="Y10" s="234"/>
      <c r="Z10" s="39"/>
      <c r="AA10" s="39"/>
      <c r="AB10" s="40"/>
      <c r="AC10" s="40"/>
      <c r="AD10" s="40"/>
      <c r="AE10" s="41"/>
      <c r="AF10" s="41"/>
      <c r="AG10" s="41"/>
      <c r="AH10" s="41"/>
      <c r="AI10" s="41"/>
      <c r="AJ10" s="255">
        <f t="shared" si="2"/>
        <v>0</v>
      </c>
      <c r="AK10" s="234"/>
      <c r="AL10" s="255">
        <f t="shared" si="3"/>
        <v>0</v>
      </c>
      <c r="AM10" s="234"/>
      <c r="AN10" s="255">
        <f>IFERROR((VLOOKUP($BO$1&amp;C10,Teams!D:M,8,0)+AG44),0)</f>
        <v>40000</v>
      </c>
      <c r="AO10" s="234"/>
      <c r="AP10" s="228"/>
      <c r="AQ10" s="31">
        <f>IFERROR((IF(Z10&lt;&gt;"",0,((VLOOKUP($BO$1&amp;C10,Teams!D:M,9,0)+(AG44/1000))))),0)</f>
        <v>40</v>
      </c>
      <c r="AR10" s="32">
        <f>IFERROR((VLOOKUP($BO$1&amp;C10,Teams!D:N,11,0)),0)</f>
        <v>0</v>
      </c>
      <c r="AS10" s="32" t="str">
        <f t="shared" si="4"/>
        <v/>
      </c>
      <c r="AT10" s="32" t="str">
        <f t="shared" si="5"/>
        <v/>
      </c>
      <c r="AU10" s="32" t="str">
        <f t="shared" si="6"/>
        <v/>
      </c>
      <c r="AV10" s="32" t="str">
        <f t="shared" si="7"/>
        <v>YES</v>
      </c>
      <c r="AW10" s="32" t="str">
        <f t="shared" si="8"/>
        <v/>
      </c>
      <c r="AX10" s="43" t="str">
        <f t="shared" si="9"/>
        <v/>
      </c>
      <c r="AY10" s="43" t="str">
        <f t="shared" si="10"/>
        <v/>
      </c>
      <c r="AZ10" s="43" t="str">
        <f t="shared" si="11"/>
        <v/>
      </c>
      <c r="BA10" s="43" t="str">
        <f t="shared" si="12"/>
        <v/>
      </c>
      <c r="BB10" s="43" t="str">
        <f t="shared" si="13"/>
        <v/>
      </c>
      <c r="BC10" s="43" t="str">
        <f t="shared" si="14"/>
        <v/>
      </c>
      <c r="BD10" s="43" t="str">
        <f t="shared" si="15"/>
        <v/>
      </c>
      <c r="BE10" s="43" t="str">
        <f t="shared" si="16"/>
        <v/>
      </c>
      <c r="BF10" s="44" t="str">
        <f t="shared" si="17"/>
        <v/>
      </c>
      <c r="BG10" s="2" t="str">
        <f>IFERROR((IF((VLOOKUP($BO$1&amp;C10,Teams!D:M,7,0))="","",", ")),"")</f>
        <v xml:space="preserve">, </v>
      </c>
      <c r="BH10" s="2"/>
      <c r="BI10" s="32" t="str">
        <f>$BO$1&amp;9</f>
        <v>Necromantic9</v>
      </c>
      <c r="BJ10" s="2" t="str">
        <f>IFERROR(IF((VLOOKUP(BI10,Teams!B:C,2,FALSE))=0,"",(VLOOKUP(BI10,Teams!B:C,2,FALSE))),"")</f>
        <v/>
      </c>
      <c r="BK10" s="32"/>
      <c r="BL10" s="32" t="s">
        <v>127</v>
      </c>
      <c r="BM10" s="32" t="str">
        <f>IF($J$24="English","Dwarf",(IF($J$24="Español","Elfos Silvanos",(IF($J$24="Deutsch","Chaos Chosen ",(IF($J$24="Français","Bas-Fonds")))))))</f>
        <v>Dwarf</v>
      </c>
      <c r="BN10" s="32" t="s">
        <v>127</v>
      </c>
      <c r="BO10" s="32"/>
      <c r="BP10" s="32">
        <v>50000</v>
      </c>
      <c r="BQ10" s="32">
        <v>50000</v>
      </c>
      <c r="BR10" s="32">
        <v>1</v>
      </c>
      <c r="BS10" s="33" t="str">
        <f>IF(J24="English","Old World Classic and Worlds Edge Superleague",(IF(J24="Español","Clásica del Viejo Mundo y Superliga del Fin del Mundo",(IF(J24="Deutsch","Alte-Welt-Klassiker und Weltrandsuperliga",(IF(J24="Français","Classique du Vieux Monde et Super-Ligue du Bord du Monde")))))))</f>
        <v>Old World Classic and Worlds Edge Superleague</v>
      </c>
      <c r="BT10" s="33" t="s">
        <v>128</v>
      </c>
      <c r="BU10" s="33"/>
      <c r="BV10" s="33"/>
      <c r="BW10" s="32"/>
      <c r="BX10" s="33"/>
      <c r="BY10" s="32" t="s">
        <v>127</v>
      </c>
      <c r="BZ10" s="32" t="s">
        <v>129</v>
      </c>
      <c r="CA10" s="33" t="s">
        <v>130</v>
      </c>
      <c r="CB10" s="32" t="s">
        <v>131</v>
      </c>
      <c r="CC10" s="32"/>
      <c r="CD10" s="31"/>
      <c r="CE10" s="31"/>
      <c r="CF10" s="48"/>
      <c r="CG10" s="31"/>
      <c r="CH10" s="31"/>
      <c r="CI10" s="32"/>
      <c r="CJ10" s="32"/>
      <c r="CK10" s="32"/>
      <c r="CL10" s="32"/>
      <c r="CM10" s="32"/>
      <c r="CN10" s="32"/>
      <c r="CO10" s="32"/>
      <c r="CP10" s="32"/>
      <c r="CQ10" s="32"/>
      <c r="CR10" s="32"/>
      <c r="CS10" s="32"/>
      <c r="CT10" s="32"/>
      <c r="CU10" s="32"/>
      <c r="CV10" s="32"/>
      <c r="CW10" s="2"/>
      <c r="CX10" s="2"/>
      <c r="CY10" s="2"/>
      <c r="CZ10" s="2"/>
      <c r="DA10" s="2"/>
      <c r="DB10" s="2"/>
    </row>
    <row r="11" spans="1:106" ht="30" customHeight="1">
      <c r="A11" s="28">
        <v>10</v>
      </c>
      <c r="B11" s="34" t="s">
        <v>132</v>
      </c>
      <c r="C11" s="246" t="s">
        <v>113</v>
      </c>
      <c r="D11" s="233"/>
      <c r="E11" s="233"/>
      <c r="F11" s="233"/>
      <c r="G11" s="35">
        <f>IF(C11="",0,(COUNTIF(C2:F17,C11)))</f>
        <v>4</v>
      </c>
      <c r="H11" s="36" t="s">
        <v>68</v>
      </c>
      <c r="I11" s="37">
        <f>IFERROR((VLOOKUP($BO$1&amp;C11,Teams!D:M,10,0)),0)</f>
        <v>16</v>
      </c>
      <c r="J11" s="38">
        <f t="shared" ref="J11:K11" si="35">IFERROR(K68,0)</f>
        <v>4</v>
      </c>
      <c r="K11" s="38">
        <f t="shared" si="35"/>
        <v>3</v>
      </c>
      <c r="L11" s="38" t="str">
        <f t="shared" ref="L11:N11" si="36">IFERROR(M68&amp;"+",0)</f>
        <v>4+</v>
      </c>
      <c r="M11" s="38" t="str">
        <f t="shared" si="36"/>
        <v>0+</v>
      </c>
      <c r="N11" s="38" t="str">
        <f t="shared" si="36"/>
        <v>9+</v>
      </c>
      <c r="O11" s="257" t="str">
        <f>IFERROR((IF(AV11="YES",(VLOOKUP($BO$1&amp;C11,Teams!D:M,7,0)&amp;BF11),AW11)),"")</f>
        <v>Regeneration, Block</v>
      </c>
      <c r="P11" s="233"/>
      <c r="Q11" s="233"/>
      <c r="R11" s="233"/>
      <c r="S11" s="233"/>
      <c r="T11" s="233"/>
      <c r="U11" s="233"/>
      <c r="V11" s="233"/>
      <c r="W11" s="233"/>
      <c r="X11" s="233"/>
      <c r="Y11" s="234"/>
      <c r="Z11" s="39"/>
      <c r="AA11" s="39"/>
      <c r="AB11" s="40"/>
      <c r="AC11" s="40"/>
      <c r="AD11" s="40"/>
      <c r="AE11" s="41"/>
      <c r="AF11" s="41">
        <v>2</v>
      </c>
      <c r="AG11" s="41"/>
      <c r="AH11" s="41"/>
      <c r="AI11" s="41">
        <v>1</v>
      </c>
      <c r="AJ11" s="255">
        <f t="shared" si="2"/>
        <v>8</v>
      </c>
      <c r="AK11" s="234"/>
      <c r="AL11" s="255">
        <f t="shared" si="3"/>
        <v>2</v>
      </c>
      <c r="AM11" s="234"/>
      <c r="AN11" s="255">
        <f>IFERROR((VLOOKUP($BO$1&amp;C11,Teams!D:M,8,0)+AG45),0)</f>
        <v>60000</v>
      </c>
      <c r="AO11" s="234"/>
      <c r="AP11" s="228"/>
      <c r="AQ11" s="31">
        <f>IFERROR((IF(Z11&lt;&gt;"",0,((VLOOKUP($BO$1&amp;C11,Teams!D:M,9,0)+(AG45/1000))))),0)</f>
        <v>60</v>
      </c>
      <c r="AR11" s="32">
        <f>IFERROR((VLOOKUP($BO$1&amp;C11,Teams!D:N,11,0)),0)</f>
        <v>0</v>
      </c>
      <c r="AS11" s="32" t="str">
        <f t="shared" si="4"/>
        <v/>
      </c>
      <c r="AT11" s="32" t="str">
        <f t="shared" si="5"/>
        <v/>
      </c>
      <c r="AU11" s="32" t="str">
        <f t="shared" si="6"/>
        <v/>
      </c>
      <c r="AV11" s="32" t="str">
        <f t="shared" si="7"/>
        <v>YES</v>
      </c>
      <c r="AW11" s="32" t="str">
        <f t="shared" si="8"/>
        <v/>
      </c>
      <c r="AX11" s="43" t="str">
        <f t="shared" si="9"/>
        <v>, Block</v>
      </c>
      <c r="AY11" s="43" t="str">
        <f t="shared" si="10"/>
        <v/>
      </c>
      <c r="AZ11" s="43" t="str">
        <f t="shared" si="11"/>
        <v/>
      </c>
      <c r="BA11" s="43" t="str">
        <f t="shared" si="12"/>
        <v/>
      </c>
      <c r="BB11" s="43" t="str">
        <f t="shared" si="13"/>
        <v/>
      </c>
      <c r="BC11" s="43" t="str">
        <f t="shared" si="14"/>
        <v/>
      </c>
      <c r="BD11" s="43" t="str">
        <f t="shared" si="15"/>
        <v/>
      </c>
      <c r="BE11" s="43" t="str">
        <f t="shared" si="16"/>
        <v/>
      </c>
      <c r="BF11" s="44" t="str">
        <f t="shared" si="17"/>
        <v>, Block</v>
      </c>
      <c r="BG11" s="2" t="str">
        <f>IFERROR((IF((VLOOKUP($BO$1&amp;C11,Teams!D:M,7,0))="","",", ")),"")</f>
        <v xml:space="preserve">, </v>
      </c>
      <c r="BH11" s="2"/>
      <c r="BI11" s="32" t="str">
        <f>$BO$1&amp;10</f>
        <v>Necromantic10</v>
      </c>
      <c r="BJ11" s="2" t="str">
        <f>IFERROR(IF((VLOOKUP(BI11,Teams!B:C,2,FALSE))=0,"",(VLOOKUP(BI11,Teams!B:C,2,FALSE))),"")</f>
        <v/>
      </c>
      <c r="BK11" s="32"/>
      <c r="BL11" s="32" t="s">
        <v>133</v>
      </c>
      <c r="BM11" s="32" t="str">
        <f>IF($J$24="English","Elven Union",(IF($J$24="Español","Enanos",(IF($J$24="Deutsch","Goblins ",(IF($J$24="Français","Halflings ")))))))</f>
        <v>Elven Union</v>
      </c>
      <c r="BN11" s="32" t="s">
        <v>134</v>
      </c>
      <c r="BO11" s="32"/>
      <c r="BP11" s="32">
        <v>50000</v>
      </c>
      <c r="BQ11" s="32">
        <v>50000</v>
      </c>
      <c r="BR11" s="32">
        <v>0</v>
      </c>
      <c r="BS11" s="33" t="str">
        <f>IF(J24="English","Elven Kingdoms League",(IF(J24="Español","Liga de los Reinos Elfos",(IF(J24="Deutsch","Liga der Elfenkönigreiche",(IF(J24="Français","Ligue des Royaumes Elfiques")))))))</f>
        <v>Elven Kingdoms League</v>
      </c>
      <c r="BT11" s="33" t="s">
        <v>122</v>
      </c>
      <c r="BU11" s="33"/>
      <c r="BV11" s="33"/>
      <c r="BW11" s="32"/>
      <c r="BX11" s="33"/>
      <c r="BY11" s="32" t="s">
        <v>133</v>
      </c>
      <c r="BZ11" s="32" t="s">
        <v>135</v>
      </c>
      <c r="CA11" s="33" t="s">
        <v>136</v>
      </c>
      <c r="CB11" s="32" t="s">
        <v>137</v>
      </c>
      <c r="CC11" s="32"/>
      <c r="CD11" s="31"/>
      <c r="CE11" s="31"/>
      <c r="CF11" s="48"/>
      <c r="CG11" s="31"/>
      <c r="CH11" s="31"/>
      <c r="CI11" s="32"/>
      <c r="CJ11" s="32"/>
      <c r="CK11" s="32"/>
      <c r="CL11" s="32"/>
      <c r="CM11" s="32"/>
      <c r="CN11" s="32"/>
      <c r="CO11" s="32"/>
      <c r="CP11" s="32"/>
      <c r="CQ11" s="32"/>
      <c r="CR11" s="32"/>
      <c r="CS11" s="32"/>
      <c r="CT11" s="32"/>
      <c r="CU11" s="32"/>
      <c r="CV11" s="32"/>
      <c r="CW11" s="2"/>
      <c r="CX11" s="2"/>
      <c r="CY11" s="2"/>
      <c r="CZ11" s="2"/>
      <c r="DA11" s="2"/>
      <c r="DB11" s="2"/>
    </row>
    <row r="12" spans="1:106" ht="30" customHeight="1">
      <c r="A12" s="28">
        <v>11</v>
      </c>
      <c r="B12" s="34" t="s">
        <v>138</v>
      </c>
      <c r="C12" s="246" t="s">
        <v>113</v>
      </c>
      <c r="D12" s="233"/>
      <c r="E12" s="233"/>
      <c r="F12" s="233"/>
      <c r="G12" s="35">
        <f>IF(C12="",0,(COUNTIF(C2:F17,C12)))</f>
        <v>4</v>
      </c>
      <c r="H12" s="36" t="s">
        <v>68</v>
      </c>
      <c r="I12" s="37">
        <f>IFERROR((VLOOKUP($BO$1&amp;C12,Teams!D:M,10,0)),0)</f>
        <v>16</v>
      </c>
      <c r="J12" s="38">
        <f t="shared" ref="J12:K12" si="37">IFERROR(K69,0)</f>
        <v>4</v>
      </c>
      <c r="K12" s="38">
        <f t="shared" si="37"/>
        <v>3</v>
      </c>
      <c r="L12" s="38" t="str">
        <f t="shared" ref="L12:N12" si="38">IFERROR(M69&amp;"+",0)</f>
        <v>4+</v>
      </c>
      <c r="M12" s="38" t="str">
        <f t="shared" si="38"/>
        <v>0+</v>
      </c>
      <c r="N12" s="38" t="str">
        <f t="shared" si="38"/>
        <v>8+</v>
      </c>
      <c r="O12" s="257" t="str">
        <f>IFERROR((IF(AV12="YES",(VLOOKUP($BO$1&amp;C12,Teams!D:M,7,0)&amp;BF12),AW12)),"")</f>
        <v>Regeneration</v>
      </c>
      <c r="P12" s="233"/>
      <c r="Q12" s="233"/>
      <c r="R12" s="233"/>
      <c r="S12" s="233"/>
      <c r="T12" s="233"/>
      <c r="U12" s="233"/>
      <c r="V12" s="233"/>
      <c r="W12" s="233"/>
      <c r="X12" s="233"/>
      <c r="Y12" s="234"/>
      <c r="Z12" s="39"/>
      <c r="AA12" s="39"/>
      <c r="AB12" s="40"/>
      <c r="AC12" s="40"/>
      <c r="AD12" s="40"/>
      <c r="AE12" s="41"/>
      <c r="AF12" s="41"/>
      <c r="AG12" s="41"/>
      <c r="AH12" s="41"/>
      <c r="AI12" s="41"/>
      <c r="AJ12" s="255">
        <f t="shared" si="2"/>
        <v>0</v>
      </c>
      <c r="AK12" s="234"/>
      <c r="AL12" s="255">
        <f t="shared" si="3"/>
        <v>0</v>
      </c>
      <c r="AM12" s="234"/>
      <c r="AN12" s="255">
        <f>IFERROR((VLOOKUP($BO$1&amp;C12,Teams!D:M,8,0)+AG46),0)</f>
        <v>40000</v>
      </c>
      <c r="AO12" s="234"/>
      <c r="AP12" s="228"/>
      <c r="AQ12" s="31">
        <f>IFERROR((IF(Z12&lt;&gt;"",0,((VLOOKUP($BO$1&amp;C12,Teams!D:M,9,0)+(AG46/1000))))),0)</f>
        <v>40</v>
      </c>
      <c r="AR12" s="32">
        <f>IFERROR((VLOOKUP($BO$1&amp;C12,Teams!D:N,11,0)),0)</f>
        <v>0</v>
      </c>
      <c r="AS12" s="32" t="str">
        <f t="shared" si="4"/>
        <v/>
      </c>
      <c r="AT12" s="32" t="str">
        <f t="shared" si="5"/>
        <v/>
      </c>
      <c r="AU12" s="32" t="str">
        <f t="shared" si="6"/>
        <v/>
      </c>
      <c r="AV12" s="32" t="str">
        <f t="shared" si="7"/>
        <v>YES</v>
      </c>
      <c r="AW12" s="32" t="str">
        <f t="shared" si="8"/>
        <v/>
      </c>
      <c r="AX12" s="43" t="str">
        <f t="shared" si="9"/>
        <v/>
      </c>
      <c r="AY12" s="43" t="str">
        <f t="shared" si="10"/>
        <v/>
      </c>
      <c r="AZ12" s="43" t="str">
        <f t="shared" si="11"/>
        <v/>
      </c>
      <c r="BA12" s="43" t="str">
        <f t="shared" si="12"/>
        <v/>
      </c>
      <c r="BB12" s="43" t="str">
        <f t="shared" si="13"/>
        <v/>
      </c>
      <c r="BC12" s="43" t="str">
        <f t="shared" si="14"/>
        <v/>
      </c>
      <c r="BD12" s="43" t="str">
        <f t="shared" si="15"/>
        <v/>
      </c>
      <c r="BE12" s="43" t="str">
        <f t="shared" si="16"/>
        <v/>
      </c>
      <c r="BF12" s="44" t="str">
        <f t="shared" si="17"/>
        <v/>
      </c>
      <c r="BG12" s="2" t="str">
        <f>IFERROR((IF((VLOOKUP($BO$1&amp;C12,Teams!D:M,7,0))="","",", ")),"")</f>
        <v xml:space="preserve">, </v>
      </c>
      <c r="BH12" s="2"/>
      <c r="BI12" s="32" t="str">
        <f>$BO$1&amp;11</f>
        <v>Necromantic11</v>
      </c>
      <c r="BJ12" s="2" t="str">
        <f>IFERROR(IF((VLOOKUP(BI12,Teams!B:C,2,FALSE))=0,"",(VLOOKUP(BI12,Teams!B:C,2,FALSE))),"")</f>
        <v/>
      </c>
      <c r="BK12" s="32"/>
      <c r="BL12" s="32" t="s">
        <v>139</v>
      </c>
      <c r="BM12" s="32" t="str">
        <f>IF($J$24="English","Goblin",(IF($J$24="Español","Enanos del Caos",(IF($J$24="Deutsch","Halflinge",(IF($J$24="Français","Hauts Elfes")))))))</f>
        <v>Goblin</v>
      </c>
      <c r="BN12" s="32" t="s">
        <v>139</v>
      </c>
      <c r="BO12" s="32"/>
      <c r="BP12" s="32">
        <v>60000</v>
      </c>
      <c r="BQ12" s="32">
        <v>50000</v>
      </c>
      <c r="BR12" s="32">
        <v>2</v>
      </c>
      <c r="BS12" s="33" t="str">
        <f>IF(J24="English","Badlands Brawl, Underworld Challenge and Bribery and Corruption",(IF(J24="Español","Reyerta en las Yermas, Reto del Inframundo y Sobornos y Corrupción",(IF(J24="Deutsch","Düsterland-Rauferei, Unterwelt-Herausforderung, Bestechung und Korruption",(IF(J24="Français","Bagarre des Terres Arides, Défi des Bas-Fonds et Chantage &amp; Corruption")))))))</f>
        <v>Badlands Brawl, Underworld Challenge and Bribery and Corruption</v>
      </c>
      <c r="BT12" s="33" t="s">
        <v>140</v>
      </c>
      <c r="BU12" s="33" t="s">
        <v>86</v>
      </c>
      <c r="BV12" s="33"/>
      <c r="BW12" s="33"/>
      <c r="BX12" s="33"/>
      <c r="BY12" s="32" t="s">
        <v>139</v>
      </c>
      <c r="BZ12" s="32" t="s">
        <v>141</v>
      </c>
      <c r="CA12" s="33" t="s">
        <v>142</v>
      </c>
      <c r="CB12" s="32" t="s">
        <v>143</v>
      </c>
      <c r="CC12" s="32"/>
      <c r="CD12" s="31"/>
      <c r="CE12" s="31"/>
      <c r="CF12" s="48"/>
      <c r="CG12" s="31"/>
      <c r="CH12" s="31"/>
      <c r="CI12" s="32"/>
      <c r="CJ12" s="32"/>
      <c r="CK12" s="32"/>
      <c r="CL12" s="32"/>
      <c r="CM12" s="32"/>
      <c r="CN12" s="32"/>
      <c r="CO12" s="32"/>
      <c r="CP12" s="32"/>
      <c r="CQ12" s="32"/>
      <c r="CR12" s="32"/>
      <c r="CS12" s="32"/>
      <c r="CT12" s="32"/>
      <c r="CU12" s="32"/>
      <c r="CV12" s="32"/>
      <c r="CW12" s="2"/>
      <c r="CX12" s="2"/>
      <c r="CY12" s="2"/>
      <c r="CZ12" s="2"/>
      <c r="DA12" s="2"/>
      <c r="DB12" s="2"/>
    </row>
    <row r="13" spans="1:106" ht="30" customHeight="1">
      <c r="A13" s="28">
        <v>12</v>
      </c>
      <c r="B13" s="49" t="s">
        <v>1231</v>
      </c>
      <c r="C13" s="246" t="s">
        <v>106</v>
      </c>
      <c r="D13" s="233"/>
      <c r="E13" s="233"/>
      <c r="F13" s="233"/>
      <c r="G13" s="35">
        <f>IF(C13="",0,(COUNTIF(C2:F17,C13)))</f>
        <v>2</v>
      </c>
      <c r="H13" s="36" t="s">
        <v>68</v>
      </c>
      <c r="I13" s="37">
        <f>IFERROR((VLOOKUP($BO$1&amp;C13,Teams!D:M,10,0)),0)</f>
        <v>2</v>
      </c>
      <c r="J13" s="38">
        <f t="shared" ref="J13:K13" si="39">IFERROR(K70,0)</f>
        <v>6</v>
      </c>
      <c r="K13" s="38">
        <f t="shared" si="39"/>
        <v>3</v>
      </c>
      <c r="L13" s="38" t="str">
        <f t="shared" ref="L13:N13" si="40">IFERROR(M70&amp;"+",0)</f>
        <v>3+</v>
      </c>
      <c r="M13" s="38" t="str">
        <f t="shared" si="40"/>
        <v>0+</v>
      </c>
      <c r="N13" s="38" t="str">
        <f t="shared" si="40"/>
        <v>9+</v>
      </c>
      <c r="O13" s="257" t="str">
        <f>IFERROR((IF(AV13="YES",(VLOOKUP($BO$1&amp;C13,Teams!D:M,7,0)&amp;BF13),AW13)),"")</f>
        <v>Block, Foul Appearance, No Hands, Regeneration, Side Step</v>
      </c>
      <c r="P13" s="233"/>
      <c r="Q13" s="233"/>
      <c r="R13" s="233"/>
      <c r="S13" s="233"/>
      <c r="T13" s="233"/>
      <c r="U13" s="233"/>
      <c r="V13" s="233"/>
      <c r="W13" s="233"/>
      <c r="X13" s="233"/>
      <c r="Y13" s="234"/>
      <c r="Z13" s="39"/>
      <c r="AA13" s="39"/>
      <c r="AB13" s="40"/>
      <c r="AC13" s="40"/>
      <c r="AD13" s="40"/>
      <c r="AE13" s="41"/>
      <c r="AF13" s="41"/>
      <c r="AG13" s="41"/>
      <c r="AH13" s="41"/>
      <c r="AI13" s="41"/>
      <c r="AJ13" s="255">
        <f t="shared" si="2"/>
        <v>0</v>
      </c>
      <c r="AK13" s="234"/>
      <c r="AL13" s="255">
        <f t="shared" si="3"/>
        <v>0</v>
      </c>
      <c r="AM13" s="234"/>
      <c r="AN13" s="255">
        <f>IFERROR((VLOOKUP($BO$1&amp;C13,Teams!D:M,8,0)+AG47),0)</f>
        <v>95000</v>
      </c>
      <c r="AO13" s="234"/>
      <c r="AP13" s="228"/>
      <c r="AQ13" s="31">
        <f>IFERROR((IF(Z13&lt;&gt;"",0,((VLOOKUP($BO$1&amp;C13,Teams!D:M,9,0)+(AG47/1000))))),0)</f>
        <v>95</v>
      </c>
      <c r="AR13" s="32">
        <f>IFERROR((VLOOKUP($BO$1&amp;C13,Teams!D:N,11,0)),0)</f>
        <v>0</v>
      </c>
      <c r="AS13" s="32" t="str">
        <f t="shared" si="4"/>
        <v/>
      </c>
      <c r="AT13" s="32" t="str">
        <f t="shared" si="5"/>
        <v/>
      </c>
      <c r="AU13" s="32" t="str">
        <f t="shared" si="6"/>
        <v/>
      </c>
      <c r="AV13" s="32" t="str">
        <f t="shared" si="7"/>
        <v>YES</v>
      </c>
      <c r="AW13" s="32" t="str">
        <f t="shared" si="8"/>
        <v/>
      </c>
      <c r="AX13" s="43" t="str">
        <f t="shared" si="9"/>
        <v/>
      </c>
      <c r="AY13" s="43" t="str">
        <f t="shared" si="10"/>
        <v/>
      </c>
      <c r="AZ13" s="43" t="str">
        <f t="shared" si="11"/>
        <v/>
      </c>
      <c r="BA13" s="43" t="str">
        <f t="shared" si="12"/>
        <v/>
      </c>
      <c r="BB13" s="43" t="str">
        <f t="shared" si="13"/>
        <v/>
      </c>
      <c r="BC13" s="43" t="str">
        <f t="shared" si="14"/>
        <v/>
      </c>
      <c r="BD13" s="43" t="str">
        <f t="shared" si="15"/>
        <v/>
      </c>
      <c r="BE13" s="43" t="str">
        <f t="shared" si="16"/>
        <v/>
      </c>
      <c r="BF13" s="44" t="str">
        <f t="shared" si="17"/>
        <v/>
      </c>
      <c r="BG13" s="2" t="str">
        <f>IFERROR((IF((VLOOKUP($BO$1&amp;C13,Teams!D:M,7,0))="","",", ")),"")</f>
        <v xml:space="preserve">, </v>
      </c>
      <c r="BH13" s="2"/>
      <c r="BI13" s="32" t="str">
        <f>$BO$1&amp;12</f>
        <v>Necromantic12</v>
      </c>
      <c r="BJ13" s="2" t="str">
        <f>IFERROR(IF((VLOOKUP(BI13,Teams!B:C,2,FALSE))=0,"",(VLOOKUP(BI13,Teams!B:C,2,FALSE))),"")</f>
        <v/>
      </c>
      <c r="BK13" s="32"/>
      <c r="BL13" s="32" t="s">
        <v>144</v>
      </c>
      <c r="BM13" s="32" t="str">
        <f>IF($J$24="English","Halfling",(IF($J$24="Español","Halflings",(IF($J$24="Deutsch","Hochelfen",(IF($J$24="Français","Hommes-Lézards")))))))</f>
        <v>Halfling</v>
      </c>
      <c r="BN13" s="32" t="s">
        <v>144</v>
      </c>
      <c r="BO13" s="32"/>
      <c r="BP13" s="32">
        <v>60000</v>
      </c>
      <c r="BQ13" s="32">
        <v>50000</v>
      </c>
      <c r="BR13" s="32">
        <v>2</v>
      </c>
      <c r="BS13" s="33" t="str">
        <f>IF(J24="English","Halfling Thimble Cup and Old World Classic",(IF(J24="Español","Copa Dedal Halfling y Clásica del Viejo Mundo",(IF(J24="Deutsch","Halbling-Fingerhut-Pokal, Alte-Welt-Klassiker",(IF(J24="Français","Coupe Dé à Coudre Halfling et Classique du Vieux Monde")))))))</f>
        <v>Halfling Thimble Cup and Old World Classic</v>
      </c>
      <c r="BT13" s="33" t="s">
        <v>145</v>
      </c>
      <c r="BU13" s="33"/>
      <c r="BV13" s="33"/>
      <c r="BW13" s="33"/>
      <c r="BX13" s="33"/>
      <c r="BY13" s="32" t="s">
        <v>144</v>
      </c>
      <c r="BZ13" s="32" t="s">
        <v>146</v>
      </c>
      <c r="CA13" s="33" t="s">
        <v>147</v>
      </c>
      <c r="CB13" s="32" t="s">
        <v>148</v>
      </c>
      <c r="CC13" s="32"/>
      <c r="CD13" s="31"/>
      <c r="CE13" s="31"/>
      <c r="CF13" s="48"/>
      <c r="CG13" s="31"/>
      <c r="CH13" s="31"/>
      <c r="CI13" s="32"/>
      <c r="CJ13" s="32"/>
      <c r="CK13" s="32"/>
      <c r="CL13" s="32"/>
      <c r="CM13" s="32"/>
      <c r="CN13" s="32"/>
      <c r="CO13" s="32"/>
      <c r="CP13" s="32"/>
      <c r="CQ13" s="32"/>
      <c r="CR13" s="32"/>
      <c r="CS13" s="32"/>
      <c r="CT13" s="32"/>
      <c r="CU13" s="32"/>
      <c r="CV13" s="32"/>
      <c r="CW13" s="2"/>
      <c r="CX13" s="2"/>
      <c r="CY13" s="2"/>
      <c r="CZ13" s="2"/>
      <c r="DA13" s="2"/>
      <c r="DB13" s="2"/>
    </row>
    <row r="14" spans="1:106" ht="30" customHeight="1">
      <c r="A14" s="28">
        <v>13</v>
      </c>
      <c r="B14" s="49"/>
      <c r="C14" s="246"/>
      <c r="D14" s="233"/>
      <c r="E14" s="233"/>
      <c r="F14" s="233"/>
      <c r="G14" s="35">
        <f>IF(C14="",0,(COUNTIF(C2:F17,C14)))</f>
        <v>0</v>
      </c>
      <c r="H14" s="36" t="s">
        <v>68</v>
      </c>
      <c r="I14" s="37">
        <f>IFERROR((VLOOKUP($BO$1&amp;C14,Teams!D:M,10,0)),0)</f>
        <v>0</v>
      </c>
      <c r="J14" s="38">
        <f t="shared" ref="J14:K14" si="41">IFERROR(K71,0)</f>
        <v>0</v>
      </c>
      <c r="K14" s="38">
        <f t="shared" si="41"/>
        <v>0</v>
      </c>
      <c r="L14" s="38" t="str">
        <f t="shared" ref="L14:N14" si="42">IFERROR(M71&amp;"+",0)</f>
        <v>0+</v>
      </c>
      <c r="M14" s="38" t="str">
        <f t="shared" si="42"/>
        <v>0+</v>
      </c>
      <c r="N14" s="38" t="str">
        <f t="shared" si="42"/>
        <v>0+</v>
      </c>
      <c r="O14" s="257" t="str">
        <f>IFERROR((IF(AV14="YES",(VLOOKUP($BO$1&amp;C14,Teams!D:M,7,0)&amp;BF14),AW14)),"")</f>
        <v>0</v>
      </c>
      <c r="P14" s="233"/>
      <c r="Q14" s="233"/>
      <c r="R14" s="233"/>
      <c r="S14" s="233"/>
      <c r="T14" s="233"/>
      <c r="U14" s="233"/>
      <c r="V14" s="233"/>
      <c r="W14" s="233"/>
      <c r="X14" s="233"/>
      <c r="Y14" s="234"/>
      <c r="Z14" s="39"/>
      <c r="AA14" s="39"/>
      <c r="AB14" s="40"/>
      <c r="AC14" s="40"/>
      <c r="AD14" s="40"/>
      <c r="AE14" s="41"/>
      <c r="AF14" s="41"/>
      <c r="AG14" s="41"/>
      <c r="AH14" s="41"/>
      <c r="AI14" s="41"/>
      <c r="AJ14" s="255">
        <f t="shared" si="2"/>
        <v>0</v>
      </c>
      <c r="AK14" s="234"/>
      <c r="AL14" s="255">
        <f t="shared" si="3"/>
        <v>0</v>
      </c>
      <c r="AM14" s="234"/>
      <c r="AN14" s="255">
        <f>IFERROR((VLOOKUP($BO$1&amp;C14,Teams!D:M,8,0)+AG48),0)</f>
        <v>0</v>
      </c>
      <c r="AO14" s="234"/>
      <c r="AP14" s="228"/>
      <c r="AQ14" s="31">
        <f>IFERROR((IF(Z14&lt;&gt;"",0,((VLOOKUP($BO$1&amp;C14,Teams!D:M,9,0)+(AG48/1000))))),0)</f>
        <v>0</v>
      </c>
      <c r="AR14" s="32">
        <f>IFERROR((VLOOKUP($BO$1&amp;C14,Teams!D:N,11,0)),0)</f>
        <v>0</v>
      </c>
      <c r="AS14" s="32" t="str">
        <f t="shared" si="4"/>
        <v/>
      </c>
      <c r="AT14" s="32" t="str">
        <f t="shared" si="5"/>
        <v/>
      </c>
      <c r="AU14" s="32" t="str">
        <f t="shared" si="6"/>
        <v/>
      </c>
      <c r="AV14" s="32" t="str">
        <f t="shared" si="7"/>
        <v>YES</v>
      </c>
      <c r="AW14" s="32" t="str">
        <f t="shared" si="8"/>
        <v/>
      </c>
      <c r="AX14" s="43" t="str">
        <f t="shared" si="9"/>
        <v/>
      </c>
      <c r="AY14" s="43" t="str">
        <f t="shared" si="10"/>
        <v/>
      </c>
      <c r="AZ14" s="43" t="str">
        <f t="shared" si="11"/>
        <v/>
      </c>
      <c r="BA14" s="43" t="str">
        <f t="shared" si="12"/>
        <v/>
      </c>
      <c r="BB14" s="43" t="str">
        <f t="shared" si="13"/>
        <v/>
      </c>
      <c r="BC14" s="43" t="str">
        <f t="shared" si="14"/>
        <v/>
      </c>
      <c r="BD14" s="43" t="str">
        <f t="shared" si="15"/>
        <v/>
      </c>
      <c r="BE14" s="43" t="str">
        <f t="shared" si="16"/>
        <v/>
      </c>
      <c r="BF14" s="44" t="str">
        <f t="shared" si="17"/>
        <v/>
      </c>
      <c r="BG14" s="2" t="str">
        <f>IFERROR((IF((VLOOKUP($BO$1&amp;C14,Teams!D:M,7,0))="","",", ")),"")</f>
        <v xml:space="preserve">, </v>
      </c>
      <c r="BH14" s="2"/>
      <c r="BI14" s="32" t="str">
        <f>$BO$1&amp;13</f>
        <v>Necromantic13</v>
      </c>
      <c r="BJ14" s="2" t="str">
        <f>IFERROR(IF((VLOOKUP(BI14,Teams!B:C,2,FALSE))=0,"",(VLOOKUP(BI14,Teams!B:C,2,FALSE))),"")</f>
        <v/>
      </c>
      <c r="BK14" s="32"/>
      <c r="BL14" s="32" t="s">
        <v>149</v>
      </c>
      <c r="BM14" s="32" t="str">
        <f>IF($J$24="English","High Elf",(IF($J$24="Español","Amazonas",(IF($J$24="Deutsch","Imperial Nobility ",(IF($J$24="Français","Horreurs Nécromantiques")))))))</f>
        <v>High Elf</v>
      </c>
      <c r="BN14" s="32" t="s">
        <v>150</v>
      </c>
      <c r="BO14" s="32"/>
      <c r="BP14" s="32">
        <v>50000</v>
      </c>
      <c r="BQ14" s="32">
        <v>50000</v>
      </c>
      <c r="BR14" s="32">
        <v>0</v>
      </c>
      <c r="BS14" s="33" t="str">
        <f>IF(J24="English","Elven Kingdoms League",(IF(J24="Español","Liga de los Reinos Elfos",(IF(J24="Deutsch","Liga der Elfenkönigreiche",(IF(J24="Français","Ligue des Royaumes Elfiques")))))))</f>
        <v>Elven Kingdoms League</v>
      </c>
      <c r="BT14" s="33" t="s">
        <v>122</v>
      </c>
      <c r="BU14" s="33"/>
      <c r="BV14" s="33"/>
      <c r="BW14" s="33"/>
      <c r="BX14" s="33"/>
      <c r="BY14" s="32" t="s">
        <v>149</v>
      </c>
      <c r="BZ14" s="32" t="s">
        <v>151</v>
      </c>
      <c r="CA14" s="47" t="s">
        <v>152</v>
      </c>
      <c r="CB14" s="31" t="s">
        <v>153</v>
      </c>
      <c r="CC14" s="31"/>
      <c r="CD14" s="31"/>
      <c r="CE14" s="31"/>
      <c r="CF14" s="48"/>
      <c r="CG14" s="31"/>
      <c r="CH14" s="31"/>
      <c r="CI14" s="32"/>
      <c r="CJ14" s="32"/>
      <c r="CK14" s="32"/>
      <c r="CL14" s="32"/>
      <c r="CM14" s="32"/>
      <c r="CN14" s="32"/>
      <c r="CO14" s="32"/>
      <c r="CP14" s="32"/>
      <c r="CQ14" s="32"/>
      <c r="CR14" s="32"/>
      <c r="CS14" s="32"/>
      <c r="CT14" s="32"/>
      <c r="CU14" s="32"/>
      <c r="CV14" s="32"/>
      <c r="CW14" s="2"/>
      <c r="CX14" s="2"/>
      <c r="CY14" s="2"/>
      <c r="CZ14" s="2"/>
      <c r="DA14" s="2"/>
      <c r="DB14" s="2"/>
    </row>
    <row r="15" spans="1:106" ht="30" customHeight="1">
      <c r="A15" s="28">
        <v>14</v>
      </c>
      <c r="B15" s="49"/>
      <c r="C15" s="246"/>
      <c r="D15" s="233"/>
      <c r="E15" s="233"/>
      <c r="F15" s="233"/>
      <c r="G15" s="35">
        <f>IF(C15="",0,(COUNTIF(C2:F17,C15)))</f>
        <v>0</v>
      </c>
      <c r="H15" s="36" t="s">
        <v>68</v>
      </c>
      <c r="I15" s="37">
        <f>IFERROR((VLOOKUP($BO$1&amp;C15,Teams!D:M,10,0)),0)</f>
        <v>0</v>
      </c>
      <c r="J15" s="38">
        <f t="shared" ref="J15:K15" si="43">IFERROR(K72,0)</f>
        <v>0</v>
      </c>
      <c r="K15" s="38">
        <f t="shared" si="43"/>
        <v>0</v>
      </c>
      <c r="L15" s="38" t="str">
        <f t="shared" ref="L15:N15" si="44">IFERROR(M72&amp;"+",0)</f>
        <v>0+</v>
      </c>
      <c r="M15" s="38" t="str">
        <f t="shared" si="44"/>
        <v>0+</v>
      </c>
      <c r="N15" s="38" t="str">
        <f t="shared" si="44"/>
        <v>0+</v>
      </c>
      <c r="O15" s="257" t="str">
        <f>IFERROR((IF(AV15="YES",(VLOOKUP($BO$1&amp;C15,Teams!D:M,7,0)&amp;BF15),AW15)),"")</f>
        <v>0</v>
      </c>
      <c r="P15" s="233"/>
      <c r="Q15" s="233"/>
      <c r="R15" s="233"/>
      <c r="S15" s="233"/>
      <c r="T15" s="233"/>
      <c r="U15" s="233"/>
      <c r="V15" s="233"/>
      <c r="W15" s="233"/>
      <c r="X15" s="233"/>
      <c r="Y15" s="234"/>
      <c r="Z15" s="39"/>
      <c r="AA15" s="39"/>
      <c r="AB15" s="40"/>
      <c r="AC15" s="40"/>
      <c r="AD15" s="40"/>
      <c r="AE15" s="41"/>
      <c r="AF15" s="41"/>
      <c r="AG15" s="41"/>
      <c r="AH15" s="41"/>
      <c r="AI15" s="41"/>
      <c r="AJ15" s="255">
        <f t="shared" si="2"/>
        <v>0</v>
      </c>
      <c r="AK15" s="234"/>
      <c r="AL15" s="255">
        <f t="shared" si="3"/>
        <v>0</v>
      </c>
      <c r="AM15" s="234"/>
      <c r="AN15" s="255">
        <f>IFERROR((VLOOKUP($BO$1&amp;C15,Teams!D:M,8,0)+AG49),0)</f>
        <v>0</v>
      </c>
      <c r="AO15" s="234"/>
      <c r="AP15" s="228"/>
      <c r="AQ15" s="31">
        <f>IFERROR((IF(Z15&lt;&gt;"",0,((VLOOKUP($BO$1&amp;C15,Teams!D:M,9,0)+(AG49/1000))))),0)</f>
        <v>0</v>
      </c>
      <c r="AR15" s="32">
        <f>IFERROR((VLOOKUP($BO$1&amp;C15,Teams!D:N,11,0)),0)</f>
        <v>0</v>
      </c>
      <c r="AS15" s="32" t="str">
        <f t="shared" si="4"/>
        <v/>
      </c>
      <c r="AT15" s="32" t="str">
        <f t="shared" si="5"/>
        <v/>
      </c>
      <c r="AU15" s="32" t="str">
        <f t="shared" si="6"/>
        <v/>
      </c>
      <c r="AV15" s="32" t="str">
        <f t="shared" si="7"/>
        <v>YES</v>
      </c>
      <c r="AW15" s="32" t="str">
        <f t="shared" si="8"/>
        <v/>
      </c>
      <c r="AX15" s="43" t="str">
        <f t="shared" si="9"/>
        <v/>
      </c>
      <c r="AY15" s="43" t="str">
        <f t="shared" si="10"/>
        <v/>
      </c>
      <c r="AZ15" s="43" t="str">
        <f t="shared" si="11"/>
        <v/>
      </c>
      <c r="BA15" s="43" t="str">
        <f t="shared" si="12"/>
        <v/>
      </c>
      <c r="BB15" s="43" t="str">
        <f t="shared" si="13"/>
        <v/>
      </c>
      <c r="BC15" s="43" t="str">
        <f t="shared" si="14"/>
        <v/>
      </c>
      <c r="BD15" s="43" t="str">
        <f t="shared" si="15"/>
        <v/>
      </c>
      <c r="BE15" s="43" t="str">
        <f t="shared" si="16"/>
        <v/>
      </c>
      <c r="BF15" s="44" t="str">
        <f t="shared" si="17"/>
        <v/>
      </c>
      <c r="BG15" s="2" t="str">
        <f>IFERROR((IF((VLOOKUP($BO$1&amp;C15,Teams!D:M,7,0))="","",", ")),"")</f>
        <v xml:space="preserve">, </v>
      </c>
      <c r="BH15" s="2"/>
      <c r="BI15" s="32"/>
      <c r="BJ15" s="2"/>
      <c r="BK15" s="32"/>
      <c r="BL15" s="32" t="s">
        <v>154</v>
      </c>
      <c r="BM15" s="32" t="str">
        <f>IF($J$24="English","Human",(IF($J$24="Español","Humanos",(IF($J$24="Deutsch","Lizardman ",(IF($J$24="Français","Humains")))))))</f>
        <v>Human</v>
      </c>
      <c r="BN15" s="32" t="s">
        <v>154</v>
      </c>
      <c r="BO15" s="32"/>
      <c r="BP15" s="32">
        <v>50000</v>
      </c>
      <c r="BQ15" s="32">
        <v>50000</v>
      </c>
      <c r="BR15" s="32">
        <v>1</v>
      </c>
      <c r="BS15" s="33" t="str">
        <f>IF(J24="English","Old World Classic",(IF(J24="Español","Clásica del Viejo Mundo",(IF(J24="Deutsch","Alte-Welt-Klassiker",(IF(J24="Français","Classique du Vieux Monde")))))))</f>
        <v>Old World Classic</v>
      </c>
      <c r="BT15" s="33" t="s">
        <v>155</v>
      </c>
      <c r="BU15" s="33"/>
      <c r="BV15" s="33"/>
      <c r="BW15" s="33"/>
      <c r="BX15" s="33"/>
      <c r="BY15" s="32" t="s">
        <v>154</v>
      </c>
      <c r="BZ15" s="32" t="s">
        <v>156</v>
      </c>
      <c r="CA15" s="47" t="s">
        <v>157</v>
      </c>
      <c r="CB15" s="31" t="s">
        <v>158</v>
      </c>
      <c r="CC15" s="31"/>
      <c r="CD15" s="31"/>
      <c r="CE15" s="31"/>
      <c r="CF15" s="48"/>
      <c r="CG15" s="31"/>
      <c r="CH15" s="31"/>
      <c r="CI15" s="32"/>
      <c r="CJ15" s="32"/>
      <c r="CK15" s="32"/>
      <c r="CL15" s="32"/>
      <c r="CM15" s="32"/>
      <c r="CN15" s="32"/>
      <c r="CO15" s="32"/>
      <c r="CP15" s="32"/>
      <c r="CQ15" s="32"/>
      <c r="CR15" s="32"/>
      <c r="CS15" s="32"/>
      <c r="CT15" s="32"/>
      <c r="CU15" s="32"/>
      <c r="CV15" s="32"/>
      <c r="CW15" s="2"/>
      <c r="CX15" s="2"/>
      <c r="CY15" s="2"/>
      <c r="CZ15" s="2"/>
      <c r="DA15" s="2"/>
      <c r="DB15" s="2"/>
    </row>
    <row r="16" spans="1:106" ht="30" customHeight="1">
      <c r="A16" s="28">
        <v>15</v>
      </c>
      <c r="B16" s="49"/>
      <c r="C16" s="246" t="s">
        <v>240</v>
      </c>
      <c r="D16" s="233"/>
      <c r="E16" s="233"/>
      <c r="F16" s="233"/>
      <c r="G16" s="35">
        <f t="shared" ref="G16:G17" si="45">IF(C16="",0,(COUNTIF(C2:F17,C16)))</f>
        <v>0</v>
      </c>
      <c r="H16" s="36" t="s">
        <v>68</v>
      </c>
      <c r="I16" s="37">
        <f>IFERROR((VLOOKUP($BO$1&amp;C16,Teams!D:M,10,0)),0)</f>
        <v>0</v>
      </c>
      <c r="J16" s="38">
        <f t="shared" ref="J16:K16" si="46">IFERROR(K73,0)</f>
        <v>0</v>
      </c>
      <c r="K16" s="38">
        <f t="shared" si="46"/>
        <v>0</v>
      </c>
      <c r="L16" s="38" t="str">
        <f t="shared" ref="L16:N16" si="47">IFERROR(M73&amp;"+",0)</f>
        <v>0+</v>
      </c>
      <c r="M16" s="38" t="str">
        <f t="shared" si="47"/>
        <v>0+</v>
      </c>
      <c r="N16" s="38" t="str">
        <f t="shared" si="47"/>
        <v>0+</v>
      </c>
      <c r="O16" s="257" t="str">
        <f>IFERROR((IF(AV16="YES",(VLOOKUP($BO$1&amp;C16,Teams!D:M,7,0)&amp;BF16),AW16)),"")</f>
        <v>0</v>
      </c>
      <c r="P16" s="233"/>
      <c r="Q16" s="233"/>
      <c r="R16" s="233"/>
      <c r="S16" s="233"/>
      <c r="T16" s="233"/>
      <c r="U16" s="233"/>
      <c r="V16" s="233"/>
      <c r="W16" s="233"/>
      <c r="X16" s="233"/>
      <c r="Y16" s="234"/>
      <c r="Z16" s="39"/>
      <c r="AA16" s="39"/>
      <c r="AB16" s="40"/>
      <c r="AC16" s="40"/>
      <c r="AD16" s="40"/>
      <c r="AE16" s="41"/>
      <c r="AF16" s="41"/>
      <c r="AG16" s="41"/>
      <c r="AH16" s="41"/>
      <c r="AI16" s="41"/>
      <c r="AJ16" s="255">
        <f t="shared" si="2"/>
        <v>0</v>
      </c>
      <c r="AK16" s="234"/>
      <c r="AL16" s="255">
        <f t="shared" si="3"/>
        <v>0</v>
      </c>
      <c r="AM16" s="234"/>
      <c r="AN16" s="255">
        <f>IFERROR((VLOOKUP($BO$1&amp;C16,Teams!D:M,8,0)+AG50),0)</f>
        <v>0</v>
      </c>
      <c r="AO16" s="234"/>
      <c r="AP16" s="228"/>
      <c r="AQ16" s="31">
        <f>IFERROR((IF(Z16&lt;&gt;"",0,((VLOOKUP($BO$1&amp;C16,Teams!D:M,9,0)+(AG50/1000))))),0)</f>
        <v>0</v>
      </c>
      <c r="AR16" s="32">
        <f>IFERROR((VLOOKUP($BO$1&amp;C16,Teams!D:N,11,0)),0)</f>
        <v>0</v>
      </c>
      <c r="AS16" s="32" t="str">
        <f t="shared" si="4"/>
        <v/>
      </c>
      <c r="AT16" s="32" t="str">
        <f t="shared" si="5"/>
        <v/>
      </c>
      <c r="AU16" s="32" t="str">
        <f t="shared" si="6"/>
        <v/>
      </c>
      <c r="AV16" s="32" t="str">
        <f t="shared" si="7"/>
        <v>YES</v>
      </c>
      <c r="AW16" s="32" t="str">
        <f t="shared" si="8"/>
        <v/>
      </c>
      <c r="AX16" s="43" t="str">
        <f t="shared" si="9"/>
        <v/>
      </c>
      <c r="AY16" s="43" t="str">
        <f t="shared" si="10"/>
        <v/>
      </c>
      <c r="AZ16" s="43" t="str">
        <f t="shared" si="11"/>
        <v/>
      </c>
      <c r="BA16" s="43" t="str">
        <f t="shared" si="12"/>
        <v/>
      </c>
      <c r="BB16" s="43" t="str">
        <f t="shared" si="13"/>
        <v/>
      </c>
      <c r="BC16" s="43" t="str">
        <f t="shared" si="14"/>
        <v/>
      </c>
      <c r="BD16" s="43" t="str">
        <f t="shared" si="15"/>
        <v/>
      </c>
      <c r="BE16" s="43" t="str">
        <f t="shared" si="16"/>
        <v/>
      </c>
      <c r="BF16" s="44" t="str">
        <f t="shared" si="17"/>
        <v/>
      </c>
      <c r="BG16" s="2" t="str">
        <f>IFERROR((IF((VLOOKUP($BO$1&amp;C16,Teams!D:M,7,0))="","",", ")),"")</f>
        <v xml:space="preserve">, </v>
      </c>
      <c r="BH16" s="2"/>
      <c r="BI16" s="2"/>
      <c r="BJ16" s="2"/>
      <c r="BK16" s="32"/>
      <c r="BL16" s="32" t="s">
        <v>159</v>
      </c>
      <c r="BM16" s="32" t="str">
        <f>IF($J$24="English","Imperial Nobility",(IF($J$24="Español","Inframundo",(IF($J$24="Deutsch","Menschen",(IF($J$24="Français","Morts-Vivants")))))))</f>
        <v>Imperial Nobility</v>
      </c>
      <c r="BN16" s="32" t="s">
        <v>160</v>
      </c>
      <c r="BO16" s="32"/>
      <c r="BP16" s="32">
        <v>70000</v>
      </c>
      <c r="BQ16" s="32">
        <v>50000</v>
      </c>
      <c r="BR16" s="32">
        <v>1</v>
      </c>
      <c r="BS16" s="33" t="str">
        <f>IF(J24="English","Old World Classic",(IF(J24="Español","Clásica del Viejo Mundo",(IF(J24="Deutsch","Alte-Welt-Klassiker",(IF(J24="Français","Classique du Vieux Monde")))))))</f>
        <v>Old World Classic</v>
      </c>
      <c r="BT16" s="33" t="s">
        <v>155</v>
      </c>
      <c r="BU16" s="33"/>
      <c r="BV16" s="33"/>
      <c r="BW16" s="33"/>
      <c r="BX16" s="33"/>
      <c r="BY16" s="32" t="s">
        <v>159</v>
      </c>
      <c r="BZ16" s="32" t="s">
        <v>161</v>
      </c>
      <c r="CA16" s="47" t="s">
        <v>162</v>
      </c>
      <c r="CB16" s="31" t="s">
        <v>163</v>
      </c>
      <c r="CC16" s="31"/>
      <c r="CD16" s="31"/>
      <c r="CE16" s="31"/>
      <c r="CF16" s="48"/>
      <c r="CG16" s="31"/>
      <c r="CH16" s="31"/>
      <c r="CI16" s="32"/>
      <c r="CJ16" s="32"/>
      <c r="CK16" s="32"/>
      <c r="CL16" s="32"/>
      <c r="CM16" s="32"/>
      <c r="CN16" s="32"/>
      <c r="CO16" s="32"/>
      <c r="CP16" s="32"/>
      <c r="CQ16" s="32"/>
      <c r="CR16" s="32"/>
      <c r="CS16" s="32"/>
      <c r="CT16" s="32"/>
      <c r="CU16" s="32"/>
      <c r="CV16" s="32"/>
      <c r="CW16" s="2"/>
      <c r="CX16" s="2"/>
      <c r="CY16" s="2"/>
      <c r="CZ16" s="2"/>
      <c r="DA16" s="2"/>
      <c r="DB16" s="2"/>
    </row>
    <row r="17" spans="1:106" ht="30" customHeight="1">
      <c r="A17" s="28">
        <v>16</v>
      </c>
      <c r="B17" s="49"/>
      <c r="C17" s="286" t="s">
        <v>240</v>
      </c>
      <c r="D17" s="233"/>
      <c r="E17" s="233"/>
      <c r="F17" s="233"/>
      <c r="G17" s="35">
        <f t="shared" si="45"/>
        <v>0</v>
      </c>
      <c r="H17" s="36" t="s">
        <v>68</v>
      </c>
      <c r="I17" s="37">
        <f>IFERROR((VLOOKUP($BO$1&amp;C17,Teams!D:M,10,0)),0)</f>
        <v>0</v>
      </c>
      <c r="J17" s="38">
        <f t="shared" ref="J17:K17" si="48">IFERROR(K74,0)</f>
        <v>0</v>
      </c>
      <c r="K17" s="38">
        <f t="shared" si="48"/>
        <v>0</v>
      </c>
      <c r="L17" s="38" t="str">
        <f t="shared" ref="L17:N17" si="49">IFERROR(M74&amp;"+",0)</f>
        <v>0+</v>
      </c>
      <c r="M17" s="38" t="str">
        <f t="shared" si="49"/>
        <v>0+</v>
      </c>
      <c r="N17" s="38" t="str">
        <f t="shared" si="49"/>
        <v>0+</v>
      </c>
      <c r="O17" s="257" t="str">
        <f>IFERROR((IF(AV17="YES",(VLOOKUP($BO$1&amp;C17,Teams!D:M,7,0)&amp;BF17),AW17)),"")</f>
        <v>0</v>
      </c>
      <c r="P17" s="233"/>
      <c r="Q17" s="233"/>
      <c r="R17" s="233"/>
      <c r="S17" s="233"/>
      <c r="T17" s="233"/>
      <c r="U17" s="233"/>
      <c r="V17" s="233"/>
      <c r="W17" s="233"/>
      <c r="X17" s="233"/>
      <c r="Y17" s="234"/>
      <c r="Z17" s="39"/>
      <c r="AA17" s="39"/>
      <c r="AB17" s="40"/>
      <c r="AC17" s="40"/>
      <c r="AD17" s="40"/>
      <c r="AE17" s="41"/>
      <c r="AF17" s="41"/>
      <c r="AG17" s="41"/>
      <c r="AH17" s="41"/>
      <c r="AI17" s="41"/>
      <c r="AJ17" s="255">
        <f t="shared" si="2"/>
        <v>0</v>
      </c>
      <c r="AK17" s="234"/>
      <c r="AL17" s="255">
        <f t="shared" si="3"/>
        <v>0</v>
      </c>
      <c r="AM17" s="234"/>
      <c r="AN17" s="255">
        <f>IFERROR((VLOOKUP($BO$1&amp;C17,Teams!D:M,8,0)+AG51),0)</f>
        <v>0</v>
      </c>
      <c r="AO17" s="234"/>
      <c r="AP17" s="228"/>
      <c r="AQ17" s="31">
        <f>IFERROR((IF(Z17&lt;&gt;"",0,((VLOOKUP($BO$1&amp;C17,Teams!D:M,9,0)+(AG51/1000))))),0)</f>
        <v>0</v>
      </c>
      <c r="AR17" s="32">
        <f>IFERROR((VLOOKUP($BO$1&amp;C17,Teams!D:N,11,0)),0)</f>
        <v>0</v>
      </c>
      <c r="AS17" s="32" t="str">
        <f t="shared" si="4"/>
        <v/>
      </c>
      <c r="AT17" s="32" t="str">
        <f t="shared" si="5"/>
        <v/>
      </c>
      <c r="AU17" s="32" t="str">
        <f t="shared" si="6"/>
        <v/>
      </c>
      <c r="AV17" s="32" t="str">
        <f t="shared" si="7"/>
        <v>YES</v>
      </c>
      <c r="AW17" s="32" t="str">
        <f t="shared" si="8"/>
        <v/>
      </c>
      <c r="AX17" s="43" t="str">
        <f t="shared" si="9"/>
        <v/>
      </c>
      <c r="AY17" s="43" t="str">
        <f t="shared" si="10"/>
        <v/>
      </c>
      <c r="AZ17" s="43" t="str">
        <f t="shared" si="11"/>
        <v/>
      </c>
      <c r="BA17" s="43" t="str">
        <f t="shared" si="12"/>
        <v/>
      </c>
      <c r="BB17" s="43" t="str">
        <f t="shared" si="13"/>
        <v/>
      </c>
      <c r="BC17" s="43" t="str">
        <f t="shared" si="14"/>
        <v/>
      </c>
      <c r="BD17" s="43" t="str">
        <f t="shared" si="15"/>
        <v/>
      </c>
      <c r="BE17" s="43" t="str">
        <f t="shared" si="16"/>
        <v/>
      </c>
      <c r="BF17" s="44" t="str">
        <f t="shared" si="17"/>
        <v/>
      </c>
      <c r="BG17" s="2" t="str">
        <f>IFERROR((IF((VLOOKUP($BO$1&amp;C17,Teams!D:M,7,0))="","",", ")),"")</f>
        <v xml:space="preserve">, </v>
      </c>
      <c r="BH17" s="2"/>
      <c r="BI17" s="2"/>
      <c r="BJ17" s="2"/>
      <c r="BK17" s="32"/>
      <c r="BL17" s="32" t="s">
        <v>164</v>
      </c>
      <c r="BM17" s="32" t="str">
        <f>IF($J$24="English","Lizardman",(IF($J$24="Español","Khemri",(IF($J$24="Deutsch","Necromantic-Horror",(IF($J$24="Français","Nains")))))))</f>
        <v>Lizardman</v>
      </c>
      <c r="BN17" s="32" t="s">
        <v>164</v>
      </c>
      <c r="BO17" s="32"/>
      <c r="BP17" s="32">
        <v>70000</v>
      </c>
      <c r="BQ17" s="32">
        <v>50000</v>
      </c>
      <c r="BR17" s="32">
        <v>1</v>
      </c>
      <c r="BS17" s="33" t="str">
        <f>IF(J24="English","Lustrian Superleague",(IF(J24="Español","Superliga Lustriana",(IF(J24="Deutsch","Lustria-Superliga",(IF(J24="Français","Super-Ligue de Lustrie")))))))</f>
        <v>Lustrian Superleague</v>
      </c>
      <c r="BT17" s="33" t="s">
        <v>77</v>
      </c>
      <c r="BU17" s="33"/>
      <c r="BV17" s="33"/>
      <c r="BW17" s="33"/>
      <c r="BX17" s="33"/>
      <c r="BY17" s="32" t="s">
        <v>164</v>
      </c>
      <c r="BZ17" s="32" t="s">
        <v>165</v>
      </c>
      <c r="CA17" s="47" t="s">
        <v>166</v>
      </c>
      <c r="CB17" s="31" t="s">
        <v>167</v>
      </c>
      <c r="CC17" s="31"/>
      <c r="CD17" s="31"/>
      <c r="CE17" s="31"/>
      <c r="CF17" s="48"/>
      <c r="CG17" s="31"/>
      <c r="CH17" s="31"/>
      <c r="CI17" s="32"/>
      <c r="CJ17" s="32"/>
      <c r="CK17" s="32"/>
      <c r="CL17" s="32"/>
      <c r="CM17" s="32"/>
      <c r="CN17" s="32"/>
      <c r="CO17" s="32"/>
      <c r="CP17" s="32"/>
      <c r="CQ17" s="32"/>
      <c r="CR17" s="32"/>
      <c r="CS17" s="32"/>
      <c r="CT17" s="32"/>
      <c r="CU17" s="32"/>
      <c r="CV17" s="32"/>
      <c r="CW17" s="2"/>
      <c r="CX17" s="2"/>
      <c r="CY17" s="2"/>
      <c r="CZ17" s="2"/>
      <c r="DA17" s="2"/>
      <c r="DB17" s="2"/>
    </row>
    <row r="18" spans="1:106" ht="45" customHeight="1">
      <c r="A18" s="28" t="s">
        <v>168</v>
      </c>
      <c r="B18" s="50" t="str">
        <f>IF(J24="English","Star Players",(IF(J24="Español","Jugadores Estrella",(IF(J24="Deutsch","Starspielers",(IF(J24="Français","Stars Players")))))))</f>
        <v>Star Players</v>
      </c>
      <c r="C18" s="248"/>
      <c r="D18" s="233"/>
      <c r="E18" s="233"/>
      <c r="F18" s="234"/>
      <c r="G18" s="35">
        <f>IF(C19="Star Player",0,(IF(C19="Jugador Estrella",0,(COUNTIF(C18:F19,C18)))))</f>
        <v>0</v>
      </c>
      <c r="H18" s="36" t="s">
        <v>68</v>
      </c>
      <c r="I18" s="37">
        <f>IFERROR((VLOOKUP(C18,StarPlayers!B:K,10,0)),0)</f>
        <v>0</v>
      </c>
      <c r="J18" s="38">
        <f>IFERROR((VLOOKUP(C18,StarPlayers!B:K,2,0)),0)</f>
        <v>0</v>
      </c>
      <c r="K18" s="38">
        <f>IFERROR((VLOOKUP(C18,StarPlayers!B:K,3,0)),0)</f>
        <v>0</v>
      </c>
      <c r="L18" s="38">
        <f>IFERROR((VLOOKUP(C18,StarPlayers!B:K,4,0)),0)</f>
        <v>0</v>
      </c>
      <c r="M18" s="38">
        <f>IFERROR((VLOOKUP(C18,StarPlayers!B:K,5,0)),0)</f>
        <v>0</v>
      </c>
      <c r="N18" s="38">
        <f>IFERROR((VLOOKUP(C18,StarPlayers!B:K,6,0)),0)</f>
        <v>0</v>
      </c>
      <c r="O18" s="258">
        <f>IFERROR((IF(G18&gt;I18,AS18,VLOOKUP(C18,StarPlayers!B:K,7,0))),0)</f>
        <v>0</v>
      </c>
      <c r="P18" s="233"/>
      <c r="Q18" s="233"/>
      <c r="R18" s="233"/>
      <c r="S18" s="233"/>
      <c r="T18" s="233"/>
      <c r="U18" s="233"/>
      <c r="V18" s="233"/>
      <c r="W18" s="233"/>
      <c r="X18" s="233"/>
      <c r="Y18" s="234"/>
      <c r="Z18" s="258">
        <f>IFERROR((IF(G18&gt;I18,AS18,VLOOKUP(C18,StarPlayers!B:K,8,0))),0)</f>
        <v>0</v>
      </c>
      <c r="AA18" s="233"/>
      <c r="AB18" s="233"/>
      <c r="AC18" s="233"/>
      <c r="AD18" s="233"/>
      <c r="AE18" s="233"/>
      <c r="AF18" s="233"/>
      <c r="AG18" s="233"/>
      <c r="AH18" s="233"/>
      <c r="AI18" s="233"/>
      <c r="AJ18" s="233"/>
      <c r="AK18" s="233"/>
      <c r="AL18" s="233"/>
      <c r="AM18" s="234"/>
      <c r="AN18" s="255">
        <f>IFERROR((VLOOKUP(C18,StarPlayers!B:K,9,0)),0)</f>
        <v>0</v>
      </c>
      <c r="AO18" s="234"/>
      <c r="AP18" s="228"/>
      <c r="AQ18" s="31">
        <f t="shared" ref="AQ18:AQ19" si="50">IFERROR(AN18/1000,0)</f>
        <v>0</v>
      </c>
      <c r="AR18" s="31"/>
      <c r="AS18" s="32" t="str">
        <f t="shared" si="4"/>
        <v/>
      </c>
      <c r="AT18" s="31"/>
      <c r="AU18" s="31"/>
      <c r="AV18" s="31"/>
      <c r="AW18" s="31"/>
      <c r="AX18" s="32"/>
      <c r="AY18" s="32"/>
      <c r="AZ18" s="32"/>
      <c r="BA18" s="32"/>
      <c r="BB18" s="32"/>
      <c r="BC18" s="32"/>
      <c r="BD18" s="32"/>
      <c r="BE18" s="32"/>
      <c r="BF18" s="2"/>
      <c r="BG18" s="2"/>
      <c r="BH18" s="2"/>
      <c r="BI18" s="2"/>
      <c r="BJ18" s="2"/>
      <c r="BK18" s="32"/>
      <c r="BL18" s="32" t="s">
        <v>169</v>
      </c>
      <c r="BM18" s="32" t="str">
        <f>IF($J$24="English","Necromantic",(IF($J$24="Español","Lagartos",(IF($J$24="Deutsch","Norse ",(IF($J$24="Français","Nains du Chaos")))))))</f>
        <v>Necromantic</v>
      </c>
      <c r="BN18" s="32" t="s">
        <v>169</v>
      </c>
      <c r="BO18" s="32"/>
      <c r="BP18" s="32">
        <v>70000</v>
      </c>
      <c r="BQ18" s="32">
        <v>0</v>
      </c>
      <c r="BR18" s="32">
        <v>0</v>
      </c>
      <c r="BS18" s="33" t="str">
        <f>IF(J24="English","Masters of Undeath, Sylvanian Spotlight",(IF(J24="Español","Señores de los No Muertos, Selectiva de Sylvania",(IF(J24="Deutsch","Masters of Undeath, Sylvanisches Rampenlicht",(IF(J24="Français","Masters of Undeath, Spot de Sylvanie")))))))</f>
        <v>Masters of Undeath, Sylvanian Spotlight</v>
      </c>
      <c r="BT18" s="33" t="s">
        <v>170</v>
      </c>
      <c r="BU18" s="33" t="s">
        <v>171</v>
      </c>
      <c r="BV18" s="33"/>
      <c r="BW18" s="33"/>
      <c r="BX18" s="33"/>
      <c r="BY18" s="32" t="s">
        <v>169</v>
      </c>
      <c r="BZ18" s="32" t="s">
        <v>172</v>
      </c>
      <c r="CA18" s="33" t="s">
        <v>173</v>
      </c>
      <c r="CB18" s="32" t="s">
        <v>174</v>
      </c>
      <c r="CC18" s="32"/>
      <c r="CD18" s="31"/>
      <c r="CE18" s="31"/>
      <c r="CF18" s="48"/>
      <c r="CG18" s="31"/>
      <c r="CH18" s="31"/>
      <c r="CI18" s="32"/>
      <c r="CJ18" s="32"/>
      <c r="CK18" s="32"/>
      <c r="CL18" s="32"/>
      <c r="CM18" s="32"/>
      <c r="CN18" s="32"/>
      <c r="CO18" s="32"/>
      <c r="CP18" s="32"/>
      <c r="CQ18" s="32"/>
      <c r="CR18" s="32"/>
      <c r="CS18" s="32"/>
      <c r="CT18" s="32"/>
      <c r="CU18" s="32"/>
      <c r="CV18" s="32"/>
      <c r="CW18" s="2"/>
      <c r="CX18" s="2"/>
      <c r="CY18" s="2"/>
      <c r="CZ18" s="2"/>
      <c r="DA18" s="2"/>
      <c r="DB18" s="2"/>
    </row>
    <row r="19" spans="1:106" ht="45" customHeight="1">
      <c r="A19" s="51" t="s">
        <v>168</v>
      </c>
      <c r="B19" s="50" t="str">
        <f>IF(J24="English","Star Players",(IF(J24="Español","Jugadores Estrella",(IF(J24="Deutsch","Starspielers",(IF(J24="Français","Stars Players")))))))</f>
        <v>Star Players</v>
      </c>
      <c r="C19" s="248"/>
      <c r="D19" s="233"/>
      <c r="E19" s="233"/>
      <c r="F19" s="234"/>
      <c r="G19" s="52">
        <f>IF(C19="Star Player",0,(IF(C19="Jugador Estrella",0,(COUNTIF(C18:F19,C19)))))</f>
        <v>0</v>
      </c>
      <c r="H19" s="53" t="s">
        <v>68</v>
      </c>
      <c r="I19" s="54">
        <f>IFERROR((VLOOKUP(C19,StarPlayers!B:K,10,0)),0)</f>
        <v>0</v>
      </c>
      <c r="J19" s="55">
        <f>IFERROR((VLOOKUP(C19,StarPlayers!B:K,2,0)),0)</f>
        <v>0</v>
      </c>
      <c r="K19" s="55">
        <f>IFERROR((VLOOKUP(C19,StarPlayers!B:K,3,0)),0)</f>
        <v>0</v>
      </c>
      <c r="L19" s="38">
        <f>IFERROR((VLOOKUP(C19,StarPlayers!B:K,4,0)),0)</f>
        <v>0</v>
      </c>
      <c r="M19" s="38">
        <f>IFERROR((VLOOKUP(C19,StarPlayers!B:K,5,0)),0)</f>
        <v>0</v>
      </c>
      <c r="N19" s="55">
        <f>IFERROR((VLOOKUP(C19,StarPlayers!B:K,6,0)),0)</f>
        <v>0</v>
      </c>
      <c r="O19" s="258">
        <f>IFERROR((IF(G19&gt;I19,AS19,VLOOKUP(C19,StarPlayers!B:K,7,0))),0)</f>
        <v>0</v>
      </c>
      <c r="P19" s="233"/>
      <c r="Q19" s="233"/>
      <c r="R19" s="233"/>
      <c r="S19" s="233"/>
      <c r="T19" s="233"/>
      <c r="U19" s="233"/>
      <c r="V19" s="233"/>
      <c r="W19" s="233"/>
      <c r="X19" s="233"/>
      <c r="Y19" s="234"/>
      <c r="Z19" s="258">
        <f>IFERROR((IF(G19&gt;I19,AS19,VLOOKUP(C19,StarPlayers!B:K,8,0))),0)</f>
        <v>0</v>
      </c>
      <c r="AA19" s="233"/>
      <c r="AB19" s="233"/>
      <c r="AC19" s="233"/>
      <c r="AD19" s="233"/>
      <c r="AE19" s="233"/>
      <c r="AF19" s="233"/>
      <c r="AG19" s="233"/>
      <c r="AH19" s="233"/>
      <c r="AI19" s="233"/>
      <c r="AJ19" s="233"/>
      <c r="AK19" s="233"/>
      <c r="AL19" s="233"/>
      <c r="AM19" s="234"/>
      <c r="AN19" s="255">
        <f>IFERROR((VLOOKUP(C19,StarPlayers!B:K,9,0)),0)</f>
        <v>0</v>
      </c>
      <c r="AO19" s="234"/>
      <c r="AP19" s="228"/>
      <c r="AQ19" s="31">
        <f t="shared" si="50"/>
        <v>0</v>
      </c>
      <c r="AR19" s="31"/>
      <c r="AS19" s="32" t="str">
        <f t="shared" si="4"/>
        <v/>
      </c>
      <c r="AT19" s="31"/>
      <c r="AU19" s="31"/>
      <c r="AV19" s="31"/>
      <c r="AW19" s="31"/>
      <c r="AX19" s="32"/>
      <c r="AY19" s="32"/>
      <c r="AZ19" s="32"/>
      <c r="BA19" s="32"/>
      <c r="BB19" s="32"/>
      <c r="BC19" s="32"/>
      <c r="BD19" s="32"/>
      <c r="BE19" s="32"/>
      <c r="BF19" s="2"/>
      <c r="BG19" s="2"/>
      <c r="BH19" s="2"/>
      <c r="BI19" s="2"/>
      <c r="BJ19" s="2"/>
      <c r="BK19" s="32"/>
      <c r="BL19" s="32" t="s">
        <v>175</v>
      </c>
      <c r="BM19" s="32" t="str">
        <f>IF($J$24="English","Norse",(IF($J$24="Español","Nigromanticos",(IF($J$24="Deutsch","Nurgle ",(IF($J$24="Français","Noblesse Impériale")))))))</f>
        <v>Norse</v>
      </c>
      <c r="BN19" s="32" t="s">
        <v>175</v>
      </c>
      <c r="BO19" s="32"/>
      <c r="BP19" s="32">
        <v>60000</v>
      </c>
      <c r="BQ19" s="32">
        <v>50000</v>
      </c>
      <c r="BR19" s="32">
        <v>1</v>
      </c>
      <c r="BS19" s="33" t="str">
        <f>IF(J24="English","Lustrian Superleague and Old World Classic",(IF(J24="Español","Superliga Lustriana y Clásica del Viejo Mundo",(IF(J24="Deutsch","Lustria-Superliga und Alte-Welt-Klassiker",(IF(J24="Français","Super-Ligue de Lustrie et Classique du Vieux Monde")))))))</f>
        <v>Lustrian Superleague and Old World Classic</v>
      </c>
      <c r="BT19" s="33" t="s">
        <v>176</v>
      </c>
      <c r="BU19" s="33"/>
      <c r="BV19" s="33"/>
      <c r="BW19" s="33"/>
      <c r="BX19" s="33"/>
      <c r="BY19" s="32" t="s">
        <v>175</v>
      </c>
      <c r="BZ19" s="32" t="s">
        <v>177</v>
      </c>
      <c r="CA19" s="33" t="s">
        <v>178</v>
      </c>
      <c r="CB19" s="32" t="s">
        <v>179</v>
      </c>
      <c r="CC19" s="32"/>
      <c r="CD19" s="31"/>
      <c r="CE19" s="31"/>
      <c r="CF19" s="48"/>
      <c r="CG19" s="31"/>
      <c r="CH19" s="31"/>
      <c r="CI19" s="32"/>
      <c r="CJ19" s="32"/>
      <c r="CK19" s="32"/>
      <c r="CL19" s="32"/>
      <c r="CM19" s="32"/>
      <c r="CN19" s="32"/>
      <c r="CO19" s="32"/>
      <c r="CP19" s="32"/>
      <c r="CQ19" s="32"/>
      <c r="CR19" s="32"/>
      <c r="CS19" s="32"/>
      <c r="CT19" s="32"/>
      <c r="CU19" s="32"/>
      <c r="CV19" s="32"/>
      <c r="CW19" s="2"/>
      <c r="CX19" s="2"/>
      <c r="CY19" s="2"/>
      <c r="CZ19" s="2"/>
      <c r="DA19" s="2"/>
      <c r="DB19" s="2"/>
    </row>
    <row r="20" spans="1:106" ht="18.75" customHeight="1">
      <c r="A20" s="263"/>
      <c r="B20" s="264"/>
      <c r="C20" s="254" t="str">
        <f>IF(J24="English","SPONSORS",(IF(J24="Español","ESPÓNSOR",(IF(J24="Deutsch","SPONSORS",(IF(J24="Français","SPONSORS")))))))</f>
        <v>SPONSORS</v>
      </c>
      <c r="D20" s="233"/>
      <c r="E20" s="233"/>
      <c r="F20" s="233"/>
      <c r="G20" s="233"/>
      <c r="H20" s="233"/>
      <c r="I20" s="234"/>
      <c r="J20" s="253" t="s">
        <v>180</v>
      </c>
      <c r="K20" s="233"/>
      <c r="L20" s="233"/>
      <c r="M20" s="233"/>
      <c r="N20" s="233"/>
      <c r="O20" s="233"/>
      <c r="P20" s="233"/>
      <c r="Q20" s="234"/>
      <c r="R20" s="249" t="str">
        <f>IF(J24="English","INITIAL DEDICATED FANS",(IF(J24="Español","FANS DEVOTOS INICIALES",(IF(J24="Deutsch","INITIAL TREUE FANS",(IF(J24="Français","FANS DÉVOUÉS INITIAUX")))))))</f>
        <v>INITIAL DEDICATED FANS</v>
      </c>
      <c r="S20" s="233"/>
      <c r="T20" s="233"/>
      <c r="U20" s="233"/>
      <c r="V20" s="234"/>
      <c r="W20" s="56">
        <v>1</v>
      </c>
      <c r="X20" s="57" t="s">
        <v>181</v>
      </c>
      <c r="Y20" s="250">
        <v>10000</v>
      </c>
      <c r="Z20" s="251"/>
      <c r="AA20" s="58" t="str">
        <f>IF(J24="English","gp",(IF(J24="Español","mo",(IF(J24="Deutsch","gm",(IF(J24="Français","po")))))))</f>
        <v>gp</v>
      </c>
      <c r="AB20" s="252">
        <f>IFERROR((W20-1)*Y20,0)</f>
        <v>0</v>
      </c>
      <c r="AC20" s="234"/>
      <c r="AD20" s="249" t="str">
        <f>IF(J24="English","TOTAL REROLLS",(IF(J24="Español","SEGUNDAS OPORTUNIDADES TOTALES",(IF(J24="Deutsch","TOTAL WIEDERHOLUNGSWÜRFE",(IF(J24="Français","RELANCES TOTALES")))))))</f>
        <v>TOTAL REROLLS</v>
      </c>
      <c r="AE20" s="233"/>
      <c r="AF20" s="233"/>
      <c r="AG20" s="233"/>
      <c r="AH20" s="234"/>
      <c r="AI20" s="256">
        <f>AI21+AI22</f>
        <v>3</v>
      </c>
      <c r="AJ20" s="233"/>
      <c r="AK20" s="233"/>
      <c r="AL20" s="233"/>
      <c r="AM20" s="233"/>
      <c r="AN20" s="233"/>
      <c r="AO20" s="234"/>
      <c r="AP20" s="228"/>
      <c r="AQ20" s="31"/>
      <c r="AR20" s="32"/>
      <c r="AS20" s="31"/>
      <c r="AT20" s="31"/>
      <c r="AU20" s="31"/>
      <c r="AV20" s="31"/>
      <c r="AW20" s="31"/>
      <c r="AX20" s="32"/>
      <c r="AY20" s="32"/>
      <c r="AZ20" s="32"/>
      <c r="BA20" s="32"/>
      <c r="BB20" s="32"/>
      <c r="BC20" s="32"/>
      <c r="BD20" s="32"/>
      <c r="BE20" s="32"/>
      <c r="BF20" s="2"/>
      <c r="BG20" s="2"/>
      <c r="BH20" s="2"/>
      <c r="BI20" s="2"/>
      <c r="BJ20" s="2"/>
      <c r="BK20" s="32"/>
      <c r="BL20" s="32" t="s">
        <v>182</v>
      </c>
      <c r="BM20" s="32" t="str">
        <f>IF($J$24="English","Nurgle",(IF($J$24="Español","No Muertos",(IF($J$24="Deutsch","Oger",(IF($J$24="Français","Nordiques")))))))</f>
        <v>Nurgle</v>
      </c>
      <c r="BN20" s="32" t="s">
        <v>182</v>
      </c>
      <c r="BO20" s="32"/>
      <c r="BP20" s="32">
        <v>70000</v>
      </c>
      <c r="BQ20" s="32">
        <v>0</v>
      </c>
      <c r="BR20" s="32">
        <v>1</v>
      </c>
      <c r="BS20" s="33" t="str">
        <f>IF(J24="English","Favoured of Nurgle",(IF(J24="Español","Elegido de Nurgle",(IF(J24="Deutsch","Auserwählte des Nurgle",(IF(J24="Français","Favori de Nurgle")))))))</f>
        <v>Favoured of Nurgle</v>
      </c>
      <c r="BT20" s="33" t="s">
        <v>93</v>
      </c>
      <c r="BU20" s="33"/>
      <c r="BV20" s="33"/>
      <c r="BW20" s="33"/>
      <c r="BX20" s="33"/>
      <c r="BY20" s="32" t="s">
        <v>182</v>
      </c>
      <c r="BZ20" s="32" t="s">
        <v>183</v>
      </c>
      <c r="CA20" s="33" t="s">
        <v>184</v>
      </c>
      <c r="CB20" s="32" t="s">
        <v>185</v>
      </c>
      <c r="CC20" s="32"/>
      <c r="CD20" s="31"/>
      <c r="CE20" s="31"/>
      <c r="CF20" s="48"/>
      <c r="CG20" s="31"/>
      <c r="CH20" s="31"/>
      <c r="CI20" s="32"/>
      <c r="CJ20" s="32"/>
      <c r="CK20" s="32"/>
      <c r="CL20" s="32"/>
      <c r="CM20" s="32"/>
      <c r="CN20" s="32"/>
      <c r="CO20" s="32"/>
      <c r="CP20" s="32"/>
      <c r="CQ20" s="32"/>
      <c r="CR20" s="32"/>
      <c r="CS20" s="32"/>
      <c r="CT20" s="32"/>
      <c r="CU20" s="32"/>
      <c r="CV20" s="32"/>
      <c r="CW20" s="2"/>
      <c r="CX20" s="2"/>
      <c r="CY20" s="2"/>
      <c r="CZ20" s="2"/>
      <c r="DA20" s="2"/>
      <c r="DB20" s="2"/>
    </row>
    <row r="21" spans="1:106" ht="18.75" customHeight="1">
      <c r="A21" s="265"/>
      <c r="B21" s="266"/>
      <c r="C21" s="249" t="str">
        <f>IF(J24="English","HEAD COACH",(IF(J24="Español","ENTRENADOR",(IF(J24="Deutsch","CHEFTRAINER",(IF(J24="Français","COACH")))))))</f>
        <v>HEAD COACH</v>
      </c>
      <c r="D21" s="233"/>
      <c r="E21" s="233"/>
      <c r="F21" s="233"/>
      <c r="G21" s="233"/>
      <c r="H21" s="233"/>
      <c r="I21" s="234"/>
      <c r="J21" s="253" t="s">
        <v>186</v>
      </c>
      <c r="K21" s="233"/>
      <c r="L21" s="233"/>
      <c r="M21" s="233"/>
      <c r="N21" s="233"/>
      <c r="O21" s="233"/>
      <c r="P21" s="233"/>
      <c r="Q21" s="234"/>
      <c r="R21" s="249" t="str">
        <f>IFERROR((IF(BV2="Sylvanian",(IF(J24="English","MORTUARY ASSISTANT",(IF(J24="Español","AYUDANTE DE MORGUE",(IF(J24="Deutsch","BEGRÄBNISASSISTENT",(IF(J24="Français","ASSISTANT FUNÉRAIRE")))))))),(IF(BO1="Nurgle",(IF(J24="English","PLAGUE DOCTOR",(IF(J24="Español","DOCTOR PLAGA",(IF(J24="Deutsch","PESTDOKTOR",(IF(J24="Français","MÉDECIN DE LA PESTE")))))))),(IF(J24="English","APOTHECARY",(IF(J24="Español","MÉDICO",(IF(J24="Deutsch","SANITÄTER",(IF(J24="Français","APOTHICAIRE")))))))))))),"")</f>
        <v>MORTUARY ASSISTANT</v>
      </c>
      <c r="S21" s="233"/>
      <c r="T21" s="233"/>
      <c r="U21" s="233"/>
      <c r="V21" s="234"/>
      <c r="W21" s="56">
        <v>0</v>
      </c>
      <c r="X21" s="57" t="s">
        <v>181</v>
      </c>
      <c r="Y21" s="250">
        <f>IFERROR(IF(BV2="Sylvanian",100000,(IF(BO1="Nurgle",100000,(VLOOKUP(BO1,BL:BQ,6,0))))),0)</f>
        <v>100000</v>
      </c>
      <c r="Z21" s="251"/>
      <c r="AA21" s="58" t="str">
        <f>IF(J24="English","gp",(IF(J24="Español","mo",(IF(J24="Deutsch","gm",(IF(J24="Français","po")))))))</f>
        <v>gp</v>
      </c>
      <c r="AB21" s="252">
        <f t="shared" ref="AB21:AB30" si="51">IFERROR(W21*Y21,0)</f>
        <v>0</v>
      </c>
      <c r="AC21" s="234"/>
      <c r="AD21" s="249" t="str">
        <f>IF(J24="English","INITAL REROLLS",(IF(J24="Español","SEGUNDAS OPORTUNIDADES INICIALES",(IF(J24="Deutsch","INITIAL WIEDERHOLUNGSWÜRFE",(IF(J24="Français","RELANCES INITIALES")))))))</f>
        <v>INITAL REROLLS</v>
      </c>
      <c r="AE21" s="233"/>
      <c r="AF21" s="233"/>
      <c r="AG21" s="233"/>
      <c r="AH21" s="234"/>
      <c r="AI21" s="59">
        <v>2</v>
      </c>
      <c r="AJ21" s="57" t="s">
        <v>181</v>
      </c>
      <c r="AK21" s="250">
        <f>IFERROR(VLOOKUP(BO1,BL:BP,5,0),0)</f>
        <v>70000</v>
      </c>
      <c r="AL21" s="251"/>
      <c r="AM21" s="60" t="str">
        <f>IF(J24="English","gp",(IF(J24="Español","mo",(IF(J24="Deutsch","gm",(IF(J24="Français","po")))))))</f>
        <v>gp</v>
      </c>
      <c r="AN21" s="252">
        <f t="shared" ref="AN21:AN30" si="52">IFERROR(AI21*AK21,0)</f>
        <v>140000</v>
      </c>
      <c r="AO21" s="234"/>
      <c r="AP21" s="228"/>
      <c r="AQ21" s="31"/>
      <c r="AR21" s="32"/>
      <c r="AS21" s="31"/>
      <c r="AT21" s="31"/>
      <c r="AU21" s="31"/>
      <c r="AV21" s="31"/>
      <c r="AW21" s="31"/>
      <c r="AX21" s="32"/>
      <c r="AY21" s="32"/>
      <c r="AZ21" s="32"/>
      <c r="BA21" s="32"/>
      <c r="BB21" s="32"/>
      <c r="BC21" s="32"/>
      <c r="BD21" s="32"/>
      <c r="BE21" s="32"/>
      <c r="BF21" s="2"/>
      <c r="BG21" s="2"/>
      <c r="BH21" s="2"/>
      <c r="BI21" s="2"/>
      <c r="BJ21" s="2"/>
      <c r="BK21" s="32"/>
      <c r="BL21" s="32" t="s">
        <v>187</v>
      </c>
      <c r="BM21" s="32" t="str">
        <f>IF($J$24="English","Ogre",(IF($J$24="Español","Nobles Imperiales",(IF($J$24="Deutsch","Old World Alliance ",(IF($J$24="Français","Nurgle   ")))))))</f>
        <v>Ogre</v>
      </c>
      <c r="BN21" s="32" t="s">
        <v>187</v>
      </c>
      <c r="BO21" s="32"/>
      <c r="BP21" s="32">
        <v>70000</v>
      </c>
      <c r="BQ21" s="32">
        <v>50000</v>
      </c>
      <c r="BR21" s="32">
        <v>6</v>
      </c>
      <c r="BS21" s="33" t="str">
        <f>IF(J24="English","Badlands Brawl, Old World Classic and Low Cost Linemen",(IF(J24="Español","Reyerta en las Yermas, Clásica del Viejo Mundo y Líneas Prescindibles",(IF(J24="Deutsch","Düsterland-Rauferei, Alte-Welt-Klassiker, Billige Linemen",(IF(J24="Français","Bagarre des Terres Arides, Classique du Vieux Monde et Linemen à Vil Prix")))))))</f>
        <v>Badlands Brawl, Old World Classic and Low Cost Linemen</v>
      </c>
      <c r="BT21" s="33" t="s">
        <v>188</v>
      </c>
      <c r="BU21" s="33"/>
      <c r="BV21" s="33" t="s">
        <v>189</v>
      </c>
      <c r="BW21" s="33"/>
      <c r="BX21" s="33"/>
      <c r="BY21" s="32" t="s">
        <v>187</v>
      </c>
      <c r="BZ21" s="32" t="s">
        <v>190</v>
      </c>
      <c r="CA21" s="33" t="s">
        <v>191</v>
      </c>
      <c r="CB21" s="32" t="s">
        <v>192</v>
      </c>
      <c r="CC21" s="32"/>
      <c r="CD21" s="31"/>
      <c r="CE21" s="31"/>
      <c r="CF21" s="48"/>
      <c r="CG21" s="31"/>
      <c r="CH21" s="31"/>
      <c r="CI21" s="32"/>
      <c r="CJ21" s="32"/>
      <c r="CK21" s="32"/>
      <c r="CL21" s="32"/>
      <c r="CM21" s="32"/>
      <c r="CN21" s="32"/>
      <c r="CO21" s="32"/>
      <c r="CP21" s="32"/>
      <c r="CQ21" s="32"/>
      <c r="CR21" s="32"/>
      <c r="CS21" s="32"/>
      <c r="CT21" s="32"/>
      <c r="CU21" s="32"/>
      <c r="CV21" s="32"/>
      <c r="CW21" s="2"/>
      <c r="CX21" s="2"/>
      <c r="CY21" s="2"/>
      <c r="CZ21" s="2"/>
      <c r="DA21" s="2"/>
      <c r="DB21" s="2"/>
    </row>
    <row r="22" spans="1:106" ht="18.75" customHeight="1">
      <c r="A22" s="265"/>
      <c r="B22" s="266"/>
      <c r="C22" s="254" t="str">
        <f>IF(J24="English","RACE",(IF(J24="Español","RAZA",(IF(J24="Deutsch","RASSE",(IF(J24="Français","TYPE D’ÉQUIPE")))))))</f>
        <v>RACE</v>
      </c>
      <c r="D22" s="233"/>
      <c r="E22" s="233"/>
      <c r="F22" s="233"/>
      <c r="G22" s="233"/>
      <c r="H22" s="233"/>
      <c r="I22" s="234"/>
      <c r="J22" s="291" t="s">
        <v>169</v>
      </c>
      <c r="K22" s="233"/>
      <c r="L22" s="233"/>
      <c r="M22" s="233"/>
      <c r="N22" s="233"/>
      <c r="O22" s="233"/>
      <c r="P22" s="233"/>
      <c r="Q22" s="234"/>
      <c r="R22" s="249" t="str">
        <f>IF(J24="English","CHEERLEADERS",(IF(J24="Español","ANIMADORAS",(IF(J24="Deutsch","CHEERLEADER",(IF(J24="Français","CHEERLEADERS")))))))</f>
        <v>CHEERLEADERS</v>
      </c>
      <c r="S22" s="233"/>
      <c r="T22" s="233"/>
      <c r="U22" s="233"/>
      <c r="V22" s="234"/>
      <c r="W22" s="56">
        <v>0</v>
      </c>
      <c r="X22" s="57" t="s">
        <v>181</v>
      </c>
      <c r="Y22" s="250">
        <v>10000</v>
      </c>
      <c r="Z22" s="251"/>
      <c r="AA22" s="58" t="str">
        <f>IF(J24="English","gp",(IF(J24="Español","mo",(IF(J24="Deutsch","gm",(IF(J24="Français","po")))))))</f>
        <v>gp</v>
      </c>
      <c r="AB22" s="252">
        <f t="shared" si="51"/>
        <v>0</v>
      </c>
      <c r="AC22" s="234"/>
      <c r="AD22" s="249" t="str">
        <f>IF(J24="English","ACQUIRED REROLLS",(IF(J24="Español","SEGUNDAS OPORTUNIDADES ADQUIRIDAS",(IF(J24="Deutsch","GEKAUFTE WIEDERHOLUNGSWÜRFE",(IF(J24="Français","RELANCES ACHETÉES")))))))</f>
        <v>ACQUIRED REROLLS</v>
      </c>
      <c r="AE22" s="233"/>
      <c r="AF22" s="233"/>
      <c r="AG22" s="233"/>
      <c r="AH22" s="234"/>
      <c r="AI22" s="56">
        <v>1</v>
      </c>
      <c r="AJ22" s="57" t="s">
        <v>181</v>
      </c>
      <c r="AK22" s="250">
        <f>IFERROR((VLOOKUP(BO1,BL:BP,5,0))*2,0)</f>
        <v>140000</v>
      </c>
      <c r="AL22" s="251"/>
      <c r="AM22" s="60" t="str">
        <f>IF(J24="English","gp",(IF(J24="Español","mo",(IF(J24="Deutsch","gm",(IF(J24="Français","po")))))))</f>
        <v>gp</v>
      </c>
      <c r="AN22" s="252">
        <f t="shared" si="52"/>
        <v>140000</v>
      </c>
      <c r="AO22" s="234"/>
      <c r="AP22" s="228"/>
      <c r="AQ22" s="32"/>
      <c r="AR22" s="32"/>
      <c r="AS22" s="31"/>
      <c r="AT22" s="31"/>
      <c r="AU22" s="31"/>
      <c r="AV22" s="31"/>
      <c r="AW22" s="31"/>
      <c r="AX22" s="32"/>
      <c r="AY22" s="32"/>
      <c r="AZ22" s="32"/>
      <c r="BA22" s="32"/>
      <c r="BB22" s="32"/>
      <c r="BC22" s="32"/>
      <c r="BD22" s="32"/>
      <c r="BE22" s="32"/>
      <c r="BF22" s="2"/>
      <c r="BG22" s="2"/>
      <c r="BH22" s="2"/>
      <c r="BI22" s="2"/>
      <c r="BJ22" s="2"/>
      <c r="BK22" s="32"/>
      <c r="BL22" s="32" t="s">
        <v>193</v>
      </c>
      <c r="BM22" s="32" t="str">
        <f>IF($J$24="English","Old World Alliance",(IF($J$24="Español","Nórdicos",(IF($J$24="Deutsch","Orks",(IF($J$24="Français","Ogres")))))))</f>
        <v>Old World Alliance</v>
      </c>
      <c r="BN22" s="32" t="s">
        <v>194</v>
      </c>
      <c r="BO22" s="32"/>
      <c r="BP22" s="32">
        <v>70000</v>
      </c>
      <c r="BQ22" s="32">
        <v>50000</v>
      </c>
      <c r="BR22" s="32">
        <v>1</v>
      </c>
      <c r="BS22" s="33" t="str">
        <f>IF(J24="English","Old World Classic",(IF(J24="Español","Clásica del Viejo Mundo",(IF(J24="Deutsch","Alte-Welt-Klassiker",(IF(J24="Français","Classique du Vieux Monde")))))))</f>
        <v>Old World Classic</v>
      </c>
      <c r="BT22" s="33" t="s">
        <v>155</v>
      </c>
      <c r="BU22" s="33"/>
      <c r="BV22" s="33"/>
      <c r="BW22" s="33"/>
      <c r="BX22" s="33"/>
      <c r="BY22" s="32" t="s">
        <v>193</v>
      </c>
      <c r="BZ22" s="32" t="s">
        <v>195</v>
      </c>
      <c r="CA22" s="33" t="s">
        <v>196</v>
      </c>
      <c r="CB22" s="32" t="s">
        <v>197</v>
      </c>
      <c r="CC22" s="32"/>
      <c r="CD22" s="31"/>
      <c r="CE22" s="31"/>
      <c r="CF22" s="48"/>
      <c r="CG22" s="31"/>
      <c r="CH22" s="31"/>
      <c r="CI22" s="32"/>
      <c r="CJ22" s="32"/>
      <c r="CK22" s="32"/>
      <c r="CL22" s="32"/>
      <c r="CM22" s="32"/>
      <c r="CN22" s="32"/>
      <c r="CO22" s="32"/>
      <c r="CP22" s="32"/>
      <c r="CQ22" s="32"/>
      <c r="CR22" s="32"/>
      <c r="CS22" s="32"/>
      <c r="CT22" s="32"/>
      <c r="CU22" s="32"/>
      <c r="CV22" s="32"/>
      <c r="CW22" s="2"/>
      <c r="CX22" s="2"/>
      <c r="CY22" s="2"/>
      <c r="CZ22" s="2"/>
      <c r="DA22" s="2"/>
      <c r="DB22" s="2"/>
    </row>
    <row r="23" spans="1:106" ht="18.75" customHeight="1">
      <c r="A23" s="265"/>
      <c r="B23" s="266"/>
      <c r="C23" s="254" t="str">
        <f>IF(J24="English","TEAM NAME",(IF(J24="Español","NOMBRE DEL EQUIPO",(IF(J24="Deutsch","TEAM NAME",(IF(J24="Français","NOM D’ÉQUIPE")))))))</f>
        <v>TEAM NAME</v>
      </c>
      <c r="D23" s="233"/>
      <c r="E23" s="233"/>
      <c r="F23" s="233"/>
      <c r="G23" s="233"/>
      <c r="H23" s="233"/>
      <c r="I23" s="234"/>
      <c r="J23" s="253" t="s">
        <v>198</v>
      </c>
      <c r="K23" s="233"/>
      <c r="L23" s="233"/>
      <c r="M23" s="233"/>
      <c r="N23" s="233"/>
      <c r="O23" s="233"/>
      <c r="P23" s="233"/>
      <c r="Q23" s="234"/>
      <c r="R23" s="249" t="str">
        <f>IF(J24="English","ASSISTANT COACHES",(IF(J24="Español","AYUDANTES ENTRENADOR",(IF(J24="Deutsch","TRAINERASSISTENTEN",(IF(J24="Français","COACHS ASSIST")))))))</f>
        <v>ASSISTANT COACHES</v>
      </c>
      <c r="S23" s="233"/>
      <c r="T23" s="233"/>
      <c r="U23" s="233"/>
      <c r="V23" s="234"/>
      <c r="W23" s="56">
        <v>0</v>
      </c>
      <c r="X23" s="57" t="s">
        <v>181</v>
      </c>
      <c r="Y23" s="250">
        <v>10000</v>
      </c>
      <c r="Z23" s="251"/>
      <c r="AA23" s="58" t="str">
        <f>IF(J24="English","gp",(IF(J24="Español","mo",(IF(J24="Deutsch","gm",(IF(J24="Français","po")))))))</f>
        <v>gp</v>
      </c>
      <c r="AB23" s="252">
        <f t="shared" si="51"/>
        <v>0</v>
      </c>
      <c r="AC23" s="234"/>
      <c r="AD23" s="254" t="str">
        <f>IF(J24="English","WEATHER MAGE",(IF(J24="Español","MAGO DEL TIEMPO",(IF(J24="Deutsch","WETTERMAGIER",(IF(J24="Français","MAGE MÉTÉO")))))))</f>
        <v>WEATHER MAGE</v>
      </c>
      <c r="AE23" s="233"/>
      <c r="AF23" s="233"/>
      <c r="AG23" s="233"/>
      <c r="AH23" s="234"/>
      <c r="AI23" s="56">
        <v>0</v>
      </c>
      <c r="AJ23" s="57" t="s">
        <v>181</v>
      </c>
      <c r="AK23" s="250">
        <v>30000</v>
      </c>
      <c r="AL23" s="251"/>
      <c r="AM23" s="58" t="str">
        <f>IF(J24="English","gp",(IF(J24="Español","mo",(IF(J24="Deutsch","gm",(IF(J24="Français","po")))))))</f>
        <v>gp</v>
      </c>
      <c r="AN23" s="252">
        <f t="shared" si="52"/>
        <v>0</v>
      </c>
      <c r="AO23" s="234"/>
      <c r="AP23" s="228"/>
      <c r="AQ23" s="31"/>
      <c r="AR23" s="32"/>
      <c r="AS23" s="31"/>
      <c r="AT23" s="31"/>
      <c r="AU23" s="31"/>
      <c r="AV23" s="31"/>
      <c r="AW23" s="31"/>
      <c r="AX23" s="32"/>
      <c r="AY23" s="32"/>
      <c r="AZ23" s="32"/>
      <c r="BA23" s="32"/>
      <c r="BB23" s="32"/>
      <c r="BC23" s="32"/>
      <c r="BD23" s="32"/>
      <c r="BE23" s="32"/>
      <c r="BF23" s="2"/>
      <c r="BG23" s="2"/>
      <c r="BH23" s="2"/>
      <c r="BI23" s="2"/>
      <c r="BJ23" s="2"/>
      <c r="BK23" s="32"/>
      <c r="BL23" s="32" t="s">
        <v>199</v>
      </c>
      <c r="BM23" s="32" t="str">
        <f>IF($J$24="English","Orc",(IF($J$24="Español","Nurgle ",(IF($J$24="Deutsch","Shambling Undead ",(IF($J$24="Français","Orques")))))))</f>
        <v>Orc</v>
      </c>
      <c r="BN23" s="32" t="s">
        <v>199</v>
      </c>
      <c r="BO23" s="32"/>
      <c r="BP23" s="32">
        <v>60000</v>
      </c>
      <c r="BQ23" s="32">
        <v>50000</v>
      </c>
      <c r="BR23" s="32">
        <v>1</v>
      </c>
      <c r="BS23" s="33" t="str">
        <f>IF(J24="English","Badlands Brawl",(IF(J24="Español","Reyerta en las Yermas",(IF(J24="Deutsch","Düsterland-Rauferei",(IF(J24="Français","Bagarre des Terres Arides")))))))</f>
        <v>Badlands Brawl</v>
      </c>
      <c r="BT23" s="33" t="s">
        <v>85</v>
      </c>
      <c r="BU23" s="33"/>
      <c r="BV23" s="33"/>
      <c r="BW23" s="33"/>
      <c r="BX23" s="33"/>
      <c r="BY23" s="32" t="s">
        <v>199</v>
      </c>
      <c r="BZ23" s="32" t="s">
        <v>200</v>
      </c>
      <c r="CA23" s="33" t="s">
        <v>201</v>
      </c>
      <c r="CB23" s="32" t="s">
        <v>202</v>
      </c>
      <c r="CC23" s="32"/>
      <c r="CD23" s="61"/>
      <c r="CE23" s="31"/>
      <c r="CF23" s="48"/>
      <c r="CG23" s="31"/>
      <c r="CH23" s="31"/>
      <c r="CI23" s="32"/>
      <c r="CJ23" s="32"/>
      <c r="CK23" s="32"/>
      <c r="CL23" s="32"/>
      <c r="CM23" s="32"/>
      <c r="CN23" s="32"/>
      <c r="CO23" s="32"/>
      <c r="CP23" s="32"/>
      <c r="CQ23" s="32"/>
      <c r="CR23" s="32"/>
      <c r="CS23" s="32"/>
      <c r="CT23" s="32"/>
      <c r="CU23" s="32"/>
      <c r="CV23" s="32"/>
      <c r="CW23" s="2"/>
      <c r="CX23" s="2"/>
      <c r="CY23" s="2"/>
      <c r="CZ23" s="2"/>
      <c r="DA23" s="2"/>
      <c r="DB23" s="2"/>
    </row>
    <row r="24" spans="1:106" ht="18.75" customHeight="1">
      <c r="A24" s="265"/>
      <c r="B24" s="266"/>
      <c r="C24" s="254" t="str">
        <f>IF(J24="English","LANGUAGE",(IF(J24="Español","IDIOMA",(IF(J24="Deutsch","SPRACHE",(IF(J24="Français","LANGUE")))))))</f>
        <v>LANGUAGE</v>
      </c>
      <c r="D24" s="233"/>
      <c r="E24" s="233"/>
      <c r="F24" s="233"/>
      <c r="G24" s="233"/>
      <c r="H24" s="233"/>
      <c r="I24" s="234"/>
      <c r="J24" s="299" t="s">
        <v>203</v>
      </c>
      <c r="K24" s="233"/>
      <c r="L24" s="233"/>
      <c r="M24" s="233"/>
      <c r="N24" s="233"/>
      <c r="O24" s="233"/>
      <c r="P24" s="233"/>
      <c r="Q24" s="234"/>
      <c r="R24" s="254" t="str">
        <f>IF(J24="English","BLOODWEISER KEGS",(IF(J24="Español","BARRILES BLOODWEISER",(IF(J24="Deutsch","BLOODWEISER KEGS",(IF(J24="Français","FÛTS DE BLOODWEISER")))))))</f>
        <v>BLOODWEISER KEGS</v>
      </c>
      <c r="S24" s="233"/>
      <c r="T24" s="233"/>
      <c r="U24" s="233"/>
      <c r="V24" s="234"/>
      <c r="W24" s="56">
        <v>0</v>
      </c>
      <c r="X24" s="57" t="s">
        <v>181</v>
      </c>
      <c r="Y24" s="250">
        <v>50000</v>
      </c>
      <c r="Z24" s="251"/>
      <c r="AA24" s="58" t="str">
        <f>IF(J24="English","gp",(IF(J24="Español","mo",(IF(J24="Deutsch","gm",(IF(J24="Français","po")))))))</f>
        <v>gp</v>
      </c>
      <c r="AB24" s="252">
        <f t="shared" si="51"/>
        <v>0</v>
      </c>
      <c r="AC24" s="234"/>
      <c r="AD24" s="281" t="s">
        <v>204</v>
      </c>
      <c r="AE24" s="233"/>
      <c r="AF24" s="233"/>
      <c r="AG24" s="233"/>
      <c r="AH24" s="234"/>
      <c r="AI24" s="56">
        <v>0</v>
      </c>
      <c r="AJ24" s="57" t="s">
        <v>181</v>
      </c>
      <c r="AK24" s="250">
        <f>IFERROR((VLOOKUP(AD24,BH57:BI83,2,FALSE)),0)</f>
        <v>0</v>
      </c>
      <c r="AL24" s="251"/>
      <c r="AM24" s="58" t="str">
        <f>IF(J24="English","gp",(IF(J24="Español","mo",(IF(J24="Deutsch","gm",(IF(J24="Français","po")))))))</f>
        <v>gp</v>
      </c>
      <c r="AN24" s="252">
        <f t="shared" si="52"/>
        <v>0</v>
      </c>
      <c r="AO24" s="234"/>
      <c r="AP24" s="228"/>
      <c r="AQ24" s="31"/>
      <c r="AR24" s="31"/>
      <c r="AS24" s="32"/>
      <c r="AT24" s="31"/>
      <c r="AU24" s="31"/>
      <c r="AV24" s="31"/>
      <c r="AW24" s="31"/>
      <c r="AX24" s="32"/>
      <c r="AY24" s="32"/>
      <c r="AZ24" s="32"/>
      <c r="BA24" s="32"/>
      <c r="BB24" s="32"/>
      <c r="BC24" s="32"/>
      <c r="BD24" s="32"/>
      <c r="BE24" s="2"/>
      <c r="BF24" s="2"/>
      <c r="BG24" s="2"/>
      <c r="BH24" s="2"/>
      <c r="BI24" s="2"/>
      <c r="BJ24" s="2"/>
      <c r="BK24" s="32"/>
      <c r="BL24" s="32" t="s">
        <v>205</v>
      </c>
      <c r="BM24" s="32" t="str">
        <f>IF($J$24="English","Shambling Undead",(IF($J$24="Español","Ogros",(IF($J$24="Deutsch","Skaven  ",(IF($J$24="Français","Orques noirs")))))))</f>
        <v>Shambling Undead</v>
      </c>
      <c r="BN24" s="32" t="s">
        <v>206</v>
      </c>
      <c r="BO24" s="32"/>
      <c r="BP24" s="32">
        <v>70000</v>
      </c>
      <c r="BQ24" s="32">
        <v>0</v>
      </c>
      <c r="BR24" s="32">
        <v>0</v>
      </c>
      <c r="BS24" s="33" t="str">
        <f>IF(J24="English","Masters of Undeath, Sylvanian Spotlight",(IF(J24="Español","Señores de los No Muertos, Selectiva de Sylvania",(IF(J24="Deutsch","Masters of Undeath, Sylvanisches Rampenlicht",(IF(J24="Français","Masters of Undeath, Spot de Sylvanie")))))))</f>
        <v>Masters of Undeath, Sylvanian Spotlight</v>
      </c>
      <c r="BT24" s="33" t="s">
        <v>170</v>
      </c>
      <c r="BU24" s="33" t="s">
        <v>171</v>
      </c>
      <c r="BV24" s="33"/>
      <c r="BW24" s="33"/>
      <c r="BX24" s="33"/>
      <c r="BY24" s="32" t="s">
        <v>205</v>
      </c>
      <c r="BZ24" s="32" t="s">
        <v>207</v>
      </c>
      <c r="CA24" s="33" t="s">
        <v>208</v>
      </c>
      <c r="CB24" s="32" t="s">
        <v>209</v>
      </c>
      <c r="CC24" s="32"/>
      <c r="CD24" s="31"/>
      <c r="CE24" s="31"/>
      <c r="CF24" s="48"/>
      <c r="CG24" s="31"/>
      <c r="CH24" s="31"/>
      <c r="CI24" s="32"/>
      <c r="CJ24" s="32"/>
      <c r="CK24" s="32"/>
      <c r="CL24" s="32"/>
      <c r="CM24" s="32"/>
      <c r="CN24" s="32"/>
      <c r="CO24" s="32"/>
      <c r="CP24" s="32"/>
      <c r="CQ24" s="32"/>
      <c r="CR24" s="32"/>
      <c r="CS24" s="32"/>
      <c r="CT24" s="32"/>
      <c r="CU24" s="32"/>
      <c r="CV24" s="32"/>
      <c r="CW24" s="2"/>
      <c r="CX24" s="2"/>
      <c r="CY24" s="2"/>
      <c r="CZ24" s="2"/>
      <c r="DA24" s="2"/>
      <c r="DB24" s="2"/>
    </row>
    <row r="25" spans="1:106" ht="18.75" customHeight="1">
      <c r="A25" s="265"/>
      <c r="B25" s="266"/>
      <c r="C25" s="254" t="str">
        <f>IF(J24="English","DEDICATED FANS",(IF(J24="Español","FANS DEDICADOS",(IF(J24="Deutsch","TREUE FANS",(IF(J24="Français","FANS DÉVOUÉS")))))))</f>
        <v>DEDICATED FANS</v>
      </c>
      <c r="D25" s="233"/>
      <c r="E25" s="233"/>
      <c r="F25" s="233"/>
      <c r="G25" s="233"/>
      <c r="H25" s="233"/>
      <c r="I25" s="234"/>
      <c r="J25" s="303">
        <f>(W20+Games!X2)</f>
        <v>3</v>
      </c>
      <c r="K25" s="233"/>
      <c r="L25" s="233"/>
      <c r="M25" s="233"/>
      <c r="N25" s="233"/>
      <c r="O25" s="233"/>
      <c r="P25" s="233"/>
      <c r="Q25" s="234"/>
      <c r="R25" s="249" t="str">
        <f>IF(J24="English","SPECIAL CARD",(IF(J24="Español","CARTA ESPECIAL",(IF(J24="Deutsch","SONDERKARTEN",(IF(J24="Français","CARTE SPECIALE")))))))</f>
        <v>SPECIAL CARD</v>
      </c>
      <c r="S25" s="233"/>
      <c r="T25" s="233"/>
      <c r="U25" s="233"/>
      <c r="V25" s="234"/>
      <c r="W25" s="56">
        <v>0</v>
      </c>
      <c r="X25" s="57" t="s">
        <v>181</v>
      </c>
      <c r="Y25" s="250">
        <v>100000</v>
      </c>
      <c r="Z25" s="251"/>
      <c r="AA25" s="58" t="str">
        <f>IF(J24="English","gp",(IF(J24="Español","mo",(IF(J24="Deutsch","gm",(IF(J24="Français","po")))))))</f>
        <v>gp</v>
      </c>
      <c r="AB25" s="252">
        <f t="shared" si="51"/>
        <v>0</v>
      </c>
      <c r="AC25" s="234"/>
      <c r="AD25" s="281" t="s">
        <v>210</v>
      </c>
      <c r="AE25" s="233"/>
      <c r="AF25" s="233"/>
      <c r="AG25" s="233"/>
      <c r="AH25" s="234"/>
      <c r="AI25" s="56">
        <v>0</v>
      </c>
      <c r="AJ25" s="57" t="s">
        <v>181</v>
      </c>
      <c r="AK25" s="250">
        <f>IFERROR(VLOOKUP(AD25,BD57:BE83,2,FALSE),0)</f>
        <v>0</v>
      </c>
      <c r="AL25" s="251"/>
      <c r="AM25" s="58" t="str">
        <f>IF(J24="English","gp",(IF(J24="Español","mo",(IF(J24="Deutsch","gm",(IF(J24="Français","po")))))))</f>
        <v>gp</v>
      </c>
      <c r="AN25" s="252">
        <f t="shared" si="52"/>
        <v>0</v>
      </c>
      <c r="AO25" s="234"/>
      <c r="AP25" s="228"/>
      <c r="AQ25" s="31"/>
      <c r="AR25" s="31"/>
      <c r="AS25" s="32"/>
      <c r="AT25" s="32"/>
      <c r="AU25" s="32"/>
      <c r="AV25" s="32"/>
      <c r="AW25" s="32"/>
      <c r="AX25" s="32"/>
      <c r="AY25" s="32"/>
      <c r="AZ25" s="32"/>
      <c r="BA25" s="32"/>
      <c r="BB25" s="32"/>
      <c r="BC25" s="32"/>
      <c r="BD25" s="32"/>
      <c r="BE25" s="32"/>
      <c r="BF25" s="32"/>
      <c r="BG25" s="32"/>
      <c r="BH25" s="2"/>
      <c r="BI25" s="2"/>
      <c r="BJ25" s="2"/>
      <c r="BK25" s="32"/>
      <c r="BL25" s="32" t="s">
        <v>211</v>
      </c>
      <c r="BM25" s="32" t="str">
        <f>IF($J$24="English","Skaven",(IF($J$24="Español","Orcos",(IF($J$24="Deutsch","Slann  ",(IF($J$24="Français","Renegats du Chaos")))))))</f>
        <v>Skaven</v>
      </c>
      <c r="BN25" s="32" t="s">
        <v>211</v>
      </c>
      <c r="BO25" s="32"/>
      <c r="BP25" s="32">
        <v>50000</v>
      </c>
      <c r="BQ25" s="32">
        <v>50000</v>
      </c>
      <c r="BR25" s="32">
        <v>1</v>
      </c>
      <c r="BS25" s="33" t="str">
        <f>IF(J24="English","Lustrian Superleague",(IF(J24="Español","Superliga Lustriana",(IF(J24="Deutsch","Lustria-Superliga",(IF(J24="Français","Super-Ligue de Lustrie")))))))</f>
        <v>Lustrian Superleague</v>
      </c>
      <c r="BT25" s="33" t="s">
        <v>77</v>
      </c>
      <c r="BU25" s="33"/>
      <c r="BV25" s="33"/>
      <c r="BW25" s="33"/>
      <c r="BX25" s="33"/>
      <c r="BY25" s="32" t="s">
        <v>211</v>
      </c>
      <c r="BZ25" s="32" t="s">
        <v>212</v>
      </c>
      <c r="CA25" s="33" t="s">
        <v>213</v>
      </c>
      <c r="CB25" s="32" t="s">
        <v>214</v>
      </c>
      <c r="CC25" s="32"/>
      <c r="CD25" s="31"/>
      <c r="CE25" s="31"/>
      <c r="CF25" s="48"/>
      <c r="CG25" s="31"/>
      <c r="CH25" s="31"/>
      <c r="CI25" s="32"/>
      <c r="CJ25" s="32"/>
      <c r="CK25" s="32"/>
      <c r="CL25" s="32"/>
      <c r="CM25" s="32"/>
      <c r="CN25" s="32"/>
      <c r="CO25" s="32"/>
      <c r="CP25" s="32"/>
      <c r="CQ25" s="32"/>
      <c r="CR25" s="32"/>
      <c r="CS25" s="32"/>
      <c r="CT25" s="32"/>
      <c r="CU25" s="32"/>
      <c r="CV25" s="32"/>
      <c r="CW25" s="2"/>
      <c r="CX25" s="2"/>
      <c r="CY25" s="2"/>
      <c r="CZ25" s="2"/>
      <c r="DA25" s="2"/>
      <c r="DB25" s="2"/>
    </row>
    <row r="26" spans="1:106" ht="18.75" customHeight="1">
      <c r="A26" s="265"/>
      <c r="B26" s="266"/>
      <c r="C26" s="254" t="str">
        <f>IF(J24="English","COST INDUCEMENTS &amp; EXTRAS",(IF(J24="Español","COSTE INCENTIVOS Y EXTRAS",(IF(J24="Deutsch","GESAMTER TEAMWERT &amp; EXTRAS",(IF(J24="Français","COUPS DE POUCES &amp; STAFF")))))))</f>
        <v>COST INDUCEMENTS &amp; EXTRAS</v>
      </c>
      <c r="D26" s="233"/>
      <c r="E26" s="233"/>
      <c r="F26" s="233"/>
      <c r="G26" s="233"/>
      <c r="H26" s="233"/>
      <c r="I26" s="234"/>
      <c r="J26" s="283">
        <f>SUM(AB20:AC30,AN21:AO30,AN18:AO19)</f>
        <v>280000</v>
      </c>
      <c r="K26" s="233"/>
      <c r="L26" s="233"/>
      <c r="M26" s="251"/>
      <c r="N26" s="284" t="str">
        <f>IF(J24="English","gp",(IF(J24="Español","mo",(IF(J24="Deutsch","gm",(IF(J24="Français","po")))))))</f>
        <v>gp</v>
      </c>
      <c r="O26" s="233"/>
      <c r="P26" s="233"/>
      <c r="Q26" s="234"/>
      <c r="R26" s="300" t="str">
        <f>IF(J24="English","TEMP. CHEERLEADERS",(IF(J24="Español","ANIMADORAS TEMP.",(IF(J24="Deutsch","ZEITARBEITS-CHEERLEADER",(IF(J24="Français","CHEERLEADERS INTERIM.")))))))</f>
        <v>TEMP. CHEERLEADERS</v>
      </c>
      <c r="S26" s="273"/>
      <c r="T26" s="273"/>
      <c r="U26" s="273"/>
      <c r="V26" s="301"/>
      <c r="W26" s="62">
        <v>0</v>
      </c>
      <c r="X26" s="63" t="s">
        <v>181</v>
      </c>
      <c r="Y26" s="302">
        <v>20000</v>
      </c>
      <c r="Z26" s="274"/>
      <c r="AA26" s="64" t="str">
        <f>IF(J24="English","gp",(IF(J24="Español","mo",(IF(J24="Deutsch","gm",(IF(J24="Français","po")))))))</f>
        <v>gp</v>
      </c>
      <c r="AB26" s="252">
        <f t="shared" si="51"/>
        <v>0</v>
      </c>
      <c r="AC26" s="234"/>
      <c r="AD26" s="298" t="str">
        <f>BD57</f>
        <v>(IN)FAMOUS COACHES</v>
      </c>
      <c r="AE26" s="233"/>
      <c r="AF26" s="233"/>
      <c r="AG26" s="233"/>
      <c r="AH26" s="234"/>
      <c r="AI26" s="56">
        <v>0</v>
      </c>
      <c r="AJ26" s="57" t="s">
        <v>181</v>
      </c>
      <c r="AK26" s="250">
        <f>IFERROR(VLOOKUP(AD26,BD57:BE83,2,FALSE),0)</f>
        <v>0</v>
      </c>
      <c r="AL26" s="251"/>
      <c r="AM26" s="58" t="str">
        <f>IF(J24="English","gp",(IF(J24="Español","mo",(IF(J24="Deutsch","gm",(IF(J24="Français","po")))))))</f>
        <v>gp</v>
      </c>
      <c r="AN26" s="252">
        <f t="shared" si="52"/>
        <v>0</v>
      </c>
      <c r="AO26" s="234"/>
      <c r="AP26" s="228"/>
      <c r="AQ26" s="31"/>
      <c r="AR26" s="31"/>
      <c r="AS26" s="32"/>
      <c r="AT26" s="31"/>
      <c r="AU26" s="31"/>
      <c r="AV26" s="31"/>
      <c r="AW26" s="31"/>
      <c r="AX26" s="32"/>
      <c r="AY26" s="32"/>
      <c r="AZ26" s="2"/>
      <c r="BA26" s="32"/>
      <c r="BB26" s="32"/>
      <c r="BC26" s="32"/>
      <c r="BD26" s="32"/>
      <c r="BE26" s="2"/>
      <c r="BF26" s="2"/>
      <c r="BG26" s="2"/>
      <c r="BH26" s="2"/>
      <c r="BI26" s="2"/>
      <c r="BJ26" s="2"/>
      <c r="BK26" s="32"/>
      <c r="BL26" s="32" t="s">
        <v>215</v>
      </c>
      <c r="BM26" s="32" t="str">
        <f>IF($J$24="English","Slann",(IF($J$24="Español","Orcos Negros",(IF($J$24="Deutsch","Snotlinge",(IF($J$24="Français","Roi des Tombes Kehmri")))))))</f>
        <v>Slann</v>
      </c>
      <c r="BN26" s="32" t="s">
        <v>215</v>
      </c>
      <c r="BO26" s="32"/>
      <c r="BP26" s="32">
        <v>50000</v>
      </c>
      <c r="BQ26" s="32">
        <v>50000</v>
      </c>
      <c r="BR26" s="32">
        <v>1</v>
      </c>
      <c r="BS26" s="33" t="str">
        <f>IF(J24="English","Underworld Challenge",(IF(J24="Español","Reto del Inframundo",(IF(J24="Deutsch","Unterwelt-Herausforderung",(IF(J24="Français","Défi des Bas-Fonds")))))))</f>
        <v>Underworld Challenge</v>
      </c>
      <c r="BT26" s="33" t="s">
        <v>216</v>
      </c>
      <c r="BU26" s="33"/>
      <c r="BV26" s="33"/>
      <c r="BW26" s="33"/>
      <c r="BX26" s="33"/>
      <c r="BY26" s="32" t="s">
        <v>215</v>
      </c>
      <c r="BZ26" s="32" t="s">
        <v>217</v>
      </c>
      <c r="CA26" s="33" t="s">
        <v>218</v>
      </c>
      <c r="CB26" s="32" t="s">
        <v>219</v>
      </c>
      <c r="CC26" s="32"/>
      <c r="CD26" s="31"/>
      <c r="CE26" s="31"/>
      <c r="CF26" s="48"/>
      <c r="CG26" s="31"/>
      <c r="CH26" s="31"/>
      <c r="CI26" s="32"/>
      <c r="CJ26" s="32"/>
      <c r="CK26" s="32"/>
      <c r="CL26" s="32"/>
      <c r="CM26" s="32"/>
      <c r="CN26" s="32"/>
      <c r="CO26" s="32"/>
      <c r="CP26" s="32"/>
      <c r="CQ26" s="32"/>
      <c r="CR26" s="32"/>
      <c r="CS26" s="32"/>
      <c r="CT26" s="32"/>
      <c r="CU26" s="32"/>
      <c r="CV26" s="32"/>
      <c r="CW26" s="2"/>
      <c r="CX26" s="2"/>
      <c r="CY26" s="2"/>
      <c r="CZ26" s="2"/>
      <c r="DA26" s="2"/>
      <c r="DB26" s="2"/>
    </row>
    <row r="27" spans="1:106" ht="18.75" customHeight="1">
      <c r="A27" s="265"/>
      <c r="B27" s="266"/>
      <c r="C27" s="249" t="str">
        <f>IF(J24="English","COST PLAYERS",(IF(J24="Español","PRECIO JUGADORES",(IF(J24="Deutsch","WERT SPIELER",(IF(J24="Français","VALEUR DES JOUEURS")))))))</f>
        <v>COST PLAYERS</v>
      </c>
      <c r="D27" s="233"/>
      <c r="E27" s="233"/>
      <c r="F27" s="233"/>
      <c r="G27" s="233"/>
      <c r="H27" s="233"/>
      <c r="I27" s="234"/>
      <c r="J27" s="283">
        <f>SUM(AN2:AO17)</f>
        <v>1120000</v>
      </c>
      <c r="K27" s="233"/>
      <c r="L27" s="233"/>
      <c r="M27" s="251"/>
      <c r="N27" s="65" t="str">
        <f>IF(J24="English","gp",(IF(J24="Español","mo",(IF(J24="Deutsch","gm",(IF(J24="Français","po")))))))</f>
        <v>gp</v>
      </c>
      <c r="O27" s="65"/>
      <c r="P27" s="65"/>
      <c r="Q27" s="66"/>
      <c r="R27" s="249" t="str">
        <f>IF(J24="English","P.T. ASSISTANT COACHES",(IF(J24="Español","AYUDANTES ENTRENADOR T.P.",(IF(J24="Deutsch","TEILZEIT-TRAINERASSISTENTEN",(IF(J24="Français","COACHS ASSIST INTERIM.")))))))</f>
        <v>P.T. ASSISTANT COACHES</v>
      </c>
      <c r="S27" s="233"/>
      <c r="T27" s="233"/>
      <c r="U27" s="233"/>
      <c r="V27" s="234"/>
      <c r="W27" s="56">
        <v>0</v>
      </c>
      <c r="X27" s="57" t="s">
        <v>181</v>
      </c>
      <c r="Y27" s="250">
        <v>20000</v>
      </c>
      <c r="Z27" s="251"/>
      <c r="AA27" s="58" t="str">
        <f>IF(J24="English","gp",(IF(J24="Español","mo",(IF(J24="Deutsch","gm",(IF(J24="Français","po")))))))</f>
        <v>gp</v>
      </c>
      <c r="AB27" s="252">
        <f t="shared" si="51"/>
        <v>0</v>
      </c>
      <c r="AC27" s="234"/>
      <c r="AD27" s="298" t="s">
        <v>220</v>
      </c>
      <c r="AE27" s="233"/>
      <c r="AF27" s="233"/>
      <c r="AG27" s="233"/>
      <c r="AH27" s="234"/>
      <c r="AI27" s="56">
        <v>0</v>
      </c>
      <c r="AJ27" s="57" t="s">
        <v>181</v>
      </c>
      <c r="AK27" s="250">
        <f>IFERROR(VLOOKUP(AD27,BL57:BM83,2,FALSE),0)</f>
        <v>0</v>
      </c>
      <c r="AL27" s="251"/>
      <c r="AM27" s="58" t="str">
        <f>IF(J24="English","gp",(IF(J24="Español","mo",(IF(J24="Deutsch","gm",(IF(J24="Français","po")))))))</f>
        <v>gp</v>
      </c>
      <c r="AN27" s="252">
        <f t="shared" si="52"/>
        <v>0</v>
      </c>
      <c r="AO27" s="234"/>
      <c r="AP27" s="228"/>
      <c r="AQ27" s="31"/>
      <c r="AR27" s="31"/>
      <c r="AS27" s="32"/>
      <c r="AT27" s="31"/>
      <c r="AU27" s="31"/>
      <c r="AV27" s="31"/>
      <c r="AW27" s="31"/>
      <c r="AX27" s="32"/>
      <c r="AY27" s="32"/>
      <c r="AZ27" s="2"/>
      <c r="BA27" s="32"/>
      <c r="BB27" s="32"/>
      <c r="BC27" s="32"/>
      <c r="BD27" s="32"/>
      <c r="BE27" s="2"/>
      <c r="BF27" s="2"/>
      <c r="BG27" s="2"/>
      <c r="BH27" s="2"/>
      <c r="BI27" s="2"/>
      <c r="BJ27" s="2"/>
      <c r="BK27" s="32"/>
      <c r="BL27" s="32" t="s">
        <v>221</v>
      </c>
      <c r="BM27" s="32" t="str">
        <f>IF($J$24="English","Snotling",(IF($J$24="Español","Pacto del Caos",(IF($J$24="Deutsch","Tomb King ",(IF($J$24="Français","Skaven   ")))))))</f>
        <v>Snotling</v>
      </c>
      <c r="BN27" s="32" t="s">
        <v>221</v>
      </c>
      <c r="BO27" s="32"/>
      <c r="BP27" s="32">
        <v>60000</v>
      </c>
      <c r="BQ27" s="32">
        <v>50000</v>
      </c>
      <c r="BR27" s="32">
        <v>4</v>
      </c>
      <c r="BS27" s="33" t="str">
        <f>IF(J24="English","Underworld Challenge, Bribery and Corruption and Low Cost Linemen",(IF(J24="Español","Reto del Inframundo, Sobornos y Corrupción y Líneas Prescindibles",(IF(J24="Deutsch","Unterwelt-Herausforderung, Bestechung und Korruption, Billige Linemen",(IF(J24="Français","Défi des Bas-Fonds, Chantage &amp; Corruption et Linemen à Vil Prix")))))))</f>
        <v>Underworld Challenge, Bribery and Corruption and Low Cost Linemen</v>
      </c>
      <c r="BT27" s="33" t="s">
        <v>216</v>
      </c>
      <c r="BU27" s="33" t="s">
        <v>86</v>
      </c>
      <c r="BV27" s="33" t="s">
        <v>189</v>
      </c>
      <c r="BW27" s="33"/>
      <c r="BX27" s="33"/>
      <c r="BY27" s="32" t="s">
        <v>221</v>
      </c>
      <c r="BZ27" s="32" t="s">
        <v>222</v>
      </c>
      <c r="CA27" s="47" t="s">
        <v>223</v>
      </c>
      <c r="CB27" s="31" t="s">
        <v>224</v>
      </c>
      <c r="CC27" s="31"/>
      <c r="CD27" s="31"/>
      <c r="CE27" s="31"/>
      <c r="CF27" s="48"/>
      <c r="CG27" s="31"/>
      <c r="CH27" s="31"/>
      <c r="CI27" s="32"/>
      <c r="CJ27" s="32"/>
      <c r="CK27" s="32"/>
      <c r="CL27" s="32"/>
      <c r="CM27" s="32"/>
      <c r="CN27" s="32"/>
      <c r="CO27" s="32"/>
      <c r="CP27" s="32"/>
      <c r="CQ27" s="32"/>
      <c r="CR27" s="32"/>
      <c r="CS27" s="32"/>
      <c r="CT27" s="32"/>
      <c r="CU27" s="32"/>
      <c r="CV27" s="32"/>
      <c r="CW27" s="2"/>
      <c r="CX27" s="2"/>
      <c r="CY27" s="2"/>
      <c r="CZ27" s="2"/>
      <c r="DA27" s="2"/>
      <c r="DB27" s="2"/>
    </row>
    <row r="28" spans="1:106" ht="18.75" customHeight="1">
      <c r="A28" s="265"/>
      <c r="B28" s="266"/>
      <c r="C28" s="254" t="str">
        <f>IF(J24="English","TOTAL TEAM COST",(IF(J24="Español","PRECIO TOTAL EQUIPO",(IF(J24="Deutsch","GESAMTER TEAMWERT",(IF(J24="Français","VALEUR D’ÉQUIPE")))))))</f>
        <v>TOTAL TEAM COST</v>
      </c>
      <c r="D28" s="233"/>
      <c r="E28" s="233"/>
      <c r="F28" s="233"/>
      <c r="G28" s="233"/>
      <c r="H28" s="233"/>
      <c r="I28" s="234"/>
      <c r="J28" s="283">
        <f>J26+J27</f>
        <v>1400000</v>
      </c>
      <c r="K28" s="233"/>
      <c r="L28" s="233"/>
      <c r="M28" s="251"/>
      <c r="N28" s="284" t="str">
        <f>IF(J24="English","gp",(IF(J24="Español","mo",(IF(J24="Deutsch","gm",(IF(J24="Français","po")))))))</f>
        <v>gp</v>
      </c>
      <c r="O28" s="233"/>
      <c r="P28" s="233"/>
      <c r="Q28" s="234"/>
      <c r="R28" s="249" t="str">
        <f>IF(J24="English","BRIBES",(IF(J24="Español","SOBORNOS",(IF(J24="Deutsch","BESTECHUNGEN",(IF(J24="Français","POTS-DE-VIN")))))))</f>
        <v>BRIBES</v>
      </c>
      <c r="S28" s="233"/>
      <c r="T28" s="233"/>
      <c r="U28" s="233"/>
      <c r="V28" s="234"/>
      <c r="W28" s="56">
        <v>0</v>
      </c>
      <c r="X28" s="57" t="s">
        <v>181</v>
      </c>
      <c r="Y28" s="250">
        <f>IFERROR(IF(BV2="Bribery and Corruption",50000,100000),100000)</f>
        <v>100000</v>
      </c>
      <c r="Z28" s="251"/>
      <c r="AA28" s="58" t="str">
        <f>IF(J24="English","gp",(IF(J24="Español","mo",(IF(J24="Deutsch","gm",(IF(J24="Français","po")))))))</f>
        <v>gp</v>
      </c>
      <c r="AB28" s="252">
        <f t="shared" si="51"/>
        <v>0</v>
      </c>
      <c r="AC28" s="234"/>
      <c r="AD28" s="298" t="s">
        <v>225</v>
      </c>
      <c r="AE28" s="233"/>
      <c r="AF28" s="233"/>
      <c r="AG28" s="233"/>
      <c r="AH28" s="234"/>
      <c r="AI28" s="56">
        <v>0</v>
      </c>
      <c r="AJ28" s="57" t="s">
        <v>181</v>
      </c>
      <c r="AK28" s="250">
        <f>IFERROR(VLOOKUP(AD28,BO58:BP84,2,FALSE),0)</f>
        <v>0</v>
      </c>
      <c r="AL28" s="251"/>
      <c r="AM28" s="58" t="str">
        <f>IF(J24="English","gp",(IF(J24="Español","mo",(IF(J24="Deutsch","gm",(IF(J24="Français","po")))))))</f>
        <v>gp</v>
      </c>
      <c r="AN28" s="252">
        <f t="shared" si="52"/>
        <v>0</v>
      </c>
      <c r="AO28" s="234"/>
      <c r="AP28" s="228"/>
      <c r="AQ28" s="31"/>
      <c r="AR28" s="31"/>
      <c r="AS28" s="32"/>
      <c r="AT28" s="31"/>
      <c r="AU28" s="31"/>
      <c r="AV28" s="31"/>
      <c r="AW28" s="31"/>
      <c r="AX28" s="32"/>
      <c r="AY28" s="32"/>
      <c r="AZ28" s="2"/>
      <c r="BA28" s="32"/>
      <c r="BB28" s="32"/>
      <c r="BC28" s="32"/>
      <c r="BD28" s="32"/>
      <c r="BE28" s="2"/>
      <c r="BF28" s="2"/>
      <c r="BG28" s="2"/>
      <c r="BH28" s="2"/>
      <c r="BI28" s="2"/>
      <c r="BJ28" s="2"/>
      <c r="BK28" s="32"/>
      <c r="BL28" s="32" t="s">
        <v>226</v>
      </c>
      <c r="BM28" s="32" t="str">
        <f>IF($J$24="English","Tomb King",(IF($J$24="Español","Skaven ",(IF($J$24="Deutsch","Underworld Denizen ",(IF($J$24="Français","Slans")))))))</f>
        <v>Tomb King</v>
      </c>
      <c r="BN28" s="32" t="s">
        <v>227</v>
      </c>
      <c r="BO28" s="32"/>
      <c r="BP28" s="32">
        <v>70000</v>
      </c>
      <c r="BQ28" s="32">
        <v>0</v>
      </c>
      <c r="BR28" s="32">
        <v>0</v>
      </c>
      <c r="BS28" s="33" t="str">
        <f>IF(J24="English","Sylvanian Spotlight",(IF(J24="Español","Selectiva de Sylvania",(IF(J24="Deutsch","Sylvanisches Rampenlicht",(IF(J24="Français","Spot de Sylvanie")))))))</f>
        <v>Sylvanian Spotlight</v>
      </c>
      <c r="BT28" s="33" t="s">
        <v>170</v>
      </c>
      <c r="BU28" s="33" t="s">
        <v>171</v>
      </c>
      <c r="BV28" s="33"/>
      <c r="BW28" s="33"/>
      <c r="BX28" s="33"/>
      <c r="BY28" s="32" t="s">
        <v>226</v>
      </c>
      <c r="BZ28" s="32" t="s">
        <v>228</v>
      </c>
      <c r="CA28" s="47" t="s">
        <v>229</v>
      </c>
      <c r="CB28" s="31" t="s">
        <v>230</v>
      </c>
      <c r="CC28" s="31"/>
      <c r="CD28" s="31"/>
      <c r="CE28" s="31"/>
      <c r="CF28" s="48"/>
      <c r="CG28" s="31"/>
      <c r="CH28" s="31"/>
      <c r="CI28" s="32"/>
      <c r="CJ28" s="32"/>
      <c r="CK28" s="32"/>
      <c r="CL28" s="32"/>
      <c r="CM28" s="32"/>
      <c r="CN28" s="32"/>
      <c r="CO28" s="32"/>
      <c r="CP28" s="32"/>
      <c r="CQ28" s="32"/>
      <c r="CR28" s="32"/>
      <c r="CS28" s="32"/>
      <c r="CT28" s="32"/>
      <c r="CU28" s="32"/>
      <c r="CV28" s="32"/>
      <c r="CW28" s="2"/>
      <c r="CX28" s="2"/>
      <c r="CY28" s="2"/>
      <c r="CZ28" s="2"/>
      <c r="DA28" s="2"/>
      <c r="DB28" s="2"/>
    </row>
    <row r="29" spans="1:106" ht="18.75" customHeight="1">
      <c r="A29" s="265"/>
      <c r="B29" s="266"/>
      <c r="C29" s="254" t="str">
        <f>IF(J24="English","COST UPGRADES",(IF(J24="Español","PRECIO SUBIDAS",(IF(J24="Deutsch","WERT DER VERBESSERUNG",(IF(J24="Français","VALEUR AMÉLIORATION")))))))</f>
        <v>COST UPGRADES</v>
      </c>
      <c r="D29" s="233"/>
      <c r="E29" s="233"/>
      <c r="F29" s="233"/>
      <c r="G29" s="233"/>
      <c r="H29" s="233"/>
      <c r="I29" s="234"/>
      <c r="J29" s="283">
        <f>SUM(AG36:AH51)</f>
        <v>140000</v>
      </c>
      <c r="K29" s="233"/>
      <c r="L29" s="233"/>
      <c r="M29" s="251"/>
      <c r="N29" s="284" t="str">
        <f>IF(J24="English","gp",(IF(J24="Español","mo",(IF(J24="Deutsch","gm",(IF(J24="Français","po")))))))</f>
        <v>gp</v>
      </c>
      <c r="O29" s="233"/>
      <c r="P29" s="233"/>
      <c r="Q29" s="234"/>
      <c r="R29" s="249" t="str">
        <f>IF(J24="English","MASTER CHEF",(IF(J24="Español","MASTER CHEF",(IF(J24="Deutsch","HALBLING-MEISTERKOCH",(IF(J24="Français","CHEF CUISTOT")))))))</f>
        <v>MASTER CHEF</v>
      </c>
      <c r="S29" s="233"/>
      <c r="T29" s="233"/>
      <c r="U29" s="233"/>
      <c r="V29" s="234"/>
      <c r="W29" s="56">
        <v>0</v>
      </c>
      <c r="X29" s="57" t="s">
        <v>181</v>
      </c>
      <c r="Y29" s="250">
        <f>IFERROR(IF(OR(BO1="Halfling",BO1="Halflings",BO1="Halflinge"),100000,300000),300000)</f>
        <v>300000</v>
      </c>
      <c r="Z29" s="251"/>
      <c r="AA29" s="60" t="str">
        <f>IF(J24="English","gp",(IF(J24="Español","mo",(IF(J24="Deutsch","gm",(IF(J24="Français","po")))))))</f>
        <v>gp</v>
      </c>
      <c r="AB29" s="252">
        <f t="shared" si="51"/>
        <v>0</v>
      </c>
      <c r="AC29" s="234"/>
      <c r="AD29" s="249" t="str">
        <f>IF(J24="English","EXTRA TEAM TRAINING",(IF(J24="Español","ENTRENAMIENTO EXTRA",(IF(J24="Deutsch","ZUSÄTZLICHES TRAINING",(IF(J24="Français","ENTRAÎNEMENT SUPP.")))))))</f>
        <v>EXTRA TEAM TRAINING</v>
      </c>
      <c r="AE29" s="233"/>
      <c r="AF29" s="233"/>
      <c r="AG29" s="233"/>
      <c r="AH29" s="234"/>
      <c r="AI29" s="56">
        <v>0</v>
      </c>
      <c r="AJ29" s="57" t="s">
        <v>181</v>
      </c>
      <c r="AK29" s="250">
        <v>100000</v>
      </c>
      <c r="AL29" s="251"/>
      <c r="AM29" s="60" t="str">
        <f>IF(J24="English","gp",(IF(J24="Español","mo",(IF(J24="Deutsch","gm",(IF(J24="Français","po")))))))</f>
        <v>gp</v>
      </c>
      <c r="AN29" s="252">
        <f t="shared" si="52"/>
        <v>0</v>
      </c>
      <c r="AO29" s="234"/>
      <c r="AP29" s="228"/>
      <c r="AQ29" s="31"/>
      <c r="AR29" s="32"/>
      <c r="AS29" s="32"/>
      <c r="AT29" s="32"/>
      <c r="AU29" s="32"/>
      <c r="AV29" s="32"/>
      <c r="AW29" s="32"/>
      <c r="AX29" s="32"/>
      <c r="AY29" s="32"/>
      <c r="AZ29" s="2"/>
      <c r="BA29" s="32"/>
      <c r="BB29" s="32"/>
      <c r="BC29" s="32"/>
      <c r="BD29" s="32"/>
      <c r="BE29" s="2"/>
      <c r="BF29" s="2"/>
      <c r="BG29" s="2"/>
      <c r="BH29" s="2"/>
      <c r="BI29" s="2"/>
      <c r="BJ29" s="2"/>
      <c r="BK29" s="32"/>
      <c r="BL29" s="32" t="s">
        <v>231</v>
      </c>
      <c r="BM29" s="32" t="str">
        <f>IF($J$24="English","Underworld Denizens",(IF($J$24="Español","Slann ",(IF($J$24="Deutsch","Vampire ",(IF($J$24="Français","Snotlings")))))))</f>
        <v>Underworld Denizens</v>
      </c>
      <c r="BN29" s="32" t="s">
        <v>232</v>
      </c>
      <c r="BO29" s="32"/>
      <c r="BP29" s="32">
        <v>70000</v>
      </c>
      <c r="BQ29" s="32">
        <v>50000</v>
      </c>
      <c r="BR29" s="32">
        <v>1</v>
      </c>
      <c r="BS29" s="33" t="str">
        <f>IF(J24="English","Underworld Challenge and Bribery and Corruption",(IF(J24="Español","Reto del Inframundo y Sobornos y Corrupción",(IF(J24="Deutsch","Unterwelt-Herausforderung, Bestechung und Korruption",(IF(J24="Français","Défi des Bas-Fonds et Chantage &amp; Corruption")))))))</f>
        <v>Underworld Challenge and Bribery and Corruption</v>
      </c>
      <c r="BT29" s="33" t="s">
        <v>216</v>
      </c>
      <c r="BU29" s="33" t="s">
        <v>86</v>
      </c>
      <c r="BV29" s="33"/>
      <c r="BW29" s="33"/>
      <c r="BX29" s="33"/>
      <c r="BY29" s="32" t="s">
        <v>231</v>
      </c>
      <c r="BZ29" s="32" t="s">
        <v>233</v>
      </c>
      <c r="CA29" s="47" t="s">
        <v>234</v>
      </c>
      <c r="CB29" s="31" t="s">
        <v>235</v>
      </c>
      <c r="CC29" s="31"/>
      <c r="CD29" s="31"/>
      <c r="CE29" s="31"/>
      <c r="CF29" s="48"/>
      <c r="CG29" s="31"/>
      <c r="CH29" s="31"/>
      <c r="CI29" s="32"/>
      <c r="CJ29" s="32"/>
      <c r="CK29" s="32"/>
      <c r="CL29" s="32"/>
      <c r="CM29" s="32"/>
      <c r="CN29" s="32"/>
      <c r="CO29" s="32"/>
      <c r="CP29" s="32"/>
      <c r="CQ29" s="32"/>
      <c r="CR29" s="32"/>
      <c r="CS29" s="32"/>
      <c r="CT29" s="32"/>
      <c r="CU29" s="32"/>
      <c r="CV29" s="32"/>
      <c r="CW29" s="2"/>
      <c r="CX29" s="2"/>
      <c r="CY29" s="2"/>
      <c r="CZ29" s="2"/>
      <c r="DA29" s="2"/>
      <c r="DB29" s="2"/>
    </row>
    <row r="30" spans="1:106" ht="18.75" customHeight="1">
      <c r="A30" s="265"/>
      <c r="B30" s="266"/>
      <c r="C30" s="254" t="str">
        <f>IF(J24="English","TREASURY",(IF(J24="Español","TESORERÍA",(IF(J24="Deutsch","TEAMKASSE",(IF(J24="Français","TRÉSORERIE")))))))</f>
        <v>TREASURY</v>
      </c>
      <c r="D30" s="233"/>
      <c r="E30" s="233"/>
      <c r="F30" s="233"/>
      <c r="G30" s="233"/>
      <c r="H30" s="233"/>
      <c r="I30" s="234"/>
      <c r="J30" s="283">
        <f>(1000000+Games!Y2)-J28+J29-(SUM('Dead &amp; Retired Players'!AJ3:AK32))</f>
        <v>30000</v>
      </c>
      <c r="K30" s="233"/>
      <c r="L30" s="233"/>
      <c r="M30" s="251"/>
      <c r="N30" s="284" t="str">
        <f>IF(J24="English","gp",(IF(J24="Español","mo",(IF(J24="Deutsch","gm",(IF(J24="Français","po")))))))</f>
        <v>gp</v>
      </c>
      <c r="O30" s="233"/>
      <c r="P30" s="233"/>
      <c r="Q30" s="234"/>
      <c r="R30" s="285" t="str">
        <f>IF(J24="English","RIOTOUS ROOKIES",(IF(J24="Español","NOVATOS ALBOROTADORES",(IF(J24="Deutsch","RANDALIERENDE NEULINGE",(IF(J24="Français","DÉBUTANTS DÉCHAINÉS")))))))</f>
        <v>RIOTOUS ROOKIES</v>
      </c>
      <c r="S30" s="233"/>
      <c r="T30" s="233"/>
      <c r="U30" s="233"/>
      <c r="V30" s="234"/>
      <c r="W30" s="56">
        <v>0</v>
      </c>
      <c r="X30" s="57" t="s">
        <v>181</v>
      </c>
      <c r="Y30" s="250">
        <f>IFERROR(IF(BW2="LowCost",100000,0),0)</f>
        <v>0</v>
      </c>
      <c r="Z30" s="251"/>
      <c r="AA30" s="60" t="str">
        <f>IF(J24="English","gp",(IF(J24="Español","mo",(IF(J24="Deutsch","gm",(IF(J24="Français","po")))))))</f>
        <v>gp</v>
      </c>
      <c r="AB30" s="252">
        <f t="shared" si="51"/>
        <v>0</v>
      </c>
      <c r="AC30" s="234"/>
      <c r="AD30" s="249" t="str">
        <f>IF(J24="English","WANDERING APO",(IF(J24="Español","MÉDICO ERRANTE",(IF(J24="Deutsch","WANDERNDER SANITÄTER",(IF(J24="Français","APO ITINÉRANT")))))))</f>
        <v>WANDERING APO</v>
      </c>
      <c r="AE30" s="233"/>
      <c r="AF30" s="233"/>
      <c r="AG30" s="233"/>
      <c r="AH30" s="234"/>
      <c r="AI30" s="56">
        <v>0</v>
      </c>
      <c r="AJ30" s="57" t="s">
        <v>181</v>
      </c>
      <c r="AK30" s="250">
        <f>IFERROR(IF(Y21=0,0,100000),0)</f>
        <v>100000</v>
      </c>
      <c r="AL30" s="251"/>
      <c r="AM30" s="60" t="str">
        <f>IF(J24="English","gp",(IF(J24="Español","mo",(IF(J24="Deutsch","gm",(IF(J24="Français","po")))))))</f>
        <v>gp</v>
      </c>
      <c r="AN30" s="252">
        <f t="shared" si="52"/>
        <v>0</v>
      </c>
      <c r="AO30" s="234"/>
      <c r="AP30" s="228"/>
      <c r="AQ30" s="31"/>
      <c r="AR30" s="31"/>
      <c r="AS30" s="32"/>
      <c r="AT30" s="31"/>
      <c r="AU30" s="31"/>
      <c r="AV30" s="31"/>
      <c r="AW30" s="31"/>
      <c r="AX30" s="32"/>
      <c r="AY30" s="32"/>
      <c r="AZ30" s="2"/>
      <c r="BA30" s="2"/>
      <c r="BB30" s="2"/>
      <c r="BC30" s="32"/>
      <c r="BD30" s="32"/>
      <c r="BE30" s="2"/>
      <c r="BF30" s="2"/>
      <c r="BG30" s="2"/>
      <c r="BH30" s="2"/>
      <c r="BI30" s="2"/>
      <c r="BJ30" s="2"/>
      <c r="BK30" s="32"/>
      <c r="BL30" s="32" t="s">
        <v>236</v>
      </c>
      <c r="BM30" s="32" t="str">
        <f>IF($J$24="English","Vampire",(IF($J$24="Español","Snotling ",(IF($J$24="Deutsch","Waldelfen",(IF($J$24="Français","Union Elfique")))))))</f>
        <v>Vampire</v>
      </c>
      <c r="BN30" s="32" t="s">
        <v>236</v>
      </c>
      <c r="BO30" s="32"/>
      <c r="BP30" s="32">
        <v>70000</v>
      </c>
      <c r="BQ30" s="32">
        <v>50000</v>
      </c>
      <c r="BR30" s="32">
        <v>0</v>
      </c>
      <c r="BS30" s="33" t="str">
        <f>IF(J24="English","Sylvanian Spotlight",(IF(J24="Español","Selectiva de Sylvania",(IF(J24="Deutsch","Sylvanisches Rampenlicht",(IF(J24="Français","Spot de Sylvanie")))))))</f>
        <v>Sylvanian Spotlight</v>
      </c>
      <c r="BT30" s="33" t="s">
        <v>170</v>
      </c>
      <c r="BU30" s="33" t="s">
        <v>171</v>
      </c>
      <c r="BV30" s="33"/>
      <c r="BW30" s="33"/>
      <c r="BX30" s="33"/>
      <c r="BY30" s="32" t="s">
        <v>236</v>
      </c>
      <c r="BZ30" s="32" t="s">
        <v>237</v>
      </c>
      <c r="CA30" s="47" t="s">
        <v>238</v>
      </c>
      <c r="CB30" s="31" t="s">
        <v>239</v>
      </c>
      <c r="CC30" s="31"/>
      <c r="CD30" s="31"/>
      <c r="CE30" s="31"/>
      <c r="CF30" s="48"/>
      <c r="CG30" s="31"/>
      <c r="CH30" s="31"/>
      <c r="CI30" s="32"/>
      <c r="CJ30" s="32"/>
      <c r="CK30" s="32"/>
      <c r="CL30" s="32"/>
      <c r="CM30" s="32"/>
      <c r="CN30" s="32"/>
      <c r="CO30" s="32"/>
      <c r="CP30" s="32"/>
      <c r="CQ30" s="32"/>
      <c r="CR30" s="32"/>
      <c r="CS30" s="32"/>
      <c r="CT30" s="32"/>
      <c r="CU30" s="32"/>
      <c r="CV30" s="32"/>
      <c r="CW30" s="2"/>
      <c r="CX30" s="2"/>
      <c r="CY30" s="2"/>
      <c r="CZ30" s="2"/>
      <c r="DA30" s="2"/>
      <c r="DB30" s="2"/>
    </row>
    <row r="31" spans="1:106" ht="18.75" customHeight="1">
      <c r="A31" s="267"/>
      <c r="B31" s="268"/>
      <c r="C31" s="254" t="str">
        <f>IF(J24="English","TEAM VALUE",(IF(J24="Español","VALOR DEL EQUIPO",(IF(J24="Deutsch","TEAMWERT",(IF(J24="Français","VALEUR D’ÉQUIPE ACTUELLE")))))))</f>
        <v>TEAM VALUE</v>
      </c>
      <c r="D31" s="233"/>
      <c r="E31" s="233"/>
      <c r="F31" s="233"/>
      <c r="G31" s="233"/>
      <c r="H31" s="233"/>
      <c r="I31" s="234"/>
      <c r="J31" s="282">
        <f>((J26/1000)-(AB20/1000)+(SUM(AQ2:AQ17))-(AN22/2000))</f>
        <v>1330</v>
      </c>
      <c r="K31" s="233"/>
      <c r="L31" s="233"/>
      <c r="M31" s="233"/>
      <c r="N31" s="233"/>
      <c r="O31" s="233"/>
      <c r="P31" s="233"/>
      <c r="Q31" s="234"/>
      <c r="R31" s="285" t="str">
        <f>IF(J24="English","Special Rule",(IF(J24="Español","Regla Especial",(IF(J24="Deutsch","Sonderregeln",(IF(J24="Français","Règles spéciales")))))))</f>
        <v>Special Rule</v>
      </c>
      <c r="S31" s="233"/>
      <c r="T31" s="233"/>
      <c r="U31" s="233"/>
      <c r="V31" s="234"/>
      <c r="W31" s="296" t="str">
        <f>IFERROR(VLOOKUP(BO1,BL:BU,8,0),"")</f>
        <v>Masters of Undeath, Sylvanian Spotlight</v>
      </c>
      <c r="X31" s="233"/>
      <c r="Y31" s="233"/>
      <c r="Z31" s="233"/>
      <c r="AA31" s="233"/>
      <c r="AB31" s="233"/>
      <c r="AC31" s="233"/>
      <c r="AD31" s="233"/>
      <c r="AE31" s="233"/>
      <c r="AF31" s="233"/>
      <c r="AG31" s="233"/>
      <c r="AH31" s="233"/>
      <c r="AI31" s="251"/>
      <c r="AJ31" s="297" t="s">
        <v>240</v>
      </c>
      <c r="AK31" s="233"/>
      <c r="AL31" s="251"/>
      <c r="AM31" s="306"/>
      <c r="AN31" s="233"/>
      <c r="AO31" s="234"/>
      <c r="AP31" s="228"/>
      <c r="AQ31" s="31"/>
      <c r="AR31" s="31"/>
      <c r="AS31" s="32"/>
      <c r="AT31" s="31"/>
      <c r="AU31" s="31"/>
      <c r="AV31" s="31"/>
      <c r="AW31" s="31"/>
      <c r="AX31" s="32"/>
      <c r="AY31" s="32"/>
      <c r="AZ31" s="2"/>
      <c r="BA31" s="2"/>
      <c r="BB31" s="2"/>
      <c r="BC31" s="32"/>
      <c r="BD31" s="32"/>
      <c r="BE31" s="2"/>
      <c r="BF31" s="2"/>
      <c r="BG31" s="2"/>
      <c r="BH31" s="2"/>
      <c r="BI31" s="2"/>
      <c r="BJ31" s="2"/>
      <c r="BK31" s="32"/>
      <c r="BL31" s="32" t="s">
        <v>241</v>
      </c>
      <c r="BM31" s="32" t="str">
        <f>IF($J$24="English","Wood Elf",(IF($J$24="Español","Vampiros",(IF($J$24="Deutsch","Zwerge",(IF($J$24="Français","Vampires")))))))</f>
        <v>Wood Elf</v>
      </c>
      <c r="BN31" s="32" t="s">
        <v>242</v>
      </c>
      <c r="BO31" s="32"/>
      <c r="BP31" s="32">
        <v>50000</v>
      </c>
      <c r="BQ31" s="32">
        <v>50000</v>
      </c>
      <c r="BR31" s="32">
        <v>1</v>
      </c>
      <c r="BS31" s="33" t="str">
        <f>IF(J24="English","Elven Kingdoms League",(IF(J24="Español","Liga de los Reinos Elfos",(IF(J24="Deutsch","Liga der Elfenkönigreiche",(IF(J24="Français","Ligue des Royaumes Elfiques")))))))</f>
        <v>Elven Kingdoms League</v>
      </c>
      <c r="BT31" s="33" t="s">
        <v>122</v>
      </c>
      <c r="BU31" s="33"/>
      <c r="BV31" s="33"/>
      <c r="BW31" s="33"/>
      <c r="BX31" s="33"/>
      <c r="BY31" s="32" t="s">
        <v>241</v>
      </c>
      <c r="BZ31" s="32" t="s">
        <v>243</v>
      </c>
      <c r="CA31" s="47" t="s">
        <v>244</v>
      </c>
      <c r="CB31" s="31" t="s">
        <v>245</v>
      </c>
      <c r="CC31" s="31"/>
      <c r="CD31" s="31"/>
      <c r="CE31" s="31"/>
      <c r="CF31" s="48"/>
      <c r="CG31" s="31"/>
      <c r="CH31" s="31"/>
      <c r="CI31" s="32"/>
      <c r="CJ31" s="32"/>
      <c r="CK31" s="32"/>
      <c r="CL31" s="32"/>
      <c r="CM31" s="32"/>
      <c r="CN31" s="32"/>
      <c r="CO31" s="32"/>
      <c r="CP31" s="32"/>
      <c r="CQ31" s="32"/>
      <c r="CR31" s="32"/>
      <c r="CS31" s="32"/>
      <c r="CT31" s="32"/>
      <c r="CU31" s="32"/>
      <c r="CV31" s="32"/>
      <c r="CW31" s="32"/>
      <c r="CX31" s="32"/>
      <c r="CY31" s="32"/>
      <c r="CZ31" s="32"/>
      <c r="DA31" s="32"/>
      <c r="DB31" s="32"/>
    </row>
    <row r="32" spans="1:106" ht="18" customHeight="1">
      <c r="A32" s="269" t="str">
        <f>IF(J24="Español","v3.8 - Creado por dreamscreator",(IF(J24="Deutsch","v3.8 - Erstellt von dreamscreator",(IF(J24="Français","v3.8 Créé par dreamscreator","v3.8 - Created by dreamscreator")))))</f>
        <v>v3.8 - Created by dreamscreator</v>
      </c>
      <c r="B32" s="270"/>
      <c r="C32" s="270"/>
      <c r="D32" s="270"/>
      <c r="E32" s="271"/>
      <c r="F32" s="279" t="str">
        <f>B58&amp;B59&amp;B60&amp;B61&amp;B62&amp;B63&amp;B64</f>
        <v/>
      </c>
      <c r="G32" s="270"/>
      <c r="H32" s="270"/>
      <c r="I32" s="270"/>
      <c r="J32" s="270"/>
      <c r="K32" s="270"/>
      <c r="L32" s="270"/>
      <c r="M32" s="270"/>
      <c r="N32" s="270"/>
      <c r="O32" s="270"/>
      <c r="P32" s="270"/>
      <c r="Q32" s="270"/>
      <c r="R32" s="270"/>
      <c r="S32" s="270"/>
      <c r="T32" s="270"/>
      <c r="U32" s="270"/>
      <c r="V32" s="270"/>
      <c r="W32" s="270"/>
      <c r="X32" s="270"/>
      <c r="Y32" s="270"/>
      <c r="Z32" s="270"/>
      <c r="AA32" s="270"/>
      <c r="AB32" s="270"/>
      <c r="AC32" s="270"/>
      <c r="AD32" s="270"/>
      <c r="AE32" s="270"/>
      <c r="AF32" s="270"/>
      <c r="AG32" s="270"/>
      <c r="AH32" s="270"/>
      <c r="AI32" s="270"/>
      <c r="AJ32" s="270"/>
      <c r="AK32" s="270"/>
      <c r="AL32" s="270"/>
      <c r="AM32" s="270"/>
      <c r="AN32" s="270"/>
      <c r="AO32" s="271"/>
      <c r="AP32" s="228"/>
      <c r="AQ32" s="31"/>
      <c r="AR32" s="67"/>
      <c r="AS32" s="32"/>
      <c r="AT32" s="67"/>
      <c r="AU32" s="67"/>
      <c r="AV32" s="67"/>
      <c r="AW32" s="67"/>
      <c r="AX32" s="32"/>
      <c r="AY32" s="32"/>
      <c r="AZ32" s="32"/>
      <c r="BA32" s="32"/>
      <c r="BB32" s="32"/>
      <c r="BC32" s="32"/>
      <c r="BD32" s="32"/>
      <c r="BE32" s="2"/>
      <c r="BF32" s="2"/>
      <c r="BG32" s="2"/>
      <c r="BH32" s="2"/>
      <c r="BI32" s="2"/>
      <c r="BJ32" s="2"/>
      <c r="BK32" s="32"/>
      <c r="BL32" s="2"/>
      <c r="BM32" s="32"/>
      <c r="BN32" s="32"/>
      <c r="BO32" s="32"/>
      <c r="BP32" s="32"/>
      <c r="BQ32" s="32"/>
      <c r="BR32" s="32"/>
      <c r="BS32" s="32"/>
      <c r="BT32" s="32"/>
      <c r="BU32" s="32"/>
      <c r="BV32" s="32"/>
      <c r="BW32" s="32"/>
      <c r="BX32" s="32"/>
      <c r="BY32" s="32"/>
      <c r="BZ32" s="32"/>
      <c r="CA32" s="33"/>
      <c r="CB32" s="32"/>
      <c r="CC32" s="32"/>
      <c r="CD32" s="31"/>
      <c r="CE32" s="31"/>
      <c r="CF32" s="48"/>
      <c r="CG32" s="31"/>
      <c r="CH32" s="31"/>
      <c r="CI32" s="32"/>
      <c r="CJ32" s="32"/>
      <c r="CK32" s="32"/>
      <c r="CL32" s="32"/>
      <c r="CM32" s="32"/>
      <c r="CN32" s="32"/>
      <c r="CO32" s="32"/>
      <c r="CP32" s="32"/>
      <c r="CQ32" s="32"/>
      <c r="CR32" s="32"/>
      <c r="CS32" s="32"/>
      <c r="CT32" s="32"/>
      <c r="CU32" s="32"/>
      <c r="CV32" s="32"/>
      <c r="CW32" s="32"/>
      <c r="CX32" s="32"/>
      <c r="CY32" s="32"/>
      <c r="CZ32" s="32"/>
      <c r="DA32" s="32"/>
      <c r="DB32" s="32"/>
    </row>
    <row r="33" spans="1:106" ht="18" customHeight="1">
      <c r="A33" s="272" t="str">
        <f>IF(J24="Español","https://bloodbowlhelp.wordpress.com",(IF(J24="Deutsch","Übersetzt von Coach Grong https://bloodbowlhelp.wordpress.com",(IF(J24="Français","Traduit par Fennec https://bloodbowlhelp.wordpress.com","https://bloodbowlhelp.wordpress.com")))))</f>
        <v>https://bloodbowlhelp.wordpress.com</v>
      </c>
      <c r="B33" s="273"/>
      <c r="C33" s="273"/>
      <c r="D33" s="273"/>
      <c r="E33" s="274"/>
      <c r="F33" s="280" t="str">
        <f>IF(J24="English","PLAYERS UPGRADES",(IF(J24="Español","MEJORAS DE LOS JUGADORES",(IF(J24="Deutsch","SPIELERVERBESSERUNGEN",(IF(J24="Français","AMÉLIORATIONS DE JOUEURS")))))))</f>
        <v>PLAYERS UPGRADES</v>
      </c>
      <c r="G33" s="273"/>
      <c r="H33" s="273"/>
      <c r="I33" s="273"/>
      <c r="J33" s="273"/>
      <c r="K33" s="273"/>
      <c r="L33" s="273"/>
      <c r="M33" s="273"/>
      <c r="N33" s="273"/>
      <c r="O33" s="273"/>
      <c r="P33" s="273"/>
      <c r="Q33" s="273"/>
      <c r="R33" s="273"/>
      <c r="S33" s="273"/>
      <c r="T33" s="273"/>
      <c r="U33" s="273"/>
      <c r="V33" s="273"/>
      <c r="W33" s="273"/>
      <c r="X33" s="273"/>
      <c r="Y33" s="273"/>
      <c r="Z33" s="273"/>
      <c r="AA33" s="273"/>
      <c r="AB33" s="273"/>
      <c r="AC33" s="273"/>
      <c r="AD33" s="273"/>
      <c r="AE33" s="273"/>
      <c r="AF33" s="273"/>
      <c r="AG33" s="273"/>
      <c r="AH33" s="273"/>
      <c r="AI33" s="273"/>
      <c r="AJ33" s="274"/>
      <c r="AK33" s="68"/>
      <c r="AL33" s="68"/>
      <c r="AM33" s="68"/>
      <c r="AN33" s="68"/>
      <c r="AO33" s="68"/>
      <c r="AP33" s="228"/>
      <c r="AQ33" s="31"/>
      <c r="AR33" s="67"/>
      <c r="AS33" s="32"/>
      <c r="AT33" s="67"/>
      <c r="AU33" s="67"/>
      <c r="AV33" s="67"/>
      <c r="AW33" s="67"/>
      <c r="AX33" s="32"/>
      <c r="AY33" s="32"/>
      <c r="AZ33" s="32"/>
      <c r="BA33" s="32"/>
      <c r="BB33" s="32"/>
      <c r="BC33" s="32"/>
      <c r="BD33" s="32"/>
      <c r="BE33" s="2"/>
      <c r="BF33" s="2"/>
      <c r="BG33" s="2"/>
      <c r="BH33" s="2"/>
      <c r="BI33" s="2"/>
      <c r="BJ33" s="2"/>
      <c r="BK33" s="32"/>
      <c r="BL33" s="2"/>
      <c r="BM33" s="32"/>
      <c r="BN33" s="32"/>
      <c r="BO33" s="32"/>
      <c r="BP33" s="32"/>
      <c r="BQ33" s="32"/>
      <c r="BR33" s="32"/>
      <c r="BS33" s="32"/>
      <c r="BT33" s="32"/>
      <c r="BU33" s="33"/>
      <c r="BV33" s="33"/>
      <c r="BW33" s="32"/>
      <c r="BX33" s="32"/>
      <c r="BY33" s="32"/>
      <c r="BZ33" s="32"/>
      <c r="CA33" s="33"/>
      <c r="CB33" s="32"/>
      <c r="CC33" s="32"/>
      <c r="CD33" s="31"/>
      <c r="CE33" s="31"/>
      <c r="CF33" s="48"/>
      <c r="CG33" s="31"/>
      <c r="CH33" s="31"/>
      <c r="CI33" s="32"/>
      <c r="CJ33" s="32"/>
      <c r="CK33" s="32"/>
      <c r="CL33" s="32"/>
      <c r="CM33" s="32"/>
      <c r="CN33" s="32"/>
      <c r="CO33" s="32"/>
      <c r="CP33" s="32"/>
      <c r="CQ33" s="32"/>
      <c r="CR33" s="32"/>
      <c r="CS33" s="32"/>
      <c r="CT33" s="32"/>
      <c r="CU33" s="32"/>
      <c r="CV33" s="32"/>
      <c r="CW33" s="32"/>
      <c r="CX33" s="32"/>
      <c r="CY33" s="32"/>
      <c r="CZ33" s="32"/>
      <c r="DA33" s="32"/>
      <c r="DB33" s="32"/>
    </row>
    <row r="34" spans="1:106" ht="26.25" customHeight="1">
      <c r="A34" s="275" t="s">
        <v>62</v>
      </c>
      <c r="B34" s="276" t="str">
        <f>IF(J24="English","TYPE",(IF(J24="Español","TIPO",(IF(J24="Deutsch","POSITION",(IF(J24="Français","POSTE")))))))</f>
        <v>TYPE</v>
      </c>
      <c r="C34" s="278" t="str">
        <f>IF(J24="English","Upgrade 1",(IF(J24="Español","Mejora 1",(IF(J24="Deutsch","Verbes- serung 1",(IF(J24="Français","Amélioration 1")))))))</f>
        <v>Upgrade 1</v>
      </c>
      <c r="D34" s="264"/>
      <c r="E34" s="278" t="str">
        <f>IF(J24="English","Chosen or Random",(IF(J24="Español","Elegida o Aleatoria",(IF(J24="Deutsch","Ausge- wählt oder zufällig",(IF(J24="Français","Choisie ou Aléatoire ")))))))</f>
        <v>Chosen or Random</v>
      </c>
      <c r="F34" s="264"/>
      <c r="G34" s="278" t="str">
        <f>IF(J24="English","Upgrade 2",(IF(J24="Español","Mejora 2",(IF(J24="Deutsch","Verbes- serung 2",(IF(J24="Français","Amélioration 2")))))))</f>
        <v>Upgrade 2</v>
      </c>
      <c r="H34" s="289"/>
      <c r="I34" s="289"/>
      <c r="J34" s="264"/>
      <c r="K34" s="278" t="str">
        <f>IF(J24="English","Chosen or Random",(IF(J24="Español","Elegida o Aleatoria",(IF(J24="Deutsch","Ausge- wählt oder zufällig",(IF(J24="Français","Choisie ou Aléatoire ")))))))</f>
        <v>Chosen or Random</v>
      </c>
      <c r="L34" s="264"/>
      <c r="M34" s="278" t="str">
        <f>IF(J24="English","Upgrade 3",(IF(J24="Español","Mejora 3",(IF(J24="Deutsch","Verbes- serung 3",(IF(J24="Français","Amélioration 3")))))))</f>
        <v>Upgrade 3</v>
      </c>
      <c r="N34" s="264"/>
      <c r="O34" s="278" t="str">
        <f>IF(J24="English","Chosen or Random",(IF(J24="Español","Elegida o Aleatoria",(IF(J24="Deutsch","Ausge- wählt oder zufällig",(IF(J24="Français","Choisie ou Aléatoire ")))))))</f>
        <v>Chosen or Random</v>
      </c>
      <c r="P34" s="264"/>
      <c r="Q34" s="278" t="str">
        <f>IF(J24="English","Upgrade 4",(IF(J24="Español","Mejora 4",(IF(J24="Deutsch","Verbes- serung 4",(IF(J24="Français","Amélioration 4")))))))</f>
        <v>Upgrade 4</v>
      </c>
      <c r="R34" s="264"/>
      <c r="S34" s="278" t="str">
        <f>IF(J24="English","Chosen or Random",(IF(J24="Español","Elegida o Aleatoria",(IF(J24="Deutsch","Ausge- wählt oder zufällig",(IF(J24="Français","Choisie ou Aléatoire ")))))))</f>
        <v>Chosen or Random</v>
      </c>
      <c r="T34" s="264"/>
      <c r="U34" s="278" t="str">
        <f>IF(J24="English","Upgrade 5",(IF(J24="Español","Mejora 5",(IF(J24="Deutsch","Verbes- serung 5",(IF(J24="Français","Amélioration 5")))))))</f>
        <v>Upgrade 5</v>
      </c>
      <c r="V34" s="264"/>
      <c r="W34" s="278" t="str">
        <f>IF(J24="English","Chosen or Random",(IF(J24="Español","Elegida o Aleatoria",(IF(J24="Deutsch","Ausge- wählt oder zufällig",(IF(J24="Français","Choisie ou Aléatoire ")))))))</f>
        <v>Chosen or Random</v>
      </c>
      <c r="X34" s="264"/>
      <c r="Y34" s="278" t="str">
        <f>IF(J24="English","Upgrade 6",(IF(J24="Español","Mejora 6",(IF(J24="Deutsch","Verbes- serung 6",(IF(J24="Français","Amélioration 6")))))))</f>
        <v>Upgrade 6</v>
      </c>
      <c r="Z34" s="264"/>
      <c r="AA34" s="278" t="str">
        <f>IF(J24="English","Chosen or Random",(IF(J24="Español","Elegida o Aleatoria",(IF(J24="Deutsch","Ausge- wählt oder zufällig",(IF(J24="Français","Choisie ou Aléatoire ")))))))</f>
        <v>Chosen or Random</v>
      </c>
      <c r="AB34" s="264"/>
      <c r="AC34" s="278" t="str">
        <f>IF(J24="English","Custom Skill",(IF(J24="Español","Habilidad manual",(IF(J24="Deutsch","Individu- elle Fertig- keit",(IF(J24="Français","Compétence perso.")))))))</f>
        <v>Custom Skill</v>
      </c>
      <c r="AD34" s="264"/>
      <c r="AE34" s="278" t="str">
        <f>IF(J24="English","Manual Modify Value",(IF(J24="Español","Modificar valor manual",(IF(J24="Deutsch","Manuelle Wertän- derung",(IF(J24="Français","Modif. manuelle de Valeur")))))))</f>
        <v>Manual Modify Value</v>
      </c>
      <c r="AF34" s="264"/>
      <c r="AG34" s="278" t="str">
        <f>IF(J24="English","Value Extra",(IF(J24="Español","Valor extra",(IF(J24="Deutsch","Extra Wert",(IF(J24="Français","Hausse de Valeur")))))))</f>
        <v>Value Extra</v>
      </c>
      <c r="AH34" s="264"/>
      <c r="AI34" s="293" t="str">
        <f>IF(J24="English","SPP Cost",(IF(J24="Español","Coste",(IF(J24="Deutsch","Σ SPP",(IF(J24="Français","Coût en PSP")))))))</f>
        <v>SPP Cost</v>
      </c>
      <c r="AJ34" s="294" t="str">
        <f>IF(J24="English","Injuries",(IF(J24="Español","Lesiones",(IF(J24="Deutsch","Verletzungen",(IF(J24="Français","Blessures")))))))</f>
        <v>Injuries</v>
      </c>
      <c r="AK34" s="233"/>
      <c r="AL34" s="233"/>
      <c r="AM34" s="233"/>
      <c r="AN34" s="233"/>
      <c r="AO34" s="234"/>
      <c r="AP34" s="228"/>
      <c r="AQ34" s="31"/>
      <c r="AR34" s="67"/>
      <c r="AS34" s="32"/>
      <c r="AT34" s="67"/>
      <c r="AU34" s="67"/>
      <c r="AV34" s="67"/>
      <c r="AW34" s="67"/>
      <c r="AX34" s="32"/>
      <c r="AY34" s="32"/>
      <c r="AZ34" s="32"/>
      <c r="BA34" s="32"/>
      <c r="BB34" s="32"/>
      <c r="BC34" s="32"/>
      <c r="BD34" s="32"/>
      <c r="BE34" s="2"/>
      <c r="BF34" s="2"/>
      <c r="BG34" s="2"/>
      <c r="BH34" s="2"/>
      <c r="BI34" s="2"/>
      <c r="BJ34" s="2"/>
      <c r="BK34" s="32"/>
      <c r="BL34" s="2"/>
      <c r="BM34" s="32"/>
      <c r="BN34" s="32"/>
      <c r="BO34" s="32"/>
      <c r="BP34" s="32"/>
      <c r="BQ34" s="32"/>
      <c r="BR34" s="32"/>
      <c r="BS34" s="32"/>
      <c r="BT34" s="32"/>
      <c r="BU34" s="32"/>
      <c r="BV34" s="32"/>
      <c r="BW34" s="32"/>
      <c r="BX34" s="32"/>
      <c r="BY34" s="32"/>
      <c r="BZ34" s="32"/>
      <c r="CA34" s="33"/>
      <c r="CB34" s="32"/>
      <c r="CC34" s="32"/>
      <c r="CD34" s="31"/>
      <c r="CE34" s="31"/>
      <c r="CF34" s="48"/>
      <c r="CG34" s="31"/>
      <c r="CH34" s="31"/>
      <c r="CI34" s="32"/>
      <c r="CJ34" s="32"/>
      <c r="CK34" s="32"/>
      <c r="CL34" s="32"/>
      <c r="CM34" s="32"/>
      <c r="CN34" s="32"/>
      <c r="CO34" s="32"/>
      <c r="CP34" s="32"/>
      <c r="CQ34" s="32"/>
      <c r="CR34" s="32"/>
      <c r="CS34" s="32"/>
      <c r="CT34" s="32"/>
      <c r="CU34" s="32"/>
      <c r="CV34" s="32"/>
      <c r="CW34" s="32"/>
      <c r="CX34" s="32"/>
      <c r="CY34" s="32"/>
      <c r="CZ34" s="32"/>
      <c r="DA34" s="32"/>
      <c r="DB34" s="32"/>
    </row>
    <row r="35" spans="1:106" ht="26.25" customHeight="1">
      <c r="A35" s="242"/>
      <c r="B35" s="277"/>
      <c r="C35" s="267"/>
      <c r="D35" s="268"/>
      <c r="E35" s="267"/>
      <c r="F35" s="268"/>
      <c r="G35" s="267"/>
      <c r="H35" s="290"/>
      <c r="I35" s="290"/>
      <c r="J35" s="268"/>
      <c r="K35" s="267"/>
      <c r="L35" s="268"/>
      <c r="M35" s="267"/>
      <c r="N35" s="268"/>
      <c r="O35" s="267"/>
      <c r="P35" s="268"/>
      <c r="Q35" s="267"/>
      <c r="R35" s="268"/>
      <c r="S35" s="267"/>
      <c r="T35" s="268"/>
      <c r="U35" s="267"/>
      <c r="V35" s="268"/>
      <c r="W35" s="267"/>
      <c r="X35" s="268"/>
      <c r="Y35" s="267"/>
      <c r="Z35" s="268"/>
      <c r="AA35" s="267"/>
      <c r="AB35" s="268"/>
      <c r="AC35" s="267"/>
      <c r="AD35" s="268"/>
      <c r="AE35" s="267"/>
      <c r="AF35" s="268"/>
      <c r="AG35" s="267"/>
      <c r="AH35" s="268"/>
      <c r="AI35" s="277"/>
      <c r="AJ35" s="69" t="str">
        <f>IF(J24="English","NI",(IF(J24="Español","LP",(IF(J24="Deutsch","HV",(IF(J24="Français","BP")))))))</f>
        <v>NI</v>
      </c>
      <c r="AK35" s="69" t="str">
        <f>IF(J24="English","MA",(IF(J24="Español","MO",(IF(J24="Deutsch","BE",(IF(J24="Français","M")))))))</f>
        <v>MA</v>
      </c>
      <c r="AL35" s="69" t="str">
        <f>IF(J24="English","ST",(IF(J24="Español","FU",(IF(J24="Deutsch","ST",(IF(J24="Français","F")))))))</f>
        <v>ST</v>
      </c>
      <c r="AM35" s="69" t="str">
        <f>IF(J24="English","PA",(IF(J24="Español","PA",(IF(J24="Deutsch","WG",(IF(J24="Français","CP")))))))</f>
        <v>PA</v>
      </c>
      <c r="AN35" s="69" t="str">
        <f>IF(J24="English","AG",(IF(J24="Español","AG",(IF(J24="Deutsch","GE",(IF(J24="Français","AG")))))))</f>
        <v>AG</v>
      </c>
      <c r="AO35" s="69" t="str">
        <f>IF(J24="English","AV",(IF(J24="Español","AR",(IF(J24="Deutsch","RW",(IF(J24="Français","AR")))))))</f>
        <v>AV</v>
      </c>
      <c r="AP35" s="228"/>
      <c r="AQ35" s="31"/>
      <c r="AR35" s="67"/>
      <c r="AS35" s="67"/>
      <c r="AT35" s="67"/>
      <c r="AU35" s="67"/>
      <c r="AV35" s="67"/>
      <c r="AW35" s="67"/>
      <c r="AX35" s="32"/>
      <c r="AY35" s="32"/>
      <c r="AZ35" s="32"/>
      <c r="BA35" s="32"/>
      <c r="BB35" s="32"/>
      <c r="BC35" s="32"/>
      <c r="BD35" s="32"/>
      <c r="BE35" s="2"/>
      <c r="BF35" s="2"/>
      <c r="BG35" s="2"/>
      <c r="BH35" s="2"/>
      <c r="BI35" s="2"/>
      <c r="BJ35" s="2"/>
      <c r="BK35" s="32"/>
      <c r="BL35" s="2"/>
      <c r="BM35" s="32"/>
      <c r="BN35" s="32"/>
      <c r="BO35" s="32"/>
      <c r="BP35" s="32"/>
      <c r="BQ35" s="32"/>
      <c r="BR35" s="32"/>
      <c r="BS35" s="32"/>
      <c r="BT35" s="32"/>
      <c r="BU35" s="33"/>
      <c r="BV35" s="33"/>
      <c r="BW35" s="32"/>
      <c r="BX35" s="32"/>
      <c r="BY35" s="32"/>
      <c r="BZ35" s="32"/>
      <c r="CA35" s="33"/>
      <c r="CB35" s="32"/>
      <c r="CC35" s="32"/>
      <c r="CD35" s="31"/>
      <c r="CE35" s="31"/>
      <c r="CF35" s="48"/>
      <c r="CG35" s="31"/>
      <c r="CH35" s="31"/>
      <c r="CI35" s="32"/>
      <c r="CJ35" s="32"/>
      <c r="CK35" s="32"/>
      <c r="CL35" s="32"/>
      <c r="CM35" s="32"/>
      <c r="CN35" s="32"/>
      <c r="CO35" s="32"/>
      <c r="CP35" s="32"/>
      <c r="CQ35" s="32"/>
      <c r="CR35" s="32"/>
      <c r="CS35" s="32"/>
      <c r="CT35" s="32"/>
      <c r="CU35" s="32"/>
      <c r="CV35" s="32"/>
      <c r="CW35" s="32"/>
      <c r="CX35" s="32"/>
      <c r="CY35" s="32"/>
      <c r="CZ35" s="32"/>
      <c r="DA35" s="32"/>
      <c r="DB35" s="32"/>
    </row>
    <row r="36" spans="1:106" ht="22.5" customHeight="1">
      <c r="A36" s="28">
        <v>1</v>
      </c>
      <c r="B36" s="70" t="str">
        <f t="shared" ref="B36:B51" si="53">C2</f>
        <v>Flesh Golem</v>
      </c>
      <c r="C36" s="248" t="s">
        <v>477</v>
      </c>
      <c r="D36" s="234"/>
      <c r="E36" s="248" t="s">
        <v>1225</v>
      </c>
      <c r="F36" s="234"/>
      <c r="G36" s="248"/>
      <c r="H36" s="233"/>
      <c r="I36" s="233"/>
      <c r="J36" s="234"/>
      <c r="K36" s="246"/>
      <c r="L36" s="234"/>
      <c r="M36" s="248"/>
      <c r="N36" s="234"/>
      <c r="O36" s="246"/>
      <c r="P36" s="234"/>
      <c r="Q36" s="248"/>
      <c r="R36" s="234"/>
      <c r="S36" s="246"/>
      <c r="T36" s="234"/>
      <c r="U36" s="248"/>
      <c r="V36" s="234"/>
      <c r="W36" s="246"/>
      <c r="X36" s="234"/>
      <c r="Y36" s="248"/>
      <c r="Z36" s="234"/>
      <c r="AA36" s="246"/>
      <c r="AB36" s="234"/>
      <c r="AC36" s="247"/>
      <c r="AD36" s="234"/>
      <c r="AE36" s="292"/>
      <c r="AF36" s="234"/>
      <c r="AG36" s="295">
        <f t="shared" ref="AG36:AG51" si="54">IFERROR(BI39+AE36,0)</f>
        <v>20000</v>
      </c>
      <c r="AH36" s="234"/>
      <c r="AI36" s="71">
        <f t="shared" ref="AI36:AI51" si="55">IFERROR(SUM(CU39:CZ39),0)</f>
        <v>6</v>
      </c>
      <c r="AJ36" s="72" t="s">
        <v>240</v>
      </c>
      <c r="AK36" s="73"/>
      <c r="AL36" s="73"/>
      <c r="AM36" s="74"/>
      <c r="AN36" s="74"/>
      <c r="AO36" s="74"/>
      <c r="AP36" s="228"/>
      <c r="AQ36" s="31"/>
      <c r="AR36" s="67"/>
      <c r="AS36" s="67"/>
      <c r="AT36" s="67"/>
      <c r="AU36" s="67"/>
      <c r="AV36" s="67"/>
      <c r="AW36" s="67"/>
      <c r="AX36" s="32"/>
      <c r="AY36" s="32"/>
      <c r="AZ36" s="32"/>
      <c r="BA36" s="32"/>
      <c r="BB36" s="32"/>
      <c r="BC36" s="32"/>
      <c r="BD36" s="32"/>
      <c r="BE36" s="2"/>
      <c r="BF36" s="2"/>
      <c r="BG36" s="2"/>
      <c r="BH36" s="2"/>
      <c r="BI36" s="2"/>
      <c r="BJ36" s="2"/>
      <c r="BK36" s="32"/>
      <c r="BL36" s="2"/>
      <c r="BM36" s="32"/>
      <c r="BN36" s="32"/>
      <c r="BO36" s="32"/>
      <c r="BP36" s="32"/>
      <c r="BQ36" s="32"/>
      <c r="BR36" s="32"/>
      <c r="BS36" s="32"/>
      <c r="BT36" s="32"/>
      <c r="BU36" s="33"/>
      <c r="BV36" s="33"/>
      <c r="BW36" s="32"/>
      <c r="BX36" s="32"/>
      <c r="BY36" s="32"/>
      <c r="BZ36" s="32"/>
      <c r="CA36" s="33"/>
      <c r="CB36" s="32"/>
      <c r="CC36" s="32"/>
      <c r="CD36" s="31"/>
      <c r="CE36" s="31"/>
      <c r="CF36" s="48"/>
      <c r="CG36" s="31"/>
      <c r="CH36" s="31"/>
      <c r="CI36" s="32"/>
      <c r="CJ36" s="32"/>
      <c r="CK36" s="32"/>
      <c r="CL36" s="32"/>
      <c r="CM36" s="32"/>
      <c r="CN36" s="32"/>
      <c r="CO36" s="32"/>
      <c r="CP36" s="32"/>
      <c r="CQ36" s="32"/>
      <c r="CR36" s="32"/>
      <c r="CS36" s="32"/>
      <c r="CT36" s="32"/>
      <c r="CU36" s="32"/>
      <c r="CV36" s="32"/>
      <c r="CW36" s="32"/>
      <c r="CX36" s="32"/>
      <c r="CY36" s="32"/>
      <c r="CZ36" s="32"/>
      <c r="DA36" s="32"/>
      <c r="DB36" s="32"/>
    </row>
    <row r="37" spans="1:106" ht="22.5" customHeight="1">
      <c r="A37" s="28">
        <v>2</v>
      </c>
      <c r="B37" s="70" t="str">
        <f t="shared" si="53"/>
        <v>Flesh Golem</v>
      </c>
      <c r="C37" s="246"/>
      <c r="D37" s="234"/>
      <c r="E37" s="246"/>
      <c r="F37" s="234"/>
      <c r="G37" s="246"/>
      <c r="H37" s="233"/>
      <c r="I37" s="233"/>
      <c r="J37" s="234"/>
      <c r="K37" s="246"/>
      <c r="L37" s="234"/>
      <c r="M37" s="246"/>
      <c r="N37" s="234"/>
      <c r="O37" s="246"/>
      <c r="P37" s="234"/>
      <c r="Q37" s="246"/>
      <c r="R37" s="234"/>
      <c r="S37" s="246"/>
      <c r="T37" s="234"/>
      <c r="U37" s="246"/>
      <c r="V37" s="234"/>
      <c r="W37" s="246"/>
      <c r="X37" s="234"/>
      <c r="Y37" s="246"/>
      <c r="Z37" s="234"/>
      <c r="AA37" s="246"/>
      <c r="AB37" s="234"/>
      <c r="AC37" s="247"/>
      <c r="AD37" s="234"/>
      <c r="AE37" s="292"/>
      <c r="AF37" s="234"/>
      <c r="AG37" s="295">
        <f t="shared" si="54"/>
        <v>0</v>
      </c>
      <c r="AH37" s="234"/>
      <c r="AI37" s="71">
        <f t="shared" si="55"/>
        <v>0</v>
      </c>
      <c r="AJ37" s="72"/>
      <c r="AK37" s="74"/>
      <c r="AL37" s="74"/>
      <c r="AM37" s="74"/>
      <c r="AN37" s="74"/>
      <c r="AO37" s="74"/>
      <c r="AP37" s="228"/>
      <c r="AQ37" s="31"/>
      <c r="AR37" s="67"/>
      <c r="AS37" s="67"/>
      <c r="AT37" s="67"/>
      <c r="AU37" s="67"/>
      <c r="AV37" s="67"/>
      <c r="AW37" s="67"/>
      <c r="AX37" s="32"/>
      <c r="AY37" s="31"/>
      <c r="AZ37" s="32"/>
      <c r="BA37" s="32"/>
      <c r="BB37" s="32"/>
      <c r="BC37" s="32"/>
      <c r="BD37" s="32"/>
      <c r="BE37" s="2"/>
      <c r="BF37" s="2"/>
      <c r="BG37" s="2"/>
      <c r="BH37" s="2"/>
      <c r="BI37" s="2"/>
      <c r="BJ37" s="2"/>
      <c r="BK37" s="32"/>
      <c r="BL37" s="2"/>
      <c r="BM37" s="32"/>
      <c r="BN37" s="32"/>
      <c r="BO37" s="32"/>
      <c r="BP37" s="32"/>
      <c r="BQ37" s="32"/>
      <c r="BR37" s="32"/>
      <c r="BS37" s="32"/>
      <c r="BT37" s="75"/>
      <c r="BU37" s="75"/>
      <c r="BV37" s="75"/>
      <c r="BW37" s="75"/>
      <c r="BX37" s="75"/>
      <c r="BY37" s="32"/>
      <c r="BZ37" s="32"/>
      <c r="CA37" s="32"/>
      <c r="CB37" s="32"/>
      <c r="CC37" s="32"/>
      <c r="CD37" s="32"/>
      <c r="CE37" s="32"/>
      <c r="CF37" s="48"/>
      <c r="CG37" s="32"/>
      <c r="CH37" s="75"/>
      <c r="CI37" s="75"/>
      <c r="CJ37" s="75"/>
      <c r="CK37" s="75"/>
      <c r="CL37" s="75"/>
      <c r="CM37" s="32"/>
      <c r="CN37" s="32"/>
      <c r="CO37" s="32"/>
      <c r="CP37" s="32"/>
      <c r="CQ37" s="32"/>
      <c r="CR37" s="32"/>
      <c r="CS37" s="32"/>
      <c r="CT37" s="32"/>
      <c r="CU37" s="32"/>
      <c r="CV37" s="32"/>
      <c r="CW37" s="32"/>
      <c r="CX37" s="32"/>
      <c r="CY37" s="32"/>
      <c r="CZ37" s="32"/>
      <c r="DA37" s="32"/>
      <c r="DB37" s="32"/>
    </row>
    <row r="38" spans="1:106" ht="22.5" customHeight="1">
      <c r="A38" s="28">
        <v>3</v>
      </c>
      <c r="B38" s="76" t="str">
        <f t="shared" si="53"/>
        <v>Werewolf</v>
      </c>
      <c r="C38" s="248" t="s">
        <v>477</v>
      </c>
      <c r="D38" s="234"/>
      <c r="E38" s="248" t="s">
        <v>1225</v>
      </c>
      <c r="F38" s="234"/>
      <c r="G38" s="248"/>
      <c r="H38" s="233"/>
      <c r="I38" s="233"/>
      <c r="J38" s="234"/>
      <c r="K38" s="246"/>
      <c r="L38" s="234"/>
      <c r="M38" s="248"/>
      <c r="N38" s="234"/>
      <c r="O38" s="246"/>
      <c r="P38" s="234"/>
      <c r="Q38" s="248"/>
      <c r="R38" s="234"/>
      <c r="S38" s="246"/>
      <c r="T38" s="234"/>
      <c r="U38" s="248"/>
      <c r="V38" s="234"/>
      <c r="W38" s="246"/>
      <c r="X38" s="234"/>
      <c r="Y38" s="248"/>
      <c r="Z38" s="234"/>
      <c r="AA38" s="246"/>
      <c r="AB38" s="234"/>
      <c r="AC38" s="247"/>
      <c r="AD38" s="234"/>
      <c r="AE38" s="292"/>
      <c r="AF38" s="234"/>
      <c r="AG38" s="295">
        <f t="shared" si="54"/>
        <v>20000</v>
      </c>
      <c r="AH38" s="234"/>
      <c r="AI38" s="71">
        <f t="shared" si="55"/>
        <v>6</v>
      </c>
      <c r="AJ38" s="72"/>
      <c r="AK38" s="74"/>
      <c r="AL38" s="74"/>
      <c r="AM38" s="74"/>
      <c r="AN38" s="74"/>
      <c r="AO38" s="74"/>
      <c r="AP38" s="228"/>
      <c r="AQ38" s="31"/>
      <c r="AR38" s="67"/>
      <c r="AS38" s="67"/>
      <c r="AT38" s="67"/>
      <c r="AU38" s="67"/>
      <c r="AV38" s="67"/>
      <c r="AW38" s="67"/>
      <c r="AX38" s="77" t="s">
        <v>246</v>
      </c>
      <c r="AY38" s="45" t="s">
        <v>247</v>
      </c>
      <c r="AZ38" s="45" t="s">
        <v>248</v>
      </c>
      <c r="BA38" s="45" t="s">
        <v>249</v>
      </c>
      <c r="BB38" s="45" t="s">
        <v>250</v>
      </c>
      <c r="BC38" s="45" t="s">
        <v>251</v>
      </c>
      <c r="BD38" s="45" t="s">
        <v>252</v>
      </c>
      <c r="BE38" s="45" t="s">
        <v>253</v>
      </c>
      <c r="BF38" s="45" t="s">
        <v>254</v>
      </c>
      <c r="BG38" s="45" t="s">
        <v>255</v>
      </c>
      <c r="BH38" s="45" t="s">
        <v>256</v>
      </c>
      <c r="BI38" s="45" t="s">
        <v>257</v>
      </c>
      <c r="BJ38" s="32"/>
      <c r="BK38" s="262" t="s">
        <v>258</v>
      </c>
      <c r="BL38" s="261"/>
      <c r="BM38" s="261"/>
      <c r="BN38" s="261"/>
      <c r="BO38" s="261"/>
      <c r="BP38" s="261"/>
      <c r="BQ38" s="32"/>
      <c r="BR38" s="32"/>
      <c r="BS38" s="262" t="s">
        <v>259</v>
      </c>
      <c r="BT38" s="261"/>
      <c r="BU38" s="261"/>
      <c r="BV38" s="261"/>
      <c r="BW38" s="261"/>
      <c r="BX38" s="261"/>
      <c r="BY38" s="32"/>
      <c r="BZ38" s="262" t="s">
        <v>260</v>
      </c>
      <c r="CA38" s="261"/>
      <c r="CB38" s="261"/>
      <c r="CC38" s="261"/>
      <c r="CD38" s="261"/>
      <c r="CE38" s="261"/>
      <c r="CF38" s="33"/>
      <c r="CG38" s="262" t="s">
        <v>261</v>
      </c>
      <c r="CH38" s="261"/>
      <c r="CI38" s="261"/>
      <c r="CJ38" s="261"/>
      <c r="CK38" s="261"/>
      <c r="CL38" s="261"/>
      <c r="CM38" s="32"/>
      <c r="CN38" s="262" t="s">
        <v>262</v>
      </c>
      <c r="CO38" s="261"/>
      <c r="CP38" s="261"/>
      <c r="CQ38" s="261"/>
      <c r="CR38" s="261"/>
      <c r="CS38" s="261"/>
      <c r="CT38" s="32"/>
      <c r="CU38" s="262" t="s">
        <v>263</v>
      </c>
      <c r="CV38" s="261"/>
      <c r="CW38" s="261"/>
      <c r="CX38" s="261"/>
      <c r="CY38" s="261"/>
      <c r="CZ38" s="261"/>
      <c r="DA38" s="45"/>
      <c r="DB38" s="45"/>
    </row>
    <row r="39" spans="1:106" ht="22.5" customHeight="1">
      <c r="A39" s="28">
        <v>4</v>
      </c>
      <c r="B39" s="70" t="str">
        <f t="shared" si="53"/>
        <v>Werewolf</v>
      </c>
      <c r="C39" s="246" t="s">
        <v>477</v>
      </c>
      <c r="D39" s="234"/>
      <c r="E39" s="246" t="s">
        <v>1225</v>
      </c>
      <c r="F39" s="234"/>
      <c r="G39" s="246"/>
      <c r="H39" s="233"/>
      <c r="I39" s="233"/>
      <c r="J39" s="234"/>
      <c r="K39" s="246"/>
      <c r="L39" s="234"/>
      <c r="M39" s="246"/>
      <c r="N39" s="234"/>
      <c r="O39" s="246"/>
      <c r="P39" s="234"/>
      <c r="Q39" s="246"/>
      <c r="R39" s="234"/>
      <c r="S39" s="246"/>
      <c r="T39" s="234"/>
      <c r="U39" s="246"/>
      <c r="V39" s="234"/>
      <c r="W39" s="246"/>
      <c r="X39" s="234"/>
      <c r="Y39" s="246"/>
      <c r="Z39" s="234"/>
      <c r="AA39" s="246"/>
      <c r="AB39" s="234"/>
      <c r="AC39" s="247"/>
      <c r="AD39" s="234"/>
      <c r="AE39" s="292"/>
      <c r="AF39" s="234"/>
      <c r="AG39" s="295">
        <f t="shared" si="54"/>
        <v>20000</v>
      </c>
      <c r="AH39" s="234"/>
      <c r="AI39" s="71">
        <f t="shared" si="55"/>
        <v>6</v>
      </c>
      <c r="AJ39" s="72"/>
      <c r="AK39" s="74"/>
      <c r="AL39" s="74"/>
      <c r="AM39" s="74"/>
      <c r="AN39" s="74"/>
      <c r="AO39" s="74"/>
      <c r="AP39" s="228"/>
      <c r="AQ39" s="31"/>
      <c r="AR39" s="67"/>
      <c r="AS39" s="67"/>
      <c r="AT39" s="67"/>
      <c r="AU39" s="67"/>
      <c r="AV39" s="67"/>
      <c r="AW39" s="67"/>
      <c r="AX39" s="32" t="str">
        <f t="shared" ref="AX39:AX40" si="56">B36</f>
        <v>Flesh Golem</v>
      </c>
      <c r="AY39" s="32" t="str">
        <f>IFERROR((VLOOKUP($BO$1&amp;B36,Teams!D:S,12,0)),0)</f>
        <v>P</v>
      </c>
      <c r="AZ39" s="32" t="str">
        <f>IFERROR((VLOOKUP($BO$1&amp;B36,Teams!D:S,13,0)),0)</f>
        <v>S</v>
      </c>
      <c r="BA39" s="32" t="str">
        <f>IFERROR((VLOOKUP($BO$1&amp;B36,Teams!D:S,14,0)),0)</f>
        <v>P</v>
      </c>
      <c r="BB39" s="32">
        <f>IFERROR((VLOOKUP($BO$1&amp;B36,Teams!D:S,15,0)),0)</f>
        <v>0</v>
      </c>
      <c r="BC39" s="32">
        <f>IFERROR((VLOOKUP($BO$1&amp;B36,Teams!D:S,16,0)),0)</f>
        <v>0</v>
      </c>
      <c r="BD39" s="32">
        <v>20000</v>
      </c>
      <c r="BE39" s="32">
        <v>10000</v>
      </c>
      <c r="BF39" s="32">
        <v>40000</v>
      </c>
      <c r="BG39" s="32">
        <v>20000</v>
      </c>
      <c r="BH39" s="32">
        <v>80000</v>
      </c>
      <c r="BI39" s="32">
        <f t="shared" ref="BI39:BI54" si="57">SUM(CG39:CS39)</f>
        <v>20000</v>
      </c>
      <c r="BJ39" s="2"/>
      <c r="BK39" s="32" t="str">
        <f t="shared" ref="BK39:BK54" si="58">IF(C36="",0,(VLOOKUP(C36,$CB$57:$CD$157,2,0)))</f>
        <v>G</v>
      </c>
      <c r="BL39" s="32">
        <f t="shared" ref="BL39:BL54" si="59">IF(G36="",0,(VLOOKUP(G36,$CB$57:$CD$157,2,0)))</f>
        <v>0</v>
      </c>
      <c r="BM39" s="32">
        <f t="shared" ref="BM39:BM54" si="60">IF(M36="",0,(VLOOKUP(M36,$CB$57:$CD$157,2,0)))</f>
        <v>0</v>
      </c>
      <c r="BN39" s="32">
        <f t="shared" ref="BN39:BN54" si="61">IF(Q36="",0,(VLOOKUP(Q36,$CB$57:$CD$157,2,0)))</f>
        <v>0</v>
      </c>
      <c r="BO39" s="32">
        <f t="shared" ref="BO39:BO54" si="62">IF(U36="",0,(VLOOKUP(U36,$CB$57:$CD$157,2,0)))</f>
        <v>0</v>
      </c>
      <c r="BP39" s="32">
        <f t="shared" ref="BP39:BP54" si="63">IF(Y36="",0,(VLOOKUP(Y36,$CB$57:$CD$157,2,0)))</f>
        <v>0</v>
      </c>
      <c r="BQ39" s="2"/>
      <c r="BR39" s="2"/>
      <c r="BS39" s="32" t="str">
        <f t="shared" ref="BS39:BS54" si="64">(IF(BK39="G",AY39,IF(BK39="A",AZ39,IF(BK39="S",BA39,IF(BK39="P",BB39,IF(BK39="M",BC39,IF(BK39="X",0,IF(OR(BK39="MA",BK39="AV",BK39="ST",BK39="PA",BK39="AG"),"STAT",0))))))))</f>
        <v>P</v>
      </c>
      <c r="BT39" s="32">
        <f t="shared" ref="BT39:BT54" si="65">(IF(BL39="G",AY39,IF(BL39="A",AZ39,IF(BL39="S",BA39,IF(BL39="P",BB39,IF(BL39="M",BC39,IF(BL39="X",0,IF(OR(BL39="MA",BL39="AV",BL39="ST",BL39="PA",BL39="AG"),"STAT",0))))))))</f>
        <v>0</v>
      </c>
      <c r="BU39" s="32">
        <f t="shared" ref="BU39:BU54" si="66">(IF(BM39="G",AY39,IF(BM39="A",AZ39,IF(BM39="S",BA39,IF(BM39="P",BB39,IF(BM39="M",BC39,IF(BM39="X",0,IF(OR(BM39="MA",BM39="AV",BM39="ST",BM39="PA",BM39="AG"),"STAT",0))))))))</f>
        <v>0</v>
      </c>
      <c r="BV39" s="32">
        <f t="shared" ref="BV39:BV54" si="67">(IF(BN39="G",AY39,IF(BN39="A",AZ39,IF(BN39="S",BA39,IF(BN39="P",BB39,IF(BN39="M",BC39,IF(BN39="X",0,IF(OR(BN39="MA",BN39="AV",BN39="ST",BN39="PA",BN39="AG"),"STAT",0))))))))</f>
        <v>0</v>
      </c>
      <c r="BW39" s="32">
        <f t="shared" ref="BW39:BW54" si="68">(IF(BO39="G",AY39,IF(BO39="A",AZ39,IF(BO39="S",BA39,IF(BO39="P",BB39,IF(BO39="M",BC39,IF(BO39="X",0,IF(OR(BO39="MA",BO39="AV",BO39="ST",BO39="PA",BO39="AG"),"STAT",0))))))))</f>
        <v>0</v>
      </c>
      <c r="BX39" s="32">
        <f t="shared" ref="BX39:BX54" si="69">(IF(BP39="G",AY39,IF(BP39="A",AZ39,IF(BP39="S",BA39,IF(BP39="P",BB39,IF(BP39="M",BC39,IF(BP39="X",0,IF(OR(BP39="MA",BP39="AV",BP39="ST",BP39="PA",BP39="AG"),"STAT",0))))))))</f>
        <v>0</v>
      </c>
      <c r="BY39" s="32"/>
      <c r="BZ39" s="32" t="str">
        <f t="shared" ref="BZ39:BZ54" si="70">IF(E36="Chosen","Chosen",(IF(E36="Elegida","Chosen",(IF(E36="Gewählt","Chosen",(IF(E36="Choisie","Chosen",(IF(E36="Random","Random",(IF(E36="Aleatoria","Random",(IF(E36="Zufällig","Random",(IF(E36="Aléatoire","Random",0)))))))))))))))</f>
        <v>Chosen</v>
      </c>
      <c r="CA39" s="32">
        <f t="shared" ref="CA39:CA54" si="71">IF(K36="Chosen","Chosen",(IF(K36="Elegida","Chosen",(IF(K36="Gewählt","Chosen",(IF(K36="Choisie","Chosen",(IF(K36="Random","Random",(IF(K36="Aleatoria","Random",(IF(K36="Zufällig","Random",(IF(K36="Aléatoire","Random",0)))))))))))))))</f>
        <v>0</v>
      </c>
      <c r="CB39" s="32">
        <f t="shared" ref="CB39:CB54" si="72">IF(O36="Chosen","Chosen",(IF(O36="Elegida","Chosen",(IF(O36="Gewählt","Chosen",(IF(O36="Choisie","Chosen",(IF(O36="Random","Random",(IF(O36="Aleatoria","Random",(IF(O36="Zufällig","Random",(IF(O36="Aléatoire","Random",0)))))))))))))))</f>
        <v>0</v>
      </c>
      <c r="CC39" s="32">
        <f t="shared" ref="CC39:CC54" si="73">IF(S36="Chosen","Chosen",(IF(S36="Elegida","Chosen",(IF(S36="Gewählt","Chosen",(IF(S36="Choisie","Chosen",(IF(S36="Random","Random",(IF(S36="Aleatoria","Random",(IF(S36="Zufällig","Random",(IF(S36="Aléatoire","Random",0)))))))))))))))</f>
        <v>0</v>
      </c>
      <c r="CD39" s="32">
        <f>IF(W36="Chosen","Chosen",(IF(W36="Elegida","Chosen",(IF(W36="Gewählt","Chosen",(IF(W36="Choisie","Chosen",(IF(W36="Random","Random",(IF(W36="Aleatoria","Random",(IF(W36="Zufällig","Random",(IF(W36="Aléatoire","Random",0)))))))))))))))</f>
        <v>0</v>
      </c>
      <c r="CE39" s="32">
        <f t="shared" ref="CE39:CE54" si="74">IF(AA36="Chosen","Chosen",(IF(AA36="Elegida","Chosen",(IF(AA36="Gewählt","Chosen",(IF(AA36="Choisie","Chosen",(IF(AA36="Random","Random",(IF(U36="Aleatoria","Random",(IF(AA36="Zufällig","Random",(IF(AA36="Aléatoire","Random",0)))))))))))))))</f>
        <v>0</v>
      </c>
      <c r="CF39" s="33"/>
      <c r="CG39" s="32">
        <f t="shared" ref="CG39:CL39" si="75">IF(AND(BS39="P",BZ39="Random"),10000,IF(AND(BS39="P",BZ39="Chosen"),20000,IF(AND(BS39="S",BZ39="Random"),20000,IF(AND(BS39="S",BZ39="Chosen"),40000,0))))</f>
        <v>20000</v>
      </c>
      <c r="CH39" s="32">
        <f t="shared" si="75"/>
        <v>0</v>
      </c>
      <c r="CI39" s="32">
        <f t="shared" si="75"/>
        <v>0</v>
      </c>
      <c r="CJ39" s="32">
        <f t="shared" si="75"/>
        <v>0</v>
      </c>
      <c r="CK39" s="32">
        <f t="shared" si="75"/>
        <v>0</v>
      </c>
      <c r="CL39" s="32">
        <f t="shared" si="75"/>
        <v>0</v>
      </c>
      <c r="CM39" s="32"/>
      <c r="CN39" s="32">
        <f t="shared" ref="CN39:CS39" si="76">IF(BK39="AV",10000,IF(BK39="MA",20000,IF(BK39="PA",20000,IF(BK39="AG",40000,IF(BK39="ST",80000,0)))))</f>
        <v>0</v>
      </c>
      <c r="CO39" s="32">
        <f t="shared" si="76"/>
        <v>0</v>
      </c>
      <c r="CP39" s="32">
        <f t="shared" si="76"/>
        <v>0</v>
      </c>
      <c r="CQ39" s="32">
        <f t="shared" si="76"/>
        <v>0</v>
      </c>
      <c r="CR39" s="32">
        <f t="shared" si="76"/>
        <v>0</v>
      </c>
      <c r="CS39" s="32">
        <f t="shared" si="76"/>
        <v>0</v>
      </c>
      <c r="CT39" s="32"/>
      <c r="CU39" s="32">
        <f t="shared" ref="CU39:CU54" si="77">IF(AND(BS39="P",BZ39="Random"),3,IF(AND(BS39="P",BZ39="Chosen"),6,IF(AND(BS39="S",BZ39="Random"),6,IF(AND(BS39="S",BZ39="Chosen"),12,IF(OR(BS39="STAT"),18,0)))))</f>
        <v>6</v>
      </c>
      <c r="CV39" s="32">
        <f t="shared" ref="CV39:CV54" si="78">IF(AND(BT39="P",CA39="Random"),4,IF(AND(BT39="P",CA39="Chosen"),8,IF(AND(BT39="S",CA39="Random"),8,IF(AND(BT39="S",CA39="Chosen"),14,IF(OR(BT39="STAT"),20,0)))))</f>
        <v>0</v>
      </c>
      <c r="CW39" s="32">
        <f t="shared" ref="CW39:CW54" si="79">IF(AND(BU39="P",CB39="Random"),6,IF(AND(BU39="P",CB39="Chosen"),12,IF(AND(BU39="S",CB39="Random"),12,IF(AND(BU39="S",CB39="Chosen"),18,IF(OR(BU39="STAT"),24,0)))))</f>
        <v>0</v>
      </c>
      <c r="CX39" s="32">
        <f t="shared" ref="CX39:CX54" si="80">IF(AND(BV39="P",CC39="Random"),8,IF(AND(BV39="P",CC39="Chosen"),16,IF(AND(BV39="S",CC39="Random"),16,IF(AND(BV39="S",CC39="Chosen"),22,IF(OR(BV39="STAT"),28,0)))))</f>
        <v>0</v>
      </c>
      <c r="CY39" s="32">
        <f t="shared" ref="CY39:CY54" si="81">IF(AND(BW39="P",CD39="Random"),10,IF(AND(BW39="P",CD39="Chosen"),20,IF(AND(BW39="S",CD39="Random"),20,IF(AND(BW39="S",CD39="Chosen"),26,IF(OR(BW39="STAT"),32,0)))))</f>
        <v>0</v>
      </c>
      <c r="CZ39" s="32">
        <f t="shared" ref="CZ39:CZ54" si="82">IF(AND(BX39="P",CE39="Random"),15,IF(AND(BX39="P",CE39="Chosen"),30,IF(AND(BX39="S",CE39="Random"),30,IF(AND(BX39="S",CE39="Chosen"),40,IF(OR(BX39="STAT"),50,0)))))</f>
        <v>0</v>
      </c>
      <c r="DA39" s="32"/>
      <c r="DB39" s="32"/>
    </row>
    <row r="40" spans="1:106" ht="22.5" customHeight="1">
      <c r="A40" s="28">
        <v>5</v>
      </c>
      <c r="B40" s="70" t="str">
        <f t="shared" si="53"/>
        <v>Ghoul</v>
      </c>
      <c r="C40" s="246" t="s">
        <v>477</v>
      </c>
      <c r="D40" s="234"/>
      <c r="E40" s="246" t="s">
        <v>1225</v>
      </c>
      <c r="F40" s="234"/>
      <c r="G40" s="246" t="s">
        <v>1233</v>
      </c>
      <c r="H40" s="233"/>
      <c r="I40" s="233"/>
      <c r="J40" s="234"/>
      <c r="K40" s="246" t="s">
        <v>1225</v>
      </c>
      <c r="L40" s="234"/>
      <c r="M40" s="246"/>
      <c r="N40" s="234"/>
      <c r="O40" s="246"/>
      <c r="P40" s="234"/>
      <c r="Q40" s="246"/>
      <c r="R40" s="234"/>
      <c r="S40" s="246"/>
      <c r="T40" s="234"/>
      <c r="U40" s="246"/>
      <c r="V40" s="234"/>
      <c r="W40" s="246"/>
      <c r="X40" s="234"/>
      <c r="Y40" s="246"/>
      <c r="Z40" s="234"/>
      <c r="AA40" s="246"/>
      <c r="AB40" s="234"/>
      <c r="AC40" s="247"/>
      <c r="AD40" s="234"/>
      <c r="AE40" s="247"/>
      <c r="AF40" s="234"/>
      <c r="AG40" s="295">
        <f t="shared" si="54"/>
        <v>40000</v>
      </c>
      <c r="AH40" s="234"/>
      <c r="AI40" s="71">
        <f t="shared" si="55"/>
        <v>14</v>
      </c>
      <c r="AJ40" s="72"/>
      <c r="AK40" s="74"/>
      <c r="AL40" s="74"/>
      <c r="AM40" s="74"/>
      <c r="AN40" s="74"/>
      <c r="AO40" s="74"/>
      <c r="AP40" s="228"/>
      <c r="AQ40" s="31"/>
      <c r="AR40" s="67"/>
      <c r="AS40" s="67"/>
      <c r="AT40" s="67"/>
      <c r="AU40" s="67"/>
      <c r="AV40" s="67"/>
      <c r="AW40" s="67"/>
      <c r="AX40" s="32" t="str">
        <f t="shared" si="56"/>
        <v>Flesh Golem</v>
      </c>
      <c r="AY40" s="32" t="str">
        <f>IFERROR((VLOOKUP($BO$1&amp;B37,Teams!D:S,12,0)),0)</f>
        <v>P</v>
      </c>
      <c r="AZ40" s="32" t="str">
        <f>IFERROR((VLOOKUP($BO$1&amp;B37,Teams!D:S,13,0)),0)</f>
        <v>S</v>
      </c>
      <c r="BA40" s="32" t="str">
        <f>IFERROR((VLOOKUP($BO$1&amp;B37,Teams!D:S,14,0)),0)</f>
        <v>P</v>
      </c>
      <c r="BB40" s="32">
        <f>IFERROR((VLOOKUP($BO$1&amp;B37,Teams!D:S,15,0)),0)</f>
        <v>0</v>
      </c>
      <c r="BC40" s="32">
        <f>IFERROR((VLOOKUP($BO$1&amp;B37,Teams!D:S,16,0)),0)</f>
        <v>0</v>
      </c>
      <c r="BD40" s="32">
        <v>20000</v>
      </c>
      <c r="BE40" s="32">
        <v>10000</v>
      </c>
      <c r="BF40" s="32">
        <v>40000</v>
      </c>
      <c r="BG40" s="32">
        <v>20000</v>
      </c>
      <c r="BH40" s="32">
        <v>80000</v>
      </c>
      <c r="BI40" s="32">
        <f t="shared" si="57"/>
        <v>0</v>
      </c>
      <c r="BJ40" s="2"/>
      <c r="BK40" s="32">
        <f t="shared" si="58"/>
        <v>0</v>
      </c>
      <c r="BL40" s="32">
        <f t="shared" si="59"/>
        <v>0</v>
      </c>
      <c r="BM40" s="32">
        <f t="shared" si="60"/>
        <v>0</v>
      </c>
      <c r="BN40" s="32">
        <f t="shared" si="61"/>
        <v>0</v>
      </c>
      <c r="BO40" s="32">
        <f t="shared" si="62"/>
        <v>0</v>
      </c>
      <c r="BP40" s="32">
        <f t="shared" si="63"/>
        <v>0</v>
      </c>
      <c r="BQ40" s="2"/>
      <c r="BR40" s="2"/>
      <c r="BS40" s="32">
        <f t="shared" si="64"/>
        <v>0</v>
      </c>
      <c r="BT40" s="32">
        <f t="shared" si="65"/>
        <v>0</v>
      </c>
      <c r="BU40" s="32">
        <f t="shared" si="66"/>
        <v>0</v>
      </c>
      <c r="BV40" s="32">
        <f t="shared" si="67"/>
        <v>0</v>
      </c>
      <c r="BW40" s="32">
        <f t="shared" si="68"/>
        <v>0</v>
      </c>
      <c r="BX40" s="32">
        <f t="shared" si="69"/>
        <v>0</v>
      </c>
      <c r="BY40" s="32"/>
      <c r="BZ40" s="32">
        <f t="shared" si="70"/>
        <v>0</v>
      </c>
      <c r="CA40" s="32">
        <f t="shared" si="71"/>
        <v>0</v>
      </c>
      <c r="CB40" s="32">
        <f t="shared" si="72"/>
        <v>0</v>
      </c>
      <c r="CC40" s="32">
        <f t="shared" si="73"/>
        <v>0</v>
      </c>
      <c r="CD40" s="32">
        <f t="shared" ref="CD40:CD54" si="83">IF(W37="Chosen","Chosen",(IF(W37="Elegida","Chosen",(IF(W37="Gewählt","Chosen",(IF(W37="Choisie","Chosen",(IF(W37="Random","Random",(IF(T37="Aleatoria","Random",(IF(W37="Zufällig","Random",(IF(W37="Aléatoire","Random",0)))))))))))))))</f>
        <v>0</v>
      </c>
      <c r="CE40" s="32">
        <f t="shared" si="74"/>
        <v>0</v>
      </c>
      <c r="CF40" s="33"/>
      <c r="CG40" s="32">
        <f t="shared" ref="CG40:CL40" si="84">IF(AND(BS40="P",BZ40="Random"),10000,IF(AND(BS40="P",BZ40="Chosen"),20000,IF(AND(BS40="S",BZ40="Random"),20000,IF(AND(BS40="S",BZ40="Chosen"),40000,0))))</f>
        <v>0</v>
      </c>
      <c r="CH40" s="32">
        <f t="shared" si="84"/>
        <v>0</v>
      </c>
      <c r="CI40" s="32">
        <f t="shared" si="84"/>
        <v>0</v>
      </c>
      <c r="CJ40" s="32">
        <f t="shared" si="84"/>
        <v>0</v>
      </c>
      <c r="CK40" s="32">
        <f t="shared" si="84"/>
        <v>0</v>
      </c>
      <c r="CL40" s="32">
        <f t="shared" si="84"/>
        <v>0</v>
      </c>
      <c r="CM40" s="32"/>
      <c r="CN40" s="32">
        <f t="shared" ref="CN40:CS40" si="85">IF(BK40="AV",10000,IF(BK40="MA",20000,IF(BK40="PA",20000,IF(BK40="AG",40000,IF(BK40="ST",80000,0)))))</f>
        <v>0</v>
      </c>
      <c r="CO40" s="32">
        <f t="shared" si="85"/>
        <v>0</v>
      </c>
      <c r="CP40" s="32">
        <f t="shared" si="85"/>
        <v>0</v>
      </c>
      <c r="CQ40" s="32">
        <f t="shared" si="85"/>
        <v>0</v>
      </c>
      <c r="CR40" s="32">
        <f t="shared" si="85"/>
        <v>0</v>
      </c>
      <c r="CS40" s="32">
        <f t="shared" si="85"/>
        <v>0</v>
      </c>
      <c r="CT40" s="32"/>
      <c r="CU40" s="32">
        <f t="shared" si="77"/>
        <v>0</v>
      </c>
      <c r="CV40" s="32">
        <f t="shared" si="78"/>
        <v>0</v>
      </c>
      <c r="CW40" s="32">
        <f t="shared" si="79"/>
        <v>0</v>
      </c>
      <c r="CX40" s="32">
        <f t="shared" si="80"/>
        <v>0</v>
      </c>
      <c r="CY40" s="32">
        <f t="shared" si="81"/>
        <v>0</v>
      </c>
      <c r="CZ40" s="32">
        <f t="shared" si="82"/>
        <v>0</v>
      </c>
      <c r="DA40" s="32"/>
      <c r="DB40" s="32"/>
    </row>
    <row r="41" spans="1:106" ht="22.5" customHeight="1">
      <c r="A41" s="28">
        <v>6</v>
      </c>
      <c r="B41" s="70" t="str">
        <f t="shared" si="53"/>
        <v>Wraiths</v>
      </c>
      <c r="C41" s="246" t="s">
        <v>1234</v>
      </c>
      <c r="D41" s="234"/>
      <c r="E41" s="246" t="s">
        <v>1225</v>
      </c>
      <c r="F41" s="234"/>
      <c r="G41" s="246"/>
      <c r="H41" s="233"/>
      <c r="I41" s="233"/>
      <c r="J41" s="234"/>
      <c r="K41" s="246"/>
      <c r="L41" s="234"/>
      <c r="M41" s="246"/>
      <c r="N41" s="234"/>
      <c r="O41" s="246"/>
      <c r="P41" s="234"/>
      <c r="Q41" s="246"/>
      <c r="R41" s="234"/>
      <c r="S41" s="246"/>
      <c r="T41" s="234"/>
      <c r="U41" s="246"/>
      <c r="V41" s="234"/>
      <c r="W41" s="246"/>
      <c r="X41" s="234"/>
      <c r="Y41" s="246"/>
      <c r="Z41" s="234"/>
      <c r="AA41" s="246"/>
      <c r="AB41" s="234"/>
      <c r="AC41" s="247"/>
      <c r="AD41" s="234"/>
      <c r="AE41" s="247"/>
      <c r="AF41" s="234"/>
      <c r="AG41" s="295">
        <f t="shared" si="54"/>
        <v>20000</v>
      </c>
      <c r="AH41" s="234"/>
      <c r="AI41" s="71">
        <f t="shared" si="55"/>
        <v>6</v>
      </c>
      <c r="AJ41" s="72"/>
      <c r="AK41" s="74"/>
      <c r="AL41" s="74"/>
      <c r="AM41" s="74"/>
      <c r="AN41" s="74"/>
      <c r="AO41" s="74"/>
      <c r="AP41" s="228"/>
      <c r="AQ41" s="31"/>
      <c r="AR41" s="67"/>
      <c r="AS41" s="67"/>
      <c r="AT41" s="67"/>
      <c r="AU41" s="67"/>
      <c r="AV41" s="67"/>
      <c r="AW41" s="67"/>
      <c r="AX41" s="32" t="str">
        <f>E38</f>
        <v>Chosen</v>
      </c>
      <c r="AY41" s="32" t="str">
        <f>IFERROR((VLOOKUP($BO$1&amp;B38,Teams!D:S,12,0)),0)</f>
        <v>P</v>
      </c>
      <c r="AZ41" s="32" t="str">
        <f>IFERROR((VLOOKUP($BO$1&amp;B38,Teams!D:S,13,0)),0)</f>
        <v>P</v>
      </c>
      <c r="BA41" s="32" t="str">
        <f>IFERROR((VLOOKUP($BO$1&amp;B38,Teams!D:S,14,0)),0)</f>
        <v>S</v>
      </c>
      <c r="BB41" s="32" t="str">
        <f>IFERROR((VLOOKUP($BO$1&amp;B38,Teams!D:S,15,0)),0)</f>
        <v>S</v>
      </c>
      <c r="BC41" s="32">
        <f>IFERROR((VLOOKUP($BO$1&amp;B38,Teams!D:S,16,0)),0)</f>
        <v>0</v>
      </c>
      <c r="BD41" s="32">
        <v>20000</v>
      </c>
      <c r="BE41" s="32">
        <v>10000</v>
      </c>
      <c r="BF41" s="32">
        <v>40000</v>
      </c>
      <c r="BG41" s="32">
        <v>20000</v>
      </c>
      <c r="BH41" s="32">
        <v>80000</v>
      </c>
      <c r="BI41" s="32">
        <f t="shared" si="57"/>
        <v>20000</v>
      </c>
      <c r="BJ41" s="2"/>
      <c r="BK41" s="32" t="str">
        <f t="shared" si="58"/>
        <v>G</v>
      </c>
      <c r="BL41" s="32">
        <f t="shared" si="59"/>
        <v>0</v>
      </c>
      <c r="BM41" s="32">
        <f t="shared" si="60"/>
        <v>0</v>
      </c>
      <c r="BN41" s="32">
        <f t="shared" si="61"/>
        <v>0</v>
      </c>
      <c r="BO41" s="32">
        <f t="shared" si="62"/>
        <v>0</v>
      </c>
      <c r="BP41" s="32">
        <f t="shared" si="63"/>
        <v>0</v>
      </c>
      <c r="BQ41" s="2"/>
      <c r="BR41" s="2"/>
      <c r="BS41" s="32" t="str">
        <f t="shared" si="64"/>
        <v>P</v>
      </c>
      <c r="BT41" s="32">
        <f t="shared" si="65"/>
        <v>0</v>
      </c>
      <c r="BU41" s="32">
        <f t="shared" si="66"/>
        <v>0</v>
      </c>
      <c r="BV41" s="32">
        <f t="shared" si="67"/>
        <v>0</v>
      </c>
      <c r="BW41" s="32">
        <f t="shared" si="68"/>
        <v>0</v>
      </c>
      <c r="BX41" s="32">
        <f t="shared" si="69"/>
        <v>0</v>
      </c>
      <c r="BY41" s="32"/>
      <c r="BZ41" s="32" t="str">
        <f t="shared" si="70"/>
        <v>Chosen</v>
      </c>
      <c r="CA41" s="32">
        <f t="shared" si="71"/>
        <v>0</v>
      </c>
      <c r="CB41" s="32">
        <f t="shared" si="72"/>
        <v>0</v>
      </c>
      <c r="CC41" s="32">
        <f t="shared" si="73"/>
        <v>0</v>
      </c>
      <c r="CD41" s="32">
        <f t="shared" si="83"/>
        <v>0</v>
      </c>
      <c r="CE41" s="32">
        <f t="shared" si="74"/>
        <v>0</v>
      </c>
      <c r="CF41" s="33"/>
      <c r="CG41" s="32">
        <f t="shared" ref="CG41:CL41" si="86">IF(AND(BS41="P",BZ41="Random"),10000,IF(AND(BS41="P",BZ41="Chosen"),20000,IF(AND(BS41="S",BZ41="Random"),20000,IF(AND(BS41="S",BZ41="Chosen"),40000,0))))</f>
        <v>20000</v>
      </c>
      <c r="CH41" s="32">
        <f t="shared" si="86"/>
        <v>0</v>
      </c>
      <c r="CI41" s="32">
        <f t="shared" si="86"/>
        <v>0</v>
      </c>
      <c r="CJ41" s="32">
        <f t="shared" si="86"/>
        <v>0</v>
      </c>
      <c r="CK41" s="32">
        <f t="shared" si="86"/>
        <v>0</v>
      </c>
      <c r="CL41" s="32">
        <f t="shared" si="86"/>
        <v>0</v>
      </c>
      <c r="CM41" s="32"/>
      <c r="CN41" s="32">
        <f t="shared" ref="CN41:CS41" si="87">IF(BK41="AV",10000,IF(BK41="MA",20000,IF(BK41="PA",20000,IF(BK41="AG",40000,IF(BK41="ST",80000,0)))))</f>
        <v>0</v>
      </c>
      <c r="CO41" s="32">
        <f t="shared" si="87"/>
        <v>0</v>
      </c>
      <c r="CP41" s="32">
        <f t="shared" si="87"/>
        <v>0</v>
      </c>
      <c r="CQ41" s="32">
        <f t="shared" si="87"/>
        <v>0</v>
      </c>
      <c r="CR41" s="32">
        <f t="shared" si="87"/>
        <v>0</v>
      </c>
      <c r="CS41" s="32">
        <f t="shared" si="87"/>
        <v>0</v>
      </c>
      <c r="CT41" s="32"/>
      <c r="CU41" s="32">
        <f t="shared" si="77"/>
        <v>6</v>
      </c>
      <c r="CV41" s="32">
        <f t="shared" si="78"/>
        <v>0</v>
      </c>
      <c r="CW41" s="32">
        <f t="shared" si="79"/>
        <v>0</v>
      </c>
      <c r="CX41" s="32">
        <f t="shared" si="80"/>
        <v>0</v>
      </c>
      <c r="CY41" s="32">
        <f t="shared" si="81"/>
        <v>0</v>
      </c>
      <c r="CZ41" s="32">
        <f t="shared" si="82"/>
        <v>0</v>
      </c>
      <c r="DA41" s="32"/>
      <c r="DB41" s="32"/>
    </row>
    <row r="42" spans="1:106" ht="22.5" customHeight="1">
      <c r="A42" s="28">
        <v>7</v>
      </c>
      <c r="B42" s="70" t="str">
        <f t="shared" si="53"/>
        <v>Zombie</v>
      </c>
      <c r="C42" s="246"/>
      <c r="D42" s="234"/>
      <c r="E42" s="246"/>
      <c r="F42" s="234"/>
      <c r="G42" s="246"/>
      <c r="H42" s="233"/>
      <c r="I42" s="233"/>
      <c r="J42" s="234"/>
      <c r="K42" s="246"/>
      <c r="L42" s="234"/>
      <c r="M42" s="246"/>
      <c r="N42" s="234"/>
      <c r="O42" s="246"/>
      <c r="P42" s="234"/>
      <c r="Q42" s="246"/>
      <c r="R42" s="234"/>
      <c r="S42" s="246"/>
      <c r="T42" s="234"/>
      <c r="U42" s="246"/>
      <c r="V42" s="234"/>
      <c r="W42" s="246"/>
      <c r="X42" s="234"/>
      <c r="Y42" s="246"/>
      <c r="Z42" s="234"/>
      <c r="AA42" s="246"/>
      <c r="AB42" s="234"/>
      <c r="AC42" s="247"/>
      <c r="AD42" s="234"/>
      <c r="AE42" s="247"/>
      <c r="AF42" s="234"/>
      <c r="AG42" s="295">
        <f t="shared" si="54"/>
        <v>0</v>
      </c>
      <c r="AH42" s="234"/>
      <c r="AI42" s="71">
        <f t="shared" si="55"/>
        <v>0</v>
      </c>
      <c r="AJ42" s="72"/>
      <c r="AK42" s="74"/>
      <c r="AL42" s="74"/>
      <c r="AM42" s="74"/>
      <c r="AN42" s="74"/>
      <c r="AO42" s="74"/>
      <c r="AP42" s="228"/>
      <c r="AQ42" s="31"/>
      <c r="AR42" s="67"/>
      <c r="AS42" s="67"/>
      <c r="AT42" s="67"/>
      <c r="AU42" s="67"/>
      <c r="AV42" s="67"/>
      <c r="AW42" s="67"/>
      <c r="AX42" s="32" t="str">
        <f t="shared" ref="AX42:AX54" si="88">B39</f>
        <v>Werewolf</v>
      </c>
      <c r="AY42" s="32" t="str">
        <f>IFERROR((VLOOKUP($BO$1&amp;B39,Teams!D:S,12,0)),0)</f>
        <v>P</v>
      </c>
      <c r="AZ42" s="32" t="str">
        <f>IFERROR((VLOOKUP($BO$1&amp;B39,Teams!D:S,13,0)),0)</f>
        <v>P</v>
      </c>
      <c r="BA42" s="32" t="str">
        <f>IFERROR((VLOOKUP($BO$1&amp;B39,Teams!D:S,14,0)),0)</f>
        <v>S</v>
      </c>
      <c r="BB42" s="32" t="str">
        <f>IFERROR((VLOOKUP($BO$1&amp;B39,Teams!D:S,15,0)),0)</f>
        <v>S</v>
      </c>
      <c r="BC42" s="32">
        <f>IFERROR((VLOOKUP($BO$1&amp;B39,Teams!D:S,16,0)),0)</f>
        <v>0</v>
      </c>
      <c r="BD42" s="32">
        <v>20000</v>
      </c>
      <c r="BE42" s="32">
        <v>10000</v>
      </c>
      <c r="BF42" s="32">
        <v>40000</v>
      </c>
      <c r="BG42" s="32">
        <v>20000</v>
      </c>
      <c r="BH42" s="32">
        <v>80000</v>
      </c>
      <c r="BI42" s="32">
        <f t="shared" si="57"/>
        <v>20000</v>
      </c>
      <c r="BJ42" s="2"/>
      <c r="BK42" s="32" t="str">
        <f t="shared" si="58"/>
        <v>G</v>
      </c>
      <c r="BL42" s="32">
        <f t="shared" si="59"/>
        <v>0</v>
      </c>
      <c r="BM42" s="32">
        <f t="shared" si="60"/>
        <v>0</v>
      </c>
      <c r="BN42" s="32">
        <f t="shared" si="61"/>
        <v>0</v>
      </c>
      <c r="BO42" s="32">
        <f t="shared" si="62"/>
        <v>0</v>
      </c>
      <c r="BP42" s="32">
        <f t="shared" si="63"/>
        <v>0</v>
      </c>
      <c r="BQ42" s="2"/>
      <c r="BR42" s="2"/>
      <c r="BS42" s="32" t="str">
        <f t="shared" si="64"/>
        <v>P</v>
      </c>
      <c r="BT42" s="32">
        <f t="shared" si="65"/>
        <v>0</v>
      </c>
      <c r="BU42" s="32">
        <f t="shared" si="66"/>
        <v>0</v>
      </c>
      <c r="BV42" s="32">
        <f t="shared" si="67"/>
        <v>0</v>
      </c>
      <c r="BW42" s="32">
        <f t="shared" si="68"/>
        <v>0</v>
      </c>
      <c r="BX42" s="32">
        <f t="shared" si="69"/>
        <v>0</v>
      </c>
      <c r="BY42" s="32"/>
      <c r="BZ42" s="32" t="str">
        <f t="shared" si="70"/>
        <v>Chosen</v>
      </c>
      <c r="CA42" s="32">
        <f t="shared" si="71"/>
        <v>0</v>
      </c>
      <c r="CB42" s="32">
        <f t="shared" si="72"/>
        <v>0</v>
      </c>
      <c r="CC42" s="32">
        <f t="shared" si="73"/>
        <v>0</v>
      </c>
      <c r="CD42" s="32">
        <f t="shared" si="83"/>
        <v>0</v>
      </c>
      <c r="CE42" s="32">
        <f t="shared" si="74"/>
        <v>0</v>
      </c>
      <c r="CF42" s="33"/>
      <c r="CG42" s="32">
        <f t="shared" ref="CG42:CL42" si="89">IF(AND(BS42="P",BZ42="Random"),10000,IF(AND(BS42="P",BZ42="Chosen"),20000,IF(AND(BS42="S",BZ42="Random"),20000,IF(AND(BS42="S",BZ42="Chosen"),40000,0))))</f>
        <v>20000</v>
      </c>
      <c r="CH42" s="32">
        <f t="shared" si="89"/>
        <v>0</v>
      </c>
      <c r="CI42" s="32">
        <f t="shared" si="89"/>
        <v>0</v>
      </c>
      <c r="CJ42" s="32">
        <f t="shared" si="89"/>
        <v>0</v>
      </c>
      <c r="CK42" s="32">
        <f t="shared" si="89"/>
        <v>0</v>
      </c>
      <c r="CL42" s="32">
        <f t="shared" si="89"/>
        <v>0</v>
      </c>
      <c r="CM42" s="32"/>
      <c r="CN42" s="32">
        <f t="shared" ref="CN42:CS42" si="90">IF(BK42="AV",10000,IF(BK42="MA",20000,IF(BK42="PA",20000,IF(BK42="AG",40000,IF(BK42="ST",80000,0)))))</f>
        <v>0</v>
      </c>
      <c r="CO42" s="32">
        <f t="shared" si="90"/>
        <v>0</v>
      </c>
      <c r="CP42" s="32">
        <f t="shared" si="90"/>
        <v>0</v>
      </c>
      <c r="CQ42" s="32">
        <f t="shared" si="90"/>
        <v>0</v>
      </c>
      <c r="CR42" s="32">
        <f t="shared" si="90"/>
        <v>0</v>
      </c>
      <c r="CS42" s="32">
        <f t="shared" si="90"/>
        <v>0</v>
      </c>
      <c r="CT42" s="32"/>
      <c r="CU42" s="32">
        <f t="shared" si="77"/>
        <v>6</v>
      </c>
      <c r="CV42" s="32">
        <f t="shared" si="78"/>
        <v>0</v>
      </c>
      <c r="CW42" s="32">
        <f t="shared" si="79"/>
        <v>0</v>
      </c>
      <c r="CX42" s="32">
        <f t="shared" si="80"/>
        <v>0</v>
      </c>
      <c r="CY42" s="32">
        <f t="shared" si="81"/>
        <v>0</v>
      </c>
      <c r="CZ42" s="32">
        <f t="shared" si="82"/>
        <v>0</v>
      </c>
      <c r="DA42" s="32"/>
      <c r="DB42" s="32"/>
    </row>
    <row r="43" spans="1:106" ht="22.5" customHeight="1">
      <c r="A43" s="28">
        <v>8</v>
      </c>
      <c r="B43" s="70" t="str">
        <f t="shared" si="53"/>
        <v>Ghoul</v>
      </c>
      <c r="C43" s="246"/>
      <c r="D43" s="234"/>
      <c r="E43" s="246"/>
      <c r="F43" s="234"/>
      <c r="G43" s="246"/>
      <c r="H43" s="233"/>
      <c r="I43" s="233"/>
      <c r="J43" s="234"/>
      <c r="K43" s="246"/>
      <c r="L43" s="234"/>
      <c r="M43" s="246"/>
      <c r="N43" s="234"/>
      <c r="O43" s="246"/>
      <c r="P43" s="234"/>
      <c r="Q43" s="246"/>
      <c r="R43" s="234"/>
      <c r="S43" s="246"/>
      <c r="T43" s="234"/>
      <c r="U43" s="246"/>
      <c r="V43" s="234"/>
      <c r="W43" s="246"/>
      <c r="X43" s="234"/>
      <c r="Y43" s="246"/>
      <c r="Z43" s="234"/>
      <c r="AA43" s="246"/>
      <c r="AB43" s="234"/>
      <c r="AC43" s="247"/>
      <c r="AD43" s="234"/>
      <c r="AE43" s="247"/>
      <c r="AF43" s="234"/>
      <c r="AG43" s="295">
        <f t="shared" si="54"/>
        <v>0</v>
      </c>
      <c r="AH43" s="234"/>
      <c r="AI43" s="71">
        <f t="shared" si="55"/>
        <v>0</v>
      </c>
      <c r="AJ43" s="72"/>
      <c r="AK43" s="74"/>
      <c r="AL43" s="74"/>
      <c r="AM43" s="74"/>
      <c r="AN43" s="74"/>
      <c r="AO43" s="74"/>
      <c r="AP43" s="228"/>
      <c r="AQ43" s="31"/>
      <c r="AR43" s="67"/>
      <c r="AS43" s="67"/>
      <c r="AT43" s="67"/>
      <c r="AU43" s="67"/>
      <c r="AV43" s="67"/>
      <c r="AW43" s="67"/>
      <c r="AX43" s="32" t="str">
        <f t="shared" si="88"/>
        <v>Ghoul</v>
      </c>
      <c r="AY43" s="32" t="str">
        <f>IFERROR((VLOOKUP($BO$1&amp;B40,Teams!D:S,12,0)),0)</f>
        <v>P</v>
      </c>
      <c r="AZ43" s="32" t="str">
        <f>IFERROR((VLOOKUP($BO$1&amp;B40,Teams!D:S,13,0)),0)</f>
        <v>P</v>
      </c>
      <c r="BA43" s="32" t="str">
        <f>IFERROR((VLOOKUP($BO$1&amp;B40,Teams!D:S,14,0)),0)</f>
        <v>S</v>
      </c>
      <c r="BB43" s="32" t="str">
        <f>IFERROR((VLOOKUP($BO$1&amp;B40,Teams!D:S,15,0)),0)</f>
        <v>S</v>
      </c>
      <c r="BC43" s="32">
        <f>IFERROR((VLOOKUP($BO$1&amp;B40,Teams!D:S,16,0)),0)</f>
        <v>0</v>
      </c>
      <c r="BD43" s="32">
        <v>20000</v>
      </c>
      <c r="BE43" s="32">
        <v>10000</v>
      </c>
      <c r="BF43" s="32">
        <v>40000</v>
      </c>
      <c r="BG43" s="32">
        <v>20000</v>
      </c>
      <c r="BH43" s="32">
        <v>80000</v>
      </c>
      <c r="BI43" s="32">
        <f t="shared" si="57"/>
        <v>40000</v>
      </c>
      <c r="BJ43" s="2"/>
      <c r="BK43" s="32" t="str">
        <f t="shared" si="58"/>
        <v>G</v>
      </c>
      <c r="BL43" s="32" t="str">
        <f t="shared" si="59"/>
        <v>G</v>
      </c>
      <c r="BM43" s="32">
        <f t="shared" si="60"/>
        <v>0</v>
      </c>
      <c r="BN43" s="32">
        <f t="shared" si="61"/>
        <v>0</v>
      </c>
      <c r="BO43" s="32">
        <f t="shared" si="62"/>
        <v>0</v>
      </c>
      <c r="BP43" s="32">
        <f t="shared" si="63"/>
        <v>0</v>
      </c>
      <c r="BQ43" s="2"/>
      <c r="BR43" s="2"/>
      <c r="BS43" s="32" t="str">
        <f t="shared" si="64"/>
        <v>P</v>
      </c>
      <c r="BT43" s="32" t="str">
        <f t="shared" si="65"/>
        <v>P</v>
      </c>
      <c r="BU43" s="32">
        <f t="shared" si="66"/>
        <v>0</v>
      </c>
      <c r="BV43" s="32">
        <f t="shared" si="67"/>
        <v>0</v>
      </c>
      <c r="BW43" s="32">
        <f t="shared" si="68"/>
        <v>0</v>
      </c>
      <c r="BX43" s="32">
        <f t="shared" si="69"/>
        <v>0</v>
      </c>
      <c r="BY43" s="32"/>
      <c r="BZ43" s="32" t="str">
        <f t="shared" si="70"/>
        <v>Chosen</v>
      </c>
      <c r="CA43" s="32" t="str">
        <f t="shared" si="71"/>
        <v>Chosen</v>
      </c>
      <c r="CB43" s="32">
        <f t="shared" si="72"/>
        <v>0</v>
      </c>
      <c r="CC43" s="32">
        <f t="shared" si="73"/>
        <v>0</v>
      </c>
      <c r="CD43" s="32">
        <f t="shared" si="83"/>
        <v>0</v>
      </c>
      <c r="CE43" s="32">
        <f t="shared" si="74"/>
        <v>0</v>
      </c>
      <c r="CF43" s="33"/>
      <c r="CG43" s="32">
        <f t="shared" ref="CG43:CL43" si="91">IF(AND(BS43="P",BZ43="Random"),10000,IF(AND(BS43="P",BZ43="Chosen"),20000,IF(AND(BS43="S",BZ43="Random"),20000,IF(AND(BS43="S",BZ43="Chosen"),40000,0))))</f>
        <v>20000</v>
      </c>
      <c r="CH43" s="32">
        <f t="shared" si="91"/>
        <v>20000</v>
      </c>
      <c r="CI43" s="32">
        <f t="shared" si="91"/>
        <v>0</v>
      </c>
      <c r="CJ43" s="32">
        <f t="shared" si="91"/>
        <v>0</v>
      </c>
      <c r="CK43" s="32">
        <f t="shared" si="91"/>
        <v>0</v>
      </c>
      <c r="CL43" s="32">
        <f t="shared" si="91"/>
        <v>0</v>
      </c>
      <c r="CM43" s="32"/>
      <c r="CN43" s="32">
        <f t="shared" ref="CN43:CS43" si="92">IF(BK43="AV",10000,IF(BK43="MA",20000,IF(BK43="PA",20000,IF(BK43="AG",40000,IF(BK43="ST",80000,0)))))</f>
        <v>0</v>
      </c>
      <c r="CO43" s="32">
        <f t="shared" si="92"/>
        <v>0</v>
      </c>
      <c r="CP43" s="32">
        <f t="shared" si="92"/>
        <v>0</v>
      </c>
      <c r="CQ43" s="32">
        <f t="shared" si="92"/>
        <v>0</v>
      </c>
      <c r="CR43" s="32">
        <f t="shared" si="92"/>
        <v>0</v>
      </c>
      <c r="CS43" s="32">
        <f t="shared" si="92"/>
        <v>0</v>
      </c>
      <c r="CT43" s="32"/>
      <c r="CU43" s="32">
        <f t="shared" si="77"/>
        <v>6</v>
      </c>
      <c r="CV43" s="32">
        <f t="shared" si="78"/>
        <v>8</v>
      </c>
      <c r="CW43" s="32">
        <f t="shared" si="79"/>
        <v>0</v>
      </c>
      <c r="CX43" s="32">
        <f t="shared" si="80"/>
        <v>0</v>
      </c>
      <c r="CY43" s="32">
        <f t="shared" si="81"/>
        <v>0</v>
      </c>
      <c r="CZ43" s="32">
        <f t="shared" si="82"/>
        <v>0</v>
      </c>
      <c r="DA43" s="32"/>
      <c r="DB43" s="32"/>
    </row>
    <row r="44" spans="1:106" ht="22.5" customHeight="1">
      <c r="A44" s="28">
        <v>9</v>
      </c>
      <c r="B44" s="70" t="str">
        <f t="shared" si="53"/>
        <v>Zombie</v>
      </c>
      <c r="C44" s="246"/>
      <c r="D44" s="234"/>
      <c r="E44" s="246"/>
      <c r="F44" s="234"/>
      <c r="G44" s="246"/>
      <c r="H44" s="233"/>
      <c r="I44" s="233"/>
      <c r="J44" s="234"/>
      <c r="K44" s="246"/>
      <c r="L44" s="234"/>
      <c r="M44" s="246"/>
      <c r="N44" s="234"/>
      <c r="O44" s="246"/>
      <c r="P44" s="234"/>
      <c r="Q44" s="246"/>
      <c r="R44" s="234"/>
      <c r="S44" s="246"/>
      <c r="T44" s="234"/>
      <c r="U44" s="246"/>
      <c r="V44" s="234"/>
      <c r="W44" s="246"/>
      <c r="X44" s="234"/>
      <c r="Y44" s="246"/>
      <c r="Z44" s="234"/>
      <c r="AA44" s="246"/>
      <c r="AB44" s="234"/>
      <c r="AC44" s="247"/>
      <c r="AD44" s="234"/>
      <c r="AE44" s="247"/>
      <c r="AF44" s="234"/>
      <c r="AG44" s="295">
        <f t="shared" si="54"/>
        <v>0</v>
      </c>
      <c r="AH44" s="234"/>
      <c r="AI44" s="71">
        <f t="shared" si="55"/>
        <v>0</v>
      </c>
      <c r="AJ44" s="72"/>
      <c r="AK44" s="74"/>
      <c r="AL44" s="74"/>
      <c r="AM44" s="74"/>
      <c r="AN44" s="74"/>
      <c r="AO44" s="74"/>
      <c r="AP44" s="228"/>
      <c r="AQ44" s="31"/>
      <c r="AR44" s="67"/>
      <c r="AS44" s="67"/>
      <c r="AT44" s="67"/>
      <c r="AU44" s="67"/>
      <c r="AV44" s="67"/>
      <c r="AW44" s="67"/>
      <c r="AX44" s="32" t="str">
        <f t="shared" si="88"/>
        <v>Wraiths</v>
      </c>
      <c r="AY44" s="32" t="str">
        <f>IFERROR((VLOOKUP($BO$1&amp;B41,Teams!D:S,12,0)),0)</f>
        <v>P</v>
      </c>
      <c r="AZ44" s="32" t="str">
        <f>IFERROR((VLOOKUP($BO$1&amp;B41,Teams!D:S,13,0)),0)</f>
        <v>S</v>
      </c>
      <c r="BA44" s="32" t="str">
        <f>IFERROR((VLOOKUP($BO$1&amp;B41,Teams!D:S,14,0)),0)</f>
        <v>P</v>
      </c>
      <c r="BB44" s="32">
        <f>IFERROR((VLOOKUP($BO$1&amp;B41,Teams!D:S,15,0)),0)</f>
        <v>0</v>
      </c>
      <c r="BC44" s="32">
        <f>IFERROR((VLOOKUP($BO$1&amp;B41,Teams!D:S,16,0)),0)</f>
        <v>0</v>
      </c>
      <c r="BD44" s="32">
        <v>20000</v>
      </c>
      <c r="BE44" s="32">
        <v>10000</v>
      </c>
      <c r="BF44" s="32">
        <v>40000</v>
      </c>
      <c r="BG44" s="32">
        <v>20000</v>
      </c>
      <c r="BH44" s="32">
        <v>80000</v>
      </c>
      <c r="BI44" s="32">
        <f t="shared" si="57"/>
        <v>20000</v>
      </c>
      <c r="BJ44" s="32"/>
      <c r="BK44" s="32" t="str">
        <f t="shared" si="58"/>
        <v>S</v>
      </c>
      <c r="BL44" s="32">
        <f t="shared" si="59"/>
        <v>0</v>
      </c>
      <c r="BM44" s="32">
        <f t="shared" si="60"/>
        <v>0</v>
      </c>
      <c r="BN44" s="32">
        <f t="shared" si="61"/>
        <v>0</v>
      </c>
      <c r="BO44" s="32">
        <f t="shared" si="62"/>
        <v>0</v>
      </c>
      <c r="BP44" s="32">
        <f t="shared" si="63"/>
        <v>0</v>
      </c>
      <c r="BQ44" s="2"/>
      <c r="BR44" s="2"/>
      <c r="BS44" s="32" t="str">
        <f t="shared" si="64"/>
        <v>P</v>
      </c>
      <c r="BT44" s="32">
        <f t="shared" si="65"/>
        <v>0</v>
      </c>
      <c r="BU44" s="32">
        <f t="shared" si="66"/>
        <v>0</v>
      </c>
      <c r="BV44" s="32">
        <f t="shared" si="67"/>
        <v>0</v>
      </c>
      <c r="BW44" s="32">
        <f t="shared" si="68"/>
        <v>0</v>
      </c>
      <c r="BX44" s="32">
        <f t="shared" si="69"/>
        <v>0</v>
      </c>
      <c r="BY44" s="32"/>
      <c r="BZ44" s="32" t="str">
        <f t="shared" si="70"/>
        <v>Chosen</v>
      </c>
      <c r="CA44" s="32">
        <f t="shared" si="71"/>
        <v>0</v>
      </c>
      <c r="CB44" s="32">
        <f t="shared" si="72"/>
        <v>0</v>
      </c>
      <c r="CC44" s="32">
        <f t="shared" si="73"/>
        <v>0</v>
      </c>
      <c r="CD44" s="32">
        <f t="shared" si="83"/>
        <v>0</v>
      </c>
      <c r="CE44" s="32">
        <f t="shared" si="74"/>
        <v>0</v>
      </c>
      <c r="CF44" s="33"/>
      <c r="CG44" s="32">
        <f t="shared" ref="CG44:CL44" si="93">IF(AND(BS44="P",BZ44="Random"),10000,IF(AND(BS44="P",BZ44="Chosen"),20000,IF(AND(BS44="S",BZ44="Random"),20000,IF(AND(BS44="S",BZ44="Chosen"),40000,0))))</f>
        <v>20000</v>
      </c>
      <c r="CH44" s="32">
        <f t="shared" si="93"/>
        <v>0</v>
      </c>
      <c r="CI44" s="32">
        <f t="shared" si="93"/>
        <v>0</v>
      </c>
      <c r="CJ44" s="32">
        <f t="shared" si="93"/>
        <v>0</v>
      </c>
      <c r="CK44" s="32">
        <f t="shared" si="93"/>
        <v>0</v>
      </c>
      <c r="CL44" s="32">
        <f t="shared" si="93"/>
        <v>0</v>
      </c>
      <c r="CM44" s="32"/>
      <c r="CN44" s="32">
        <f t="shared" ref="CN44:CS44" si="94">IF(BK44="AV",10000,IF(BK44="MA",20000,IF(BK44="PA",20000,IF(BK44="AG",40000,IF(BK44="ST",80000,0)))))</f>
        <v>0</v>
      </c>
      <c r="CO44" s="32">
        <f t="shared" si="94"/>
        <v>0</v>
      </c>
      <c r="CP44" s="32">
        <f t="shared" si="94"/>
        <v>0</v>
      </c>
      <c r="CQ44" s="32">
        <f t="shared" si="94"/>
        <v>0</v>
      </c>
      <c r="CR44" s="32">
        <f t="shared" si="94"/>
        <v>0</v>
      </c>
      <c r="CS44" s="32">
        <f t="shared" si="94"/>
        <v>0</v>
      </c>
      <c r="CT44" s="32"/>
      <c r="CU44" s="32">
        <f t="shared" si="77"/>
        <v>6</v>
      </c>
      <c r="CV44" s="32">
        <f t="shared" si="78"/>
        <v>0</v>
      </c>
      <c r="CW44" s="32">
        <f t="shared" si="79"/>
        <v>0</v>
      </c>
      <c r="CX44" s="32">
        <f t="shared" si="80"/>
        <v>0</v>
      </c>
      <c r="CY44" s="32">
        <f t="shared" si="81"/>
        <v>0</v>
      </c>
      <c r="CZ44" s="32">
        <f t="shared" si="82"/>
        <v>0</v>
      </c>
      <c r="DA44" s="32"/>
      <c r="DB44" s="32"/>
    </row>
    <row r="45" spans="1:106" ht="22.5" customHeight="1">
      <c r="A45" s="28">
        <v>10</v>
      </c>
      <c r="B45" s="70" t="str">
        <f t="shared" si="53"/>
        <v>Zombie</v>
      </c>
      <c r="C45" s="246" t="s">
        <v>477</v>
      </c>
      <c r="D45" s="234"/>
      <c r="E45" s="246" t="s">
        <v>1225</v>
      </c>
      <c r="F45" s="234"/>
      <c r="G45" s="246"/>
      <c r="H45" s="233"/>
      <c r="I45" s="233"/>
      <c r="J45" s="234"/>
      <c r="K45" s="246"/>
      <c r="L45" s="234"/>
      <c r="M45" s="246"/>
      <c r="N45" s="234"/>
      <c r="O45" s="246"/>
      <c r="P45" s="234"/>
      <c r="Q45" s="246"/>
      <c r="R45" s="234"/>
      <c r="S45" s="246"/>
      <c r="T45" s="234"/>
      <c r="U45" s="246"/>
      <c r="V45" s="234"/>
      <c r="W45" s="246"/>
      <c r="X45" s="234"/>
      <c r="Y45" s="246"/>
      <c r="Z45" s="234"/>
      <c r="AA45" s="246"/>
      <c r="AB45" s="234"/>
      <c r="AC45" s="247"/>
      <c r="AD45" s="234"/>
      <c r="AE45" s="247"/>
      <c r="AF45" s="234"/>
      <c r="AG45" s="295">
        <f t="shared" si="54"/>
        <v>20000</v>
      </c>
      <c r="AH45" s="234"/>
      <c r="AI45" s="71">
        <f t="shared" si="55"/>
        <v>6</v>
      </c>
      <c r="AJ45" s="72"/>
      <c r="AK45" s="74"/>
      <c r="AL45" s="74"/>
      <c r="AM45" s="74"/>
      <c r="AN45" s="74"/>
      <c r="AO45" s="74"/>
      <c r="AP45" s="228"/>
      <c r="AQ45" s="31"/>
      <c r="AR45" s="67"/>
      <c r="AS45" s="67"/>
      <c r="AT45" s="67"/>
      <c r="AU45" s="67"/>
      <c r="AV45" s="67"/>
      <c r="AW45" s="67"/>
      <c r="AX45" s="32" t="str">
        <f t="shared" si="88"/>
        <v>Zombie</v>
      </c>
      <c r="AY45" s="32" t="str">
        <f>IFERROR((VLOOKUP($BO$1&amp;B42,Teams!D:S,12,0)),0)</f>
        <v>P</v>
      </c>
      <c r="AZ45" s="32" t="str">
        <f>IFERROR((VLOOKUP($BO$1&amp;B42,Teams!D:S,13,0)),0)</f>
        <v>S</v>
      </c>
      <c r="BA45" s="32" t="str">
        <f>IFERROR((VLOOKUP($BO$1&amp;B42,Teams!D:S,14,0)),0)</f>
        <v>S</v>
      </c>
      <c r="BB45" s="32">
        <f>IFERROR((VLOOKUP($BO$1&amp;B42,Teams!D:S,15,0)),0)</f>
        <v>0</v>
      </c>
      <c r="BC45" s="32">
        <f>IFERROR((VLOOKUP($BO$1&amp;B42,Teams!D:S,16,0)),0)</f>
        <v>0</v>
      </c>
      <c r="BD45" s="32">
        <v>20000</v>
      </c>
      <c r="BE45" s="32">
        <v>10000</v>
      </c>
      <c r="BF45" s="32">
        <v>40000</v>
      </c>
      <c r="BG45" s="32">
        <v>20000</v>
      </c>
      <c r="BH45" s="32">
        <v>80000</v>
      </c>
      <c r="BI45" s="32">
        <f t="shared" si="57"/>
        <v>0</v>
      </c>
      <c r="BJ45" s="32"/>
      <c r="BK45" s="32">
        <f t="shared" si="58"/>
        <v>0</v>
      </c>
      <c r="BL45" s="32">
        <f t="shared" si="59"/>
        <v>0</v>
      </c>
      <c r="BM45" s="32">
        <f t="shared" si="60"/>
        <v>0</v>
      </c>
      <c r="BN45" s="32">
        <f t="shared" si="61"/>
        <v>0</v>
      </c>
      <c r="BO45" s="32">
        <f t="shared" si="62"/>
        <v>0</v>
      </c>
      <c r="BP45" s="32">
        <f t="shared" si="63"/>
        <v>0</v>
      </c>
      <c r="BQ45" s="2"/>
      <c r="BR45" s="2"/>
      <c r="BS45" s="32">
        <f t="shared" si="64"/>
        <v>0</v>
      </c>
      <c r="BT45" s="32">
        <f t="shared" si="65"/>
        <v>0</v>
      </c>
      <c r="BU45" s="32">
        <f t="shared" si="66"/>
        <v>0</v>
      </c>
      <c r="BV45" s="32">
        <f t="shared" si="67"/>
        <v>0</v>
      </c>
      <c r="BW45" s="32">
        <f t="shared" si="68"/>
        <v>0</v>
      </c>
      <c r="BX45" s="32">
        <f t="shared" si="69"/>
        <v>0</v>
      </c>
      <c r="BY45" s="32"/>
      <c r="BZ45" s="32">
        <f t="shared" si="70"/>
        <v>0</v>
      </c>
      <c r="CA45" s="32">
        <f t="shared" si="71"/>
        <v>0</v>
      </c>
      <c r="CB45" s="32">
        <f t="shared" si="72"/>
        <v>0</v>
      </c>
      <c r="CC45" s="32">
        <f t="shared" si="73"/>
        <v>0</v>
      </c>
      <c r="CD45" s="32">
        <f t="shared" si="83"/>
        <v>0</v>
      </c>
      <c r="CE45" s="32">
        <f t="shared" si="74"/>
        <v>0</v>
      </c>
      <c r="CF45" s="33"/>
      <c r="CG45" s="32">
        <f t="shared" ref="CG45:CL45" si="95">IF(AND(BS45="P",BZ45="Random"),10000,IF(AND(BS45="P",BZ45="Chosen"),20000,IF(AND(BS45="S",BZ45="Random"),20000,IF(AND(BS45="S",BZ45="Chosen"),40000,0))))</f>
        <v>0</v>
      </c>
      <c r="CH45" s="32">
        <f t="shared" si="95"/>
        <v>0</v>
      </c>
      <c r="CI45" s="32">
        <f t="shared" si="95"/>
        <v>0</v>
      </c>
      <c r="CJ45" s="32">
        <f t="shared" si="95"/>
        <v>0</v>
      </c>
      <c r="CK45" s="32">
        <f t="shared" si="95"/>
        <v>0</v>
      </c>
      <c r="CL45" s="32">
        <f t="shared" si="95"/>
        <v>0</v>
      </c>
      <c r="CM45" s="32"/>
      <c r="CN45" s="32">
        <f t="shared" ref="CN45:CS45" si="96">IF(BK45="AV",10000,IF(BK45="MA",20000,IF(BK45="PA",20000,IF(BK45="AG",40000,IF(BK45="ST",80000,0)))))</f>
        <v>0</v>
      </c>
      <c r="CO45" s="32">
        <f t="shared" si="96"/>
        <v>0</v>
      </c>
      <c r="CP45" s="32">
        <f t="shared" si="96"/>
        <v>0</v>
      </c>
      <c r="CQ45" s="32">
        <f t="shared" si="96"/>
        <v>0</v>
      </c>
      <c r="CR45" s="32">
        <f t="shared" si="96"/>
        <v>0</v>
      </c>
      <c r="CS45" s="32">
        <f t="shared" si="96"/>
        <v>0</v>
      </c>
      <c r="CT45" s="32"/>
      <c r="CU45" s="32">
        <f t="shared" si="77"/>
        <v>0</v>
      </c>
      <c r="CV45" s="32">
        <f t="shared" si="78"/>
        <v>0</v>
      </c>
      <c r="CW45" s="32">
        <f t="shared" si="79"/>
        <v>0</v>
      </c>
      <c r="CX45" s="32">
        <f t="shared" si="80"/>
        <v>0</v>
      </c>
      <c r="CY45" s="32">
        <f t="shared" si="81"/>
        <v>0</v>
      </c>
      <c r="CZ45" s="32">
        <f t="shared" si="82"/>
        <v>0</v>
      </c>
      <c r="DA45" s="32"/>
      <c r="DB45" s="32"/>
    </row>
    <row r="46" spans="1:106" ht="22.5" customHeight="1">
      <c r="A46" s="28">
        <v>11</v>
      </c>
      <c r="B46" s="70" t="str">
        <f t="shared" si="53"/>
        <v>Zombie</v>
      </c>
      <c r="C46" s="246"/>
      <c r="D46" s="234"/>
      <c r="E46" s="246"/>
      <c r="F46" s="234"/>
      <c r="G46" s="246"/>
      <c r="H46" s="233"/>
      <c r="I46" s="233"/>
      <c r="J46" s="234"/>
      <c r="K46" s="246"/>
      <c r="L46" s="234"/>
      <c r="M46" s="246"/>
      <c r="N46" s="234"/>
      <c r="O46" s="246"/>
      <c r="P46" s="234"/>
      <c r="Q46" s="246"/>
      <c r="R46" s="234"/>
      <c r="S46" s="246"/>
      <c r="T46" s="234"/>
      <c r="U46" s="246"/>
      <c r="V46" s="234"/>
      <c r="W46" s="246"/>
      <c r="X46" s="234"/>
      <c r="Y46" s="246"/>
      <c r="Z46" s="234"/>
      <c r="AA46" s="246"/>
      <c r="AB46" s="234"/>
      <c r="AC46" s="247"/>
      <c r="AD46" s="234"/>
      <c r="AE46" s="247"/>
      <c r="AF46" s="234"/>
      <c r="AG46" s="295">
        <f t="shared" si="54"/>
        <v>0</v>
      </c>
      <c r="AH46" s="234"/>
      <c r="AI46" s="71">
        <f t="shared" si="55"/>
        <v>0</v>
      </c>
      <c r="AJ46" s="72"/>
      <c r="AK46" s="74"/>
      <c r="AL46" s="74"/>
      <c r="AM46" s="74"/>
      <c r="AN46" s="74"/>
      <c r="AO46" s="74">
        <v>-1</v>
      </c>
      <c r="AP46" s="228"/>
      <c r="AQ46" s="31"/>
      <c r="AR46" s="67"/>
      <c r="AS46" s="67"/>
      <c r="AT46" s="67"/>
      <c r="AU46" s="67"/>
      <c r="AV46" s="67"/>
      <c r="AW46" s="67"/>
      <c r="AX46" s="32" t="str">
        <f t="shared" si="88"/>
        <v>Ghoul</v>
      </c>
      <c r="AY46" s="32" t="str">
        <f>IFERROR((VLOOKUP($BO$1&amp;B43,Teams!D:S,12,0)),0)</f>
        <v>P</v>
      </c>
      <c r="AZ46" s="32" t="str">
        <f>IFERROR((VLOOKUP($BO$1&amp;B43,Teams!D:S,13,0)),0)</f>
        <v>P</v>
      </c>
      <c r="BA46" s="32" t="str">
        <f>IFERROR((VLOOKUP($BO$1&amp;B43,Teams!D:S,14,0)),0)</f>
        <v>S</v>
      </c>
      <c r="BB46" s="32" t="str">
        <f>IFERROR((VLOOKUP($BO$1&amp;B43,Teams!D:S,15,0)),0)</f>
        <v>S</v>
      </c>
      <c r="BC46" s="32">
        <f>IFERROR((VLOOKUP($BO$1&amp;B43,Teams!D:S,16,0)),0)</f>
        <v>0</v>
      </c>
      <c r="BD46" s="32">
        <v>20000</v>
      </c>
      <c r="BE46" s="32">
        <v>10000</v>
      </c>
      <c r="BF46" s="32">
        <v>40000</v>
      </c>
      <c r="BG46" s="32">
        <v>20000</v>
      </c>
      <c r="BH46" s="32">
        <v>80000</v>
      </c>
      <c r="BI46" s="32">
        <f t="shared" si="57"/>
        <v>0</v>
      </c>
      <c r="BJ46" s="32"/>
      <c r="BK46" s="32">
        <f t="shared" si="58"/>
        <v>0</v>
      </c>
      <c r="BL46" s="32">
        <f t="shared" si="59"/>
        <v>0</v>
      </c>
      <c r="BM46" s="32">
        <f t="shared" si="60"/>
        <v>0</v>
      </c>
      <c r="BN46" s="32">
        <f t="shared" si="61"/>
        <v>0</v>
      </c>
      <c r="BO46" s="32">
        <f t="shared" si="62"/>
        <v>0</v>
      </c>
      <c r="BP46" s="32">
        <f t="shared" si="63"/>
        <v>0</v>
      </c>
      <c r="BQ46" s="2"/>
      <c r="BR46" s="2"/>
      <c r="BS46" s="32">
        <f t="shared" si="64"/>
        <v>0</v>
      </c>
      <c r="BT46" s="32">
        <f t="shared" si="65"/>
        <v>0</v>
      </c>
      <c r="BU46" s="32">
        <f t="shared" si="66"/>
        <v>0</v>
      </c>
      <c r="BV46" s="32">
        <f t="shared" si="67"/>
        <v>0</v>
      </c>
      <c r="BW46" s="32">
        <f t="shared" si="68"/>
        <v>0</v>
      </c>
      <c r="BX46" s="32">
        <f t="shared" si="69"/>
        <v>0</v>
      </c>
      <c r="BY46" s="32"/>
      <c r="BZ46" s="32">
        <f t="shared" si="70"/>
        <v>0</v>
      </c>
      <c r="CA46" s="32">
        <f t="shared" si="71"/>
        <v>0</v>
      </c>
      <c r="CB46" s="32">
        <f t="shared" si="72"/>
        <v>0</v>
      </c>
      <c r="CC46" s="32">
        <f t="shared" si="73"/>
        <v>0</v>
      </c>
      <c r="CD46" s="32">
        <f t="shared" si="83"/>
        <v>0</v>
      </c>
      <c r="CE46" s="32">
        <f t="shared" si="74"/>
        <v>0</v>
      </c>
      <c r="CF46" s="33"/>
      <c r="CG46" s="32">
        <f t="shared" ref="CG46:CL46" si="97">IF(AND(BS46="P",BZ46="Random"),10000,IF(AND(BS46="P",BZ46="Chosen"),20000,IF(AND(BS46="S",BZ46="Random"),20000,IF(AND(BS46="S",BZ46="Chosen"),40000,0))))</f>
        <v>0</v>
      </c>
      <c r="CH46" s="32">
        <f t="shared" si="97"/>
        <v>0</v>
      </c>
      <c r="CI46" s="32">
        <f t="shared" si="97"/>
        <v>0</v>
      </c>
      <c r="CJ46" s="32">
        <f t="shared" si="97"/>
        <v>0</v>
      </c>
      <c r="CK46" s="32">
        <f t="shared" si="97"/>
        <v>0</v>
      </c>
      <c r="CL46" s="32">
        <f t="shared" si="97"/>
        <v>0</v>
      </c>
      <c r="CM46" s="32"/>
      <c r="CN46" s="32">
        <f t="shared" ref="CN46:CS46" si="98">IF(BK46="AV",10000,IF(BK46="MA",20000,IF(BK46="PA",20000,IF(BK46="AG",40000,IF(BK46="ST",80000,0)))))</f>
        <v>0</v>
      </c>
      <c r="CO46" s="32">
        <f t="shared" si="98"/>
        <v>0</v>
      </c>
      <c r="CP46" s="32">
        <f t="shared" si="98"/>
        <v>0</v>
      </c>
      <c r="CQ46" s="32">
        <f t="shared" si="98"/>
        <v>0</v>
      </c>
      <c r="CR46" s="32">
        <f t="shared" si="98"/>
        <v>0</v>
      </c>
      <c r="CS46" s="32">
        <f t="shared" si="98"/>
        <v>0</v>
      </c>
      <c r="CT46" s="32"/>
      <c r="CU46" s="32">
        <f t="shared" si="77"/>
        <v>0</v>
      </c>
      <c r="CV46" s="32">
        <f t="shared" si="78"/>
        <v>0</v>
      </c>
      <c r="CW46" s="32">
        <f t="shared" si="79"/>
        <v>0</v>
      </c>
      <c r="CX46" s="32">
        <f t="shared" si="80"/>
        <v>0</v>
      </c>
      <c r="CY46" s="32">
        <f t="shared" si="81"/>
        <v>0</v>
      </c>
      <c r="CZ46" s="32">
        <f t="shared" si="82"/>
        <v>0</v>
      </c>
      <c r="DA46" s="32"/>
      <c r="DB46" s="32"/>
    </row>
    <row r="47" spans="1:106" ht="22.5" customHeight="1">
      <c r="A47" s="28">
        <v>12</v>
      </c>
      <c r="B47" s="70" t="str">
        <f t="shared" si="53"/>
        <v>Wraiths</v>
      </c>
      <c r="C47" s="246"/>
      <c r="D47" s="234"/>
      <c r="E47" s="246"/>
      <c r="F47" s="234"/>
      <c r="G47" s="246"/>
      <c r="H47" s="233"/>
      <c r="I47" s="233"/>
      <c r="J47" s="234"/>
      <c r="K47" s="246"/>
      <c r="L47" s="234"/>
      <c r="M47" s="246"/>
      <c r="N47" s="234"/>
      <c r="O47" s="246"/>
      <c r="P47" s="234"/>
      <c r="Q47" s="246"/>
      <c r="R47" s="234"/>
      <c r="S47" s="246"/>
      <c r="T47" s="234"/>
      <c r="U47" s="246"/>
      <c r="V47" s="234"/>
      <c r="W47" s="246"/>
      <c r="X47" s="234"/>
      <c r="Y47" s="246"/>
      <c r="Z47" s="234"/>
      <c r="AA47" s="246"/>
      <c r="AB47" s="234"/>
      <c r="AC47" s="247"/>
      <c r="AD47" s="234"/>
      <c r="AE47" s="247"/>
      <c r="AF47" s="234"/>
      <c r="AG47" s="295">
        <f t="shared" si="54"/>
        <v>0</v>
      </c>
      <c r="AH47" s="234"/>
      <c r="AI47" s="71">
        <f t="shared" si="55"/>
        <v>0</v>
      </c>
      <c r="AJ47" s="72"/>
      <c r="AK47" s="74"/>
      <c r="AL47" s="74"/>
      <c r="AM47" s="74"/>
      <c r="AN47" s="74"/>
      <c r="AO47" s="74"/>
      <c r="AP47" s="228"/>
      <c r="AQ47" s="31"/>
      <c r="AR47" s="67"/>
      <c r="AS47" s="67"/>
      <c r="AT47" s="67"/>
      <c r="AU47" s="67"/>
      <c r="AV47" s="67"/>
      <c r="AW47" s="67"/>
      <c r="AX47" s="32" t="str">
        <f t="shared" si="88"/>
        <v>Zombie</v>
      </c>
      <c r="AY47" s="32" t="str">
        <f>IFERROR((VLOOKUP($BO$1&amp;B44,Teams!D:S,12,0)),0)</f>
        <v>P</v>
      </c>
      <c r="AZ47" s="32" t="str">
        <f>IFERROR((VLOOKUP($BO$1&amp;B44,Teams!D:S,13,0)),0)</f>
        <v>S</v>
      </c>
      <c r="BA47" s="32" t="str">
        <f>IFERROR((VLOOKUP($BO$1&amp;B44,Teams!D:S,14,0)),0)</f>
        <v>S</v>
      </c>
      <c r="BB47" s="32">
        <f>IFERROR((VLOOKUP($BO$1&amp;B44,Teams!D:S,15,0)),0)</f>
        <v>0</v>
      </c>
      <c r="BC47" s="32">
        <f>IFERROR((VLOOKUP($BO$1&amp;B44,Teams!D:S,16,0)),0)</f>
        <v>0</v>
      </c>
      <c r="BD47" s="32">
        <v>20000</v>
      </c>
      <c r="BE47" s="32">
        <v>10000</v>
      </c>
      <c r="BF47" s="32">
        <v>40000</v>
      </c>
      <c r="BG47" s="32">
        <v>20000</v>
      </c>
      <c r="BH47" s="32">
        <v>80000</v>
      </c>
      <c r="BI47" s="32">
        <f t="shared" si="57"/>
        <v>0</v>
      </c>
      <c r="BJ47" s="32"/>
      <c r="BK47" s="32">
        <f t="shared" si="58"/>
        <v>0</v>
      </c>
      <c r="BL47" s="32">
        <f t="shared" si="59"/>
        <v>0</v>
      </c>
      <c r="BM47" s="32">
        <f t="shared" si="60"/>
        <v>0</v>
      </c>
      <c r="BN47" s="32">
        <f t="shared" si="61"/>
        <v>0</v>
      </c>
      <c r="BO47" s="32">
        <f t="shared" si="62"/>
        <v>0</v>
      </c>
      <c r="BP47" s="32">
        <f t="shared" si="63"/>
        <v>0</v>
      </c>
      <c r="BQ47" s="2"/>
      <c r="BR47" s="2"/>
      <c r="BS47" s="32">
        <f t="shared" si="64"/>
        <v>0</v>
      </c>
      <c r="BT47" s="32">
        <f t="shared" si="65"/>
        <v>0</v>
      </c>
      <c r="BU47" s="32">
        <f t="shared" si="66"/>
        <v>0</v>
      </c>
      <c r="BV47" s="32">
        <f t="shared" si="67"/>
        <v>0</v>
      </c>
      <c r="BW47" s="32">
        <f t="shared" si="68"/>
        <v>0</v>
      </c>
      <c r="BX47" s="32">
        <f t="shared" si="69"/>
        <v>0</v>
      </c>
      <c r="BY47" s="32"/>
      <c r="BZ47" s="32">
        <f t="shared" si="70"/>
        <v>0</v>
      </c>
      <c r="CA47" s="32">
        <f t="shared" si="71"/>
        <v>0</v>
      </c>
      <c r="CB47" s="32">
        <f t="shared" si="72"/>
        <v>0</v>
      </c>
      <c r="CC47" s="32">
        <f t="shared" si="73"/>
        <v>0</v>
      </c>
      <c r="CD47" s="32">
        <f t="shared" si="83"/>
        <v>0</v>
      </c>
      <c r="CE47" s="32">
        <f t="shared" si="74"/>
        <v>0</v>
      </c>
      <c r="CF47" s="33"/>
      <c r="CG47" s="32">
        <f t="shared" ref="CG47:CL47" si="99">IF(AND(BS47="P",BZ47="Random"),10000,IF(AND(BS47="P",BZ47="Chosen"),20000,IF(AND(BS47="S",BZ47="Random"),20000,IF(AND(BS47="S",BZ47="Chosen"),40000,0))))</f>
        <v>0</v>
      </c>
      <c r="CH47" s="32">
        <f t="shared" si="99"/>
        <v>0</v>
      </c>
      <c r="CI47" s="32">
        <f t="shared" si="99"/>
        <v>0</v>
      </c>
      <c r="CJ47" s="32">
        <f t="shared" si="99"/>
        <v>0</v>
      </c>
      <c r="CK47" s="32">
        <f t="shared" si="99"/>
        <v>0</v>
      </c>
      <c r="CL47" s="32">
        <f t="shared" si="99"/>
        <v>0</v>
      </c>
      <c r="CM47" s="32"/>
      <c r="CN47" s="32">
        <f t="shared" ref="CN47:CS47" si="100">IF(BK47="AV",10000,IF(BK47="MA",20000,IF(BK47="PA",20000,IF(BK47="AG",40000,IF(BK47="ST",80000,0)))))</f>
        <v>0</v>
      </c>
      <c r="CO47" s="32">
        <f t="shared" si="100"/>
        <v>0</v>
      </c>
      <c r="CP47" s="32">
        <f t="shared" si="100"/>
        <v>0</v>
      </c>
      <c r="CQ47" s="32">
        <f t="shared" si="100"/>
        <v>0</v>
      </c>
      <c r="CR47" s="32">
        <f t="shared" si="100"/>
        <v>0</v>
      </c>
      <c r="CS47" s="32">
        <f t="shared" si="100"/>
        <v>0</v>
      </c>
      <c r="CT47" s="32"/>
      <c r="CU47" s="32">
        <f t="shared" si="77"/>
        <v>0</v>
      </c>
      <c r="CV47" s="32">
        <f t="shared" si="78"/>
        <v>0</v>
      </c>
      <c r="CW47" s="32">
        <f t="shared" si="79"/>
        <v>0</v>
      </c>
      <c r="CX47" s="32">
        <f t="shared" si="80"/>
        <v>0</v>
      </c>
      <c r="CY47" s="32">
        <f t="shared" si="81"/>
        <v>0</v>
      </c>
      <c r="CZ47" s="32">
        <f t="shared" si="82"/>
        <v>0</v>
      </c>
      <c r="DA47" s="32"/>
      <c r="DB47" s="32"/>
    </row>
    <row r="48" spans="1:106" ht="22.5" customHeight="1">
      <c r="A48" s="28">
        <v>13</v>
      </c>
      <c r="B48" s="70">
        <f t="shared" si="53"/>
        <v>0</v>
      </c>
      <c r="C48" s="246"/>
      <c r="D48" s="234"/>
      <c r="E48" s="246"/>
      <c r="F48" s="234"/>
      <c r="G48" s="246"/>
      <c r="H48" s="233"/>
      <c r="I48" s="233"/>
      <c r="J48" s="234"/>
      <c r="K48" s="246"/>
      <c r="L48" s="234"/>
      <c r="M48" s="246"/>
      <c r="N48" s="234"/>
      <c r="O48" s="246"/>
      <c r="P48" s="234"/>
      <c r="Q48" s="246"/>
      <c r="R48" s="234"/>
      <c r="S48" s="246"/>
      <c r="T48" s="234"/>
      <c r="U48" s="246"/>
      <c r="V48" s="234"/>
      <c r="W48" s="246"/>
      <c r="X48" s="234"/>
      <c r="Y48" s="246"/>
      <c r="Z48" s="234"/>
      <c r="AA48" s="246"/>
      <c r="AB48" s="234"/>
      <c r="AC48" s="247"/>
      <c r="AD48" s="234"/>
      <c r="AE48" s="247"/>
      <c r="AF48" s="234"/>
      <c r="AG48" s="295">
        <f t="shared" si="54"/>
        <v>0</v>
      </c>
      <c r="AH48" s="234"/>
      <c r="AI48" s="71">
        <f t="shared" si="55"/>
        <v>0</v>
      </c>
      <c r="AJ48" s="72"/>
      <c r="AK48" s="74"/>
      <c r="AL48" s="74"/>
      <c r="AM48" s="74"/>
      <c r="AN48" s="74"/>
      <c r="AO48" s="74"/>
      <c r="AP48" s="228"/>
      <c r="AQ48" s="31"/>
      <c r="AR48" s="67"/>
      <c r="AS48" s="67"/>
      <c r="AT48" s="67"/>
      <c r="AU48" s="67"/>
      <c r="AV48" s="67"/>
      <c r="AW48" s="67"/>
      <c r="AX48" s="32" t="str">
        <f t="shared" si="88"/>
        <v>Zombie</v>
      </c>
      <c r="AY48" s="32" t="str">
        <f>IFERROR((VLOOKUP($BO$1&amp;B45,Teams!D:S,12,0)),0)</f>
        <v>P</v>
      </c>
      <c r="AZ48" s="32" t="str">
        <f>IFERROR((VLOOKUP($BO$1&amp;B45,Teams!D:S,13,0)),0)</f>
        <v>S</v>
      </c>
      <c r="BA48" s="32" t="str">
        <f>IFERROR((VLOOKUP($BO$1&amp;B45,Teams!D:S,14,0)),0)</f>
        <v>S</v>
      </c>
      <c r="BB48" s="32">
        <f>IFERROR((VLOOKUP($BO$1&amp;B45,Teams!D:S,15,0)),0)</f>
        <v>0</v>
      </c>
      <c r="BC48" s="32">
        <f>IFERROR((VLOOKUP($BO$1&amp;B45,Teams!D:S,16,0)),0)</f>
        <v>0</v>
      </c>
      <c r="BD48" s="32">
        <v>20000</v>
      </c>
      <c r="BE48" s="32">
        <v>10000</v>
      </c>
      <c r="BF48" s="32">
        <v>40000</v>
      </c>
      <c r="BG48" s="32">
        <v>20000</v>
      </c>
      <c r="BH48" s="32">
        <v>80000</v>
      </c>
      <c r="BI48" s="32">
        <f t="shared" si="57"/>
        <v>20000</v>
      </c>
      <c r="BJ48" s="32"/>
      <c r="BK48" s="32" t="str">
        <f t="shared" si="58"/>
        <v>G</v>
      </c>
      <c r="BL48" s="32">
        <f t="shared" si="59"/>
        <v>0</v>
      </c>
      <c r="BM48" s="32">
        <f t="shared" si="60"/>
        <v>0</v>
      </c>
      <c r="BN48" s="32">
        <f t="shared" si="61"/>
        <v>0</v>
      </c>
      <c r="BO48" s="32">
        <f t="shared" si="62"/>
        <v>0</v>
      </c>
      <c r="BP48" s="32">
        <f t="shared" si="63"/>
        <v>0</v>
      </c>
      <c r="BQ48" s="2"/>
      <c r="BR48" s="2"/>
      <c r="BS48" s="32" t="str">
        <f t="shared" si="64"/>
        <v>P</v>
      </c>
      <c r="BT48" s="32">
        <f t="shared" si="65"/>
        <v>0</v>
      </c>
      <c r="BU48" s="32">
        <f t="shared" si="66"/>
        <v>0</v>
      </c>
      <c r="BV48" s="32">
        <f t="shared" si="67"/>
        <v>0</v>
      </c>
      <c r="BW48" s="32">
        <f t="shared" si="68"/>
        <v>0</v>
      </c>
      <c r="BX48" s="32">
        <f t="shared" si="69"/>
        <v>0</v>
      </c>
      <c r="BY48" s="32"/>
      <c r="BZ48" s="32" t="str">
        <f t="shared" si="70"/>
        <v>Chosen</v>
      </c>
      <c r="CA48" s="32">
        <f t="shared" si="71"/>
        <v>0</v>
      </c>
      <c r="CB48" s="32">
        <f t="shared" si="72"/>
        <v>0</v>
      </c>
      <c r="CC48" s="32">
        <f t="shared" si="73"/>
        <v>0</v>
      </c>
      <c r="CD48" s="32">
        <f t="shared" si="83"/>
        <v>0</v>
      </c>
      <c r="CE48" s="32">
        <f t="shared" si="74"/>
        <v>0</v>
      </c>
      <c r="CF48" s="33"/>
      <c r="CG48" s="32">
        <f t="shared" ref="CG48:CL48" si="101">IF(AND(BS48="P",BZ48="Random"),10000,IF(AND(BS48="P",BZ48="Chosen"),20000,IF(AND(BS48="S",BZ48="Random"),20000,IF(AND(BS48="S",BZ48="Chosen"),40000,0))))</f>
        <v>20000</v>
      </c>
      <c r="CH48" s="32">
        <f t="shared" si="101"/>
        <v>0</v>
      </c>
      <c r="CI48" s="32">
        <f t="shared" si="101"/>
        <v>0</v>
      </c>
      <c r="CJ48" s="32">
        <f t="shared" si="101"/>
        <v>0</v>
      </c>
      <c r="CK48" s="32">
        <f t="shared" si="101"/>
        <v>0</v>
      </c>
      <c r="CL48" s="32">
        <f t="shared" si="101"/>
        <v>0</v>
      </c>
      <c r="CM48" s="32"/>
      <c r="CN48" s="32">
        <f t="shared" ref="CN48:CS48" si="102">IF(BK48="AV",10000,IF(BK48="MA",20000,IF(BK48="PA",20000,IF(BK48="AG",40000,IF(BK48="ST",80000,0)))))</f>
        <v>0</v>
      </c>
      <c r="CO48" s="32">
        <f t="shared" si="102"/>
        <v>0</v>
      </c>
      <c r="CP48" s="32">
        <f t="shared" si="102"/>
        <v>0</v>
      </c>
      <c r="CQ48" s="32">
        <f t="shared" si="102"/>
        <v>0</v>
      </c>
      <c r="CR48" s="32">
        <f t="shared" si="102"/>
        <v>0</v>
      </c>
      <c r="CS48" s="32">
        <f t="shared" si="102"/>
        <v>0</v>
      </c>
      <c r="CT48" s="32"/>
      <c r="CU48" s="32">
        <f t="shared" si="77"/>
        <v>6</v>
      </c>
      <c r="CV48" s="32">
        <f t="shared" si="78"/>
        <v>0</v>
      </c>
      <c r="CW48" s="32">
        <f t="shared" si="79"/>
        <v>0</v>
      </c>
      <c r="CX48" s="32">
        <f t="shared" si="80"/>
        <v>0</v>
      </c>
      <c r="CY48" s="32">
        <f t="shared" si="81"/>
        <v>0</v>
      </c>
      <c r="CZ48" s="32">
        <f t="shared" si="82"/>
        <v>0</v>
      </c>
      <c r="DA48" s="32"/>
      <c r="DB48" s="32"/>
    </row>
    <row r="49" spans="1:106" ht="22.5" customHeight="1">
      <c r="A49" s="28">
        <v>14</v>
      </c>
      <c r="B49" s="70">
        <f t="shared" si="53"/>
        <v>0</v>
      </c>
      <c r="C49" s="246"/>
      <c r="D49" s="234"/>
      <c r="E49" s="246"/>
      <c r="F49" s="234"/>
      <c r="G49" s="246"/>
      <c r="H49" s="233"/>
      <c r="I49" s="233"/>
      <c r="J49" s="234"/>
      <c r="K49" s="246"/>
      <c r="L49" s="234"/>
      <c r="M49" s="246"/>
      <c r="N49" s="234"/>
      <c r="O49" s="246"/>
      <c r="P49" s="234"/>
      <c r="Q49" s="246"/>
      <c r="R49" s="234"/>
      <c r="S49" s="246"/>
      <c r="T49" s="234"/>
      <c r="U49" s="246"/>
      <c r="V49" s="234"/>
      <c r="W49" s="246"/>
      <c r="X49" s="234"/>
      <c r="Y49" s="246"/>
      <c r="Z49" s="234"/>
      <c r="AA49" s="246"/>
      <c r="AB49" s="234"/>
      <c r="AC49" s="247"/>
      <c r="AD49" s="234"/>
      <c r="AE49" s="247"/>
      <c r="AF49" s="234"/>
      <c r="AG49" s="295">
        <f t="shared" si="54"/>
        <v>0</v>
      </c>
      <c r="AH49" s="234"/>
      <c r="AI49" s="71">
        <f t="shared" si="55"/>
        <v>0</v>
      </c>
      <c r="AJ49" s="72"/>
      <c r="AK49" s="74"/>
      <c r="AL49" s="74"/>
      <c r="AM49" s="74"/>
      <c r="AN49" s="74"/>
      <c r="AO49" s="74"/>
      <c r="AP49" s="228"/>
      <c r="AQ49" s="31"/>
      <c r="AR49" s="67"/>
      <c r="AS49" s="67"/>
      <c r="AT49" s="67"/>
      <c r="AU49" s="67"/>
      <c r="AV49" s="67"/>
      <c r="AW49" s="67"/>
      <c r="AX49" s="32" t="str">
        <f t="shared" si="88"/>
        <v>Zombie</v>
      </c>
      <c r="AY49" s="32" t="str">
        <f>IFERROR((VLOOKUP($BO$1&amp;B46,Teams!D:S,12,0)),0)</f>
        <v>P</v>
      </c>
      <c r="AZ49" s="32" t="str">
        <f>IFERROR((VLOOKUP($BO$1&amp;B46,Teams!D:S,13,0)),0)</f>
        <v>S</v>
      </c>
      <c r="BA49" s="32" t="str">
        <f>IFERROR((VLOOKUP($BO$1&amp;B46,Teams!D:S,14,0)),0)</f>
        <v>S</v>
      </c>
      <c r="BB49" s="32">
        <f>IFERROR((VLOOKUP($BO$1&amp;B46,Teams!D:S,15,0)),0)</f>
        <v>0</v>
      </c>
      <c r="BC49" s="32">
        <f>IFERROR((VLOOKUP($BO$1&amp;B46,Teams!D:S,16,0)),0)</f>
        <v>0</v>
      </c>
      <c r="BD49" s="32">
        <v>20000</v>
      </c>
      <c r="BE49" s="32">
        <v>10000</v>
      </c>
      <c r="BF49" s="32">
        <v>40000</v>
      </c>
      <c r="BG49" s="32">
        <v>20000</v>
      </c>
      <c r="BH49" s="32">
        <v>80000</v>
      </c>
      <c r="BI49" s="32">
        <f t="shared" si="57"/>
        <v>0</v>
      </c>
      <c r="BJ49" s="32"/>
      <c r="BK49" s="32">
        <f t="shared" si="58"/>
        <v>0</v>
      </c>
      <c r="BL49" s="32">
        <f t="shared" si="59"/>
        <v>0</v>
      </c>
      <c r="BM49" s="32">
        <f t="shared" si="60"/>
        <v>0</v>
      </c>
      <c r="BN49" s="32">
        <f t="shared" si="61"/>
        <v>0</v>
      </c>
      <c r="BO49" s="32">
        <f t="shared" si="62"/>
        <v>0</v>
      </c>
      <c r="BP49" s="32">
        <f t="shared" si="63"/>
        <v>0</v>
      </c>
      <c r="BQ49" s="2"/>
      <c r="BR49" s="2"/>
      <c r="BS49" s="32">
        <f t="shared" si="64"/>
        <v>0</v>
      </c>
      <c r="BT49" s="32">
        <f t="shared" si="65"/>
        <v>0</v>
      </c>
      <c r="BU49" s="32">
        <f t="shared" si="66"/>
        <v>0</v>
      </c>
      <c r="BV49" s="32">
        <f t="shared" si="67"/>
        <v>0</v>
      </c>
      <c r="BW49" s="32">
        <f t="shared" si="68"/>
        <v>0</v>
      </c>
      <c r="BX49" s="32">
        <f t="shared" si="69"/>
        <v>0</v>
      </c>
      <c r="BY49" s="32"/>
      <c r="BZ49" s="32">
        <f t="shared" si="70"/>
        <v>0</v>
      </c>
      <c r="CA49" s="32">
        <f t="shared" si="71"/>
        <v>0</v>
      </c>
      <c r="CB49" s="32">
        <f t="shared" si="72"/>
        <v>0</v>
      </c>
      <c r="CC49" s="32">
        <f t="shared" si="73"/>
        <v>0</v>
      </c>
      <c r="CD49" s="32">
        <f t="shared" si="83"/>
        <v>0</v>
      </c>
      <c r="CE49" s="32">
        <f t="shared" si="74"/>
        <v>0</v>
      </c>
      <c r="CF49" s="33"/>
      <c r="CG49" s="32">
        <f t="shared" ref="CG49:CL49" si="103">IF(AND(BS49="P",BZ49="Random"),10000,IF(AND(BS49="P",BZ49="Chosen"),20000,IF(AND(BS49="S",BZ49="Random"),20000,IF(AND(BS49="S",BZ49="Chosen"),40000,0))))</f>
        <v>0</v>
      </c>
      <c r="CH49" s="32">
        <f t="shared" si="103"/>
        <v>0</v>
      </c>
      <c r="CI49" s="32">
        <f t="shared" si="103"/>
        <v>0</v>
      </c>
      <c r="CJ49" s="32">
        <f t="shared" si="103"/>
        <v>0</v>
      </c>
      <c r="CK49" s="32">
        <f t="shared" si="103"/>
        <v>0</v>
      </c>
      <c r="CL49" s="32">
        <f t="shared" si="103"/>
        <v>0</v>
      </c>
      <c r="CM49" s="32"/>
      <c r="CN49" s="32">
        <f t="shared" ref="CN49:CS49" si="104">IF(BK49="AV",10000,IF(BK49="MA",20000,IF(BK49="PA",20000,IF(BK49="AG",40000,IF(BK49="ST",80000,0)))))</f>
        <v>0</v>
      </c>
      <c r="CO49" s="32">
        <f t="shared" si="104"/>
        <v>0</v>
      </c>
      <c r="CP49" s="32">
        <f t="shared" si="104"/>
        <v>0</v>
      </c>
      <c r="CQ49" s="32">
        <f t="shared" si="104"/>
        <v>0</v>
      </c>
      <c r="CR49" s="32">
        <f t="shared" si="104"/>
        <v>0</v>
      </c>
      <c r="CS49" s="32">
        <f t="shared" si="104"/>
        <v>0</v>
      </c>
      <c r="CT49" s="32"/>
      <c r="CU49" s="32">
        <f t="shared" si="77"/>
        <v>0</v>
      </c>
      <c r="CV49" s="32">
        <f t="shared" si="78"/>
        <v>0</v>
      </c>
      <c r="CW49" s="32">
        <f t="shared" si="79"/>
        <v>0</v>
      </c>
      <c r="CX49" s="32">
        <f t="shared" si="80"/>
        <v>0</v>
      </c>
      <c r="CY49" s="32">
        <f t="shared" si="81"/>
        <v>0</v>
      </c>
      <c r="CZ49" s="32">
        <f t="shared" si="82"/>
        <v>0</v>
      </c>
      <c r="DA49" s="32"/>
      <c r="DB49" s="32"/>
    </row>
    <row r="50" spans="1:106" ht="22.5" customHeight="1">
      <c r="A50" s="28">
        <v>15</v>
      </c>
      <c r="B50" s="70" t="str">
        <f t="shared" si="53"/>
        <v/>
      </c>
      <c r="C50" s="246"/>
      <c r="D50" s="234"/>
      <c r="E50" s="246"/>
      <c r="F50" s="234"/>
      <c r="G50" s="246"/>
      <c r="H50" s="233"/>
      <c r="I50" s="233"/>
      <c r="J50" s="234"/>
      <c r="K50" s="246"/>
      <c r="L50" s="234"/>
      <c r="M50" s="246"/>
      <c r="N50" s="234"/>
      <c r="O50" s="246"/>
      <c r="P50" s="234"/>
      <c r="Q50" s="246"/>
      <c r="R50" s="234"/>
      <c r="S50" s="246"/>
      <c r="T50" s="234"/>
      <c r="U50" s="246"/>
      <c r="V50" s="234"/>
      <c r="W50" s="246"/>
      <c r="X50" s="234"/>
      <c r="Y50" s="246"/>
      <c r="Z50" s="234"/>
      <c r="AA50" s="246"/>
      <c r="AB50" s="234"/>
      <c r="AC50" s="247"/>
      <c r="AD50" s="234"/>
      <c r="AE50" s="247"/>
      <c r="AF50" s="234"/>
      <c r="AG50" s="295">
        <f t="shared" si="54"/>
        <v>0</v>
      </c>
      <c r="AH50" s="234"/>
      <c r="AI50" s="71">
        <f t="shared" si="55"/>
        <v>0</v>
      </c>
      <c r="AJ50" s="72"/>
      <c r="AK50" s="74"/>
      <c r="AL50" s="74"/>
      <c r="AM50" s="74"/>
      <c r="AN50" s="74"/>
      <c r="AO50" s="74"/>
      <c r="AP50" s="228"/>
      <c r="AQ50" s="31"/>
      <c r="AR50" s="67"/>
      <c r="AS50" s="67"/>
      <c r="AT50" s="67"/>
      <c r="AU50" s="67"/>
      <c r="AV50" s="67"/>
      <c r="AW50" s="67"/>
      <c r="AX50" s="32" t="str">
        <f t="shared" si="88"/>
        <v>Wraiths</v>
      </c>
      <c r="AY50" s="32" t="str">
        <f>IFERROR((VLOOKUP($BO$1&amp;B47,Teams!D:S,12,0)),0)</f>
        <v>P</v>
      </c>
      <c r="AZ50" s="32" t="str">
        <f>IFERROR((VLOOKUP($BO$1&amp;B47,Teams!D:S,13,0)),0)</f>
        <v>S</v>
      </c>
      <c r="BA50" s="32" t="str">
        <f>IFERROR((VLOOKUP($BO$1&amp;B47,Teams!D:S,14,0)),0)</f>
        <v>P</v>
      </c>
      <c r="BB50" s="32">
        <f>IFERROR((VLOOKUP($BO$1&amp;B47,Teams!D:S,15,0)),0)</f>
        <v>0</v>
      </c>
      <c r="BC50" s="32">
        <f>IFERROR((VLOOKUP($BO$1&amp;B47,Teams!D:S,16,0)),0)</f>
        <v>0</v>
      </c>
      <c r="BD50" s="32">
        <v>20000</v>
      </c>
      <c r="BE50" s="32">
        <v>10000</v>
      </c>
      <c r="BF50" s="32">
        <v>40000</v>
      </c>
      <c r="BG50" s="32">
        <v>20000</v>
      </c>
      <c r="BH50" s="32">
        <v>80000</v>
      </c>
      <c r="BI50" s="32">
        <f t="shared" si="57"/>
        <v>0</v>
      </c>
      <c r="BJ50" s="32"/>
      <c r="BK50" s="32">
        <f t="shared" si="58"/>
        <v>0</v>
      </c>
      <c r="BL50" s="32">
        <f t="shared" si="59"/>
        <v>0</v>
      </c>
      <c r="BM50" s="32">
        <f t="shared" si="60"/>
        <v>0</v>
      </c>
      <c r="BN50" s="32">
        <f t="shared" si="61"/>
        <v>0</v>
      </c>
      <c r="BO50" s="32">
        <f t="shared" si="62"/>
        <v>0</v>
      </c>
      <c r="BP50" s="32">
        <f t="shared" si="63"/>
        <v>0</v>
      </c>
      <c r="BQ50" s="2"/>
      <c r="BR50" s="2"/>
      <c r="BS50" s="32">
        <f t="shared" si="64"/>
        <v>0</v>
      </c>
      <c r="BT50" s="32">
        <f t="shared" si="65"/>
        <v>0</v>
      </c>
      <c r="BU50" s="32">
        <f t="shared" si="66"/>
        <v>0</v>
      </c>
      <c r="BV50" s="32">
        <f t="shared" si="67"/>
        <v>0</v>
      </c>
      <c r="BW50" s="32">
        <f t="shared" si="68"/>
        <v>0</v>
      </c>
      <c r="BX50" s="32">
        <f t="shared" si="69"/>
        <v>0</v>
      </c>
      <c r="BY50" s="32"/>
      <c r="BZ50" s="32">
        <f t="shared" si="70"/>
        <v>0</v>
      </c>
      <c r="CA50" s="32">
        <f t="shared" si="71"/>
        <v>0</v>
      </c>
      <c r="CB50" s="32">
        <f t="shared" si="72"/>
        <v>0</v>
      </c>
      <c r="CC50" s="32">
        <f t="shared" si="73"/>
        <v>0</v>
      </c>
      <c r="CD50" s="32">
        <f t="shared" si="83"/>
        <v>0</v>
      </c>
      <c r="CE50" s="32">
        <f t="shared" si="74"/>
        <v>0</v>
      </c>
      <c r="CF50" s="33"/>
      <c r="CG50" s="32">
        <f t="shared" ref="CG50:CL50" si="105">IF(AND(BS50="P",BZ50="Random"),10000,IF(AND(BS50="P",BZ50="Chosen"),20000,IF(AND(BS50="S",BZ50="Random"),20000,IF(AND(BS50="S",BZ50="Chosen"),40000,0))))</f>
        <v>0</v>
      </c>
      <c r="CH50" s="32">
        <f t="shared" si="105"/>
        <v>0</v>
      </c>
      <c r="CI50" s="32">
        <f t="shared" si="105"/>
        <v>0</v>
      </c>
      <c r="CJ50" s="32">
        <f t="shared" si="105"/>
        <v>0</v>
      </c>
      <c r="CK50" s="32">
        <f t="shared" si="105"/>
        <v>0</v>
      </c>
      <c r="CL50" s="32">
        <f t="shared" si="105"/>
        <v>0</v>
      </c>
      <c r="CM50" s="32"/>
      <c r="CN50" s="32">
        <f t="shared" ref="CN50:CS50" si="106">IF(BK50="AV",10000,IF(BK50="MA",20000,IF(BK50="PA",20000,IF(BK50="AG",40000,IF(BK50="ST",80000,0)))))</f>
        <v>0</v>
      </c>
      <c r="CO50" s="32">
        <f t="shared" si="106"/>
        <v>0</v>
      </c>
      <c r="CP50" s="32">
        <f t="shared" si="106"/>
        <v>0</v>
      </c>
      <c r="CQ50" s="32">
        <f t="shared" si="106"/>
        <v>0</v>
      </c>
      <c r="CR50" s="32">
        <f t="shared" si="106"/>
        <v>0</v>
      </c>
      <c r="CS50" s="32">
        <f t="shared" si="106"/>
        <v>0</v>
      </c>
      <c r="CT50" s="32"/>
      <c r="CU50" s="32">
        <f t="shared" si="77"/>
        <v>0</v>
      </c>
      <c r="CV50" s="32">
        <f t="shared" si="78"/>
        <v>0</v>
      </c>
      <c r="CW50" s="32">
        <f t="shared" si="79"/>
        <v>0</v>
      </c>
      <c r="CX50" s="32">
        <f t="shared" si="80"/>
        <v>0</v>
      </c>
      <c r="CY50" s="32">
        <f t="shared" si="81"/>
        <v>0</v>
      </c>
      <c r="CZ50" s="32">
        <f t="shared" si="82"/>
        <v>0</v>
      </c>
      <c r="DA50" s="32"/>
      <c r="DB50" s="32"/>
    </row>
    <row r="51" spans="1:106" ht="22.5" customHeight="1">
      <c r="A51" s="28">
        <v>16</v>
      </c>
      <c r="B51" s="70" t="str">
        <f t="shared" si="53"/>
        <v/>
      </c>
      <c r="C51" s="248"/>
      <c r="D51" s="234"/>
      <c r="E51" s="248"/>
      <c r="F51" s="234"/>
      <c r="G51" s="248"/>
      <c r="H51" s="233"/>
      <c r="I51" s="233"/>
      <c r="J51" s="234"/>
      <c r="K51" s="246"/>
      <c r="L51" s="234"/>
      <c r="M51" s="248"/>
      <c r="N51" s="234"/>
      <c r="O51" s="246"/>
      <c r="P51" s="234"/>
      <c r="Q51" s="248"/>
      <c r="R51" s="234"/>
      <c r="S51" s="246"/>
      <c r="T51" s="234"/>
      <c r="U51" s="248"/>
      <c r="V51" s="234"/>
      <c r="W51" s="246"/>
      <c r="X51" s="234"/>
      <c r="Y51" s="248"/>
      <c r="Z51" s="234"/>
      <c r="AA51" s="246"/>
      <c r="AB51" s="234"/>
      <c r="AC51" s="247"/>
      <c r="AD51" s="234"/>
      <c r="AE51" s="247"/>
      <c r="AF51" s="234"/>
      <c r="AG51" s="295">
        <f t="shared" si="54"/>
        <v>0</v>
      </c>
      <c r="AH51" s="234"/>
      <c r="AI51" s="71">
        <f t="shared" si="55"/>
        <v>0</v>
      </c>
      <c r="AJ51" s="72"/>
      <c r="AK51" s="74"/>
      <c r="AL51" s="74"/>
      <c r="AM51" s="74"/>
      <c r="AN51" s="74"/>
      <c r="AO51" s="74"/>
      <c r="AP51" s="228"/>
      <c r="AQ51" s="31"/>
      <c r="AR51" s="67"/>
      <c r="AS51" s="67"/>
      <c r="AT51" s="67"/>
      <c r="AU51" s="67"/>
      <c r="AV51" s="67"/>
      <c r="AW51" s="67"/>
      <c r="AX51" s="32">
        <f t="shared" si="88"/>
        <v>0</v>
      </c>
      <c r="AY51" s="32">
        <f>IFERROR((VLOOKUP($BO$1&amp;B48,Teams!D:S,12,0)),0)</f>
        <v>0</v>
      </c>
      <c r="AZ51" s="32">
        <f>IFERROR((VLOOKUP($BO$1&amp;B48,Teams!D:S,13,0)),0)</f>
        <v>0</v>
      </c>
      <c r="BA51" s="32">
        <f>IFERROR((VLOOKUP($BO$1&amp;B48,Teams!D:S,14,0)),0)</f>
        <v>0</v>
      </c>
      <c r="BB51" s="32">
        <f>IFERROR((VLOOKUP($BO$1&amp;B48,Teams!D:S,15,0)),0)</f>
        <v>0</v>
      </c>
      <c r="BC51" s="32">
        <f>IFERROR((VLOOKUP($BO$1&amp;B48,Teams!D:S,16,0)),0)</f>
        <v>0</v>
      </c>
      <c r="BD51" s="32">
        <v>20000</v>
      </c>
      <c r="BE51" s="32">
        <v>10000</v>
      </c>
      <c r="BF51" s="32">
        <v>40000</v>
      </c>
      <c r="BG51" s="32">
        <v>20000</v>
      </c>
      <c r="BH51" s="32">
        <v>80000</v>
      </c>
      <c r="BI51" s="32">
        <f t="shared" si="57"/>
        <v>0</v>
      </c>
      <c r="BJ51" s="32"/>
      <c r="BK51" s="32">
        <f t="shared" si="58"/>
        <v>0</v>
      </c>
      <c r="BL51" s="32">
        <f t="shared" si="59"/>
        <v>0</v>
      </c>
      <c r="BM51" s="32">
        <f t="shared" si="60"/>
        <v>0</v>
      </c>
      <c r="BN51" s="32">
        <f t="shared" si="61"/>
        <v>0</v>
      </c>
      <c r="BO51" s="32">
        <f t="shared" si="62"/>
        <v>0</v>
      </c>
      <c r="BP51" s="32">
        <f t="shared" si="63"/>
        <v>0</v>
      </c>
      <c r="BQ51" s="2"/>
      <c r="BR51" s="2"/>
      <c r="BS51" s="32">
        <f t="shared" si="64"/>
        <v>0</v>
      </c>
      <c r="BT51" s="32">
        <f t="shared" si="65"/>
        <v>0</v>
      </c>
      <c r="BU51" s="32">
        <f t="shared" si="66"/>
        <v>0</v>
      </c>
      <c r="BV51" s="32">
        <f t="shared" si="67"/>
        <v>0</v>
      </c>
      <c r="BW51" s="32">
        <f t="shared" si="68"/>
        <v>0</v>
      </c>
      <c r="BX51" s="32">
        <f t="shared" si="69"/>
        <v>0</v>
      </c>
      <c r="BY51" s="32"/>
      <c r="BZ51" s="32">
        <f t="shared" si="70"/>
        <v>0</v>
      </c>
      <c r="CA51" s="32">
        <f t="shared" si="71"/>
        <v>0</v>
      </c>
      <c r="CB51" s="32">
        <f t="shared" si="72"/>
        <v>0</v>
      </c>
      <c r="CC51" s="32">
        <f t="shared" si="73"/>
        <v>0</v>
      </c>
      <c r="CD51" s="32">
        <f t="shared" si="83"/>
        <v>0</v>
      </c>
      <c r="CE51" s="32">
        <f t="shared" si="74"/>
        <v>0</v>
      </c>
      <c r="CF51" s="33"/>
      <c r="CG51" s="32">
        <f t="shared" ref="CG51:CL51" si="107">IF(AND(BS51="P",BZ51="Random"),10000,IF(AND(BS51="P",BZ51="Chosen"),20000,IF(AND(BS51="S",BZ51="Random"),20000,IF(AND(BS51="S",BZ51="Chosen"),40000,0))))</f>
        <v>0</v>
      </c>
      <c r="CH51" s="32">
        <f t="shared" si="107"/>
        <v>0</v>
      </c>
      <c r="CI51" s="32">
        <f t="shared" si="107"/>
        <v>0</v>
      </c>
      <c r="CJ51" s="32">
        <f t="shared" si="107"/>
        <v>0</v>
      </c>
      <c r="CK51" s="32">
        <f t="shared" si="107"/>
        <v>0</v>
      </c>
      <c r="CL51" s="32">
        <f t="shared" si="107"/>
        <v>0</v>
      </c>
      <c r="CM51" s="32"/>
      <c r="CN51" s="32">
        <f t="shared" ref="CN51:CS51" si="108">IF(BK51="AV",10000,IF(BK51="MA",20000,IF(BK51="PA",20000,IF(BK51="AG",40000,IF(BK51="ST",80000,0)))))</f>
        <v>0</v>
      </c>
      <c r="CO51" s="32">
        <f t="shared" si="108"/>
        <v>0</v>
      </c>
      <c r="CP51" s="32">
        <f t="shared" si="108"/>
        <v>0</v>
      </c>
      <c r="CQ51" s="32">
        <f t="shared" si="108"/>
        <v>0</v>
      </c>
      <c r="CR51" s="32">
        <f t="shared" si="108"/>
        <v>0</v>
      </c>
      <c r="CS51" s="32">
        <f t="shared" si="108"/>
        <v>0</v>
      </c>
      <c r="CT51" s="32"/>
      <c r="CU51" s="32">
        <f t="shared" si="77"/>
        <v>0</v>
      </c>
      <c r="CV51" s="32">
        <f t="shared" si="78"/>
        <v>0</v>
      </c>
      <c r="CW51" s="32">
        <f t="shared" si="79"/>
        <v>0</v>
      </c>
      <c r="CX51" s="32">
        <f t="shared" si="80"/>
        <v>0</v>
      </c>
      <c r="CY51" s="32">
        <f t="shared" si="81"/>
        <v>0</v>
      </c>
      <c r="CZ51" s="32">
        <f t="shared" si="82"/>
        <v>0</v>
      </c>
      <c r="DA51" s="32"/>
      <c r="DB51" s="32"/>
    </row>
    <row r="52" spans="1:106" ht="15" customHeight="1">
      <c r="A52" s="78"/>
      <c r="B52" s="78"/>
      <c r="C52" s="78"/>
      <c r="D52" s="78"/>
      <c r="E52" s="78"/>
      <c r="F52" s="78"/>
      <c r="G52" s="78"/>
      <c r="H52" s="78"/>
      <c r="I52" s="78"/>
      <c r="J52" s="78"/>
      <c r="K52" s="78"/>
      <c r="L52" s="78"/>
      <c r="M52" s="78"/>
      <c r="N52" s="78"/>
      <c r="O52" s="78"/>
      <c r="P52" s="78"/>
      <c r="Q52" s="78"/>
      <c r="R52" s="78"/>
      <c r="S52" s="78"/>
      <c r="T52" s="78"/>
      <c r="U52" s="78"/>
      <c r="V52" s="78"/>
      <c r="W52" s="78"/>
      <c r="X52" s="78"/>
      <c r="Y52" s="78"/>
      <c r="Z52" s="78"/>
      <c r="AA52" s="78"/>
      <c r="AB52" s="78"/>
      <c r="AC52" s="78"/>
      <c r="AD52" s="78"/>
      <c r="AE52" s="78"/>
      <c r="AF52" s="78"/>
      <c r="AG52" s="78"/>
      <c r="AH52" s="78"/>
      <c r="AI52" s="78"/>
      <c r="AJ52" s="78"/>
      <c r="AK52" s="78"/>
      <c r="AL52" s="78"/>
      <c r="AM52" s="78"/>
      <c r="AN52" s="78"/>
      <c r="AO52" s="78"/>
      <c r="AP52" s="229"/>
      <c r="AQ52" s="31"/>
      <c r="AR52" s="67"/>
      <c r="AS52" s="67"/>
      <c r="AT52" s="67"/>
      <c r="AU52" s="67"/>
      <c r="AV52" s="67"/>
      <c r="AW52" s="67"/>
      <c r="AX52" s="32">
        <f t="shared" si="88"/>
        <v>0</v>
      </c>
      <c r="AY52" s="32">
        <f>IFERROR((VLOOKUP($BO$1&amp;B49,Teams!D:S,12,0)),0)</f>
        <v>0</v>
      </c>
      <c r="AZ52" s="32">
        <f>IFERROR((VLOOKUP($BO$1&amp;B49,Teams!D:S,13,0)),0)</f>
        <v>0</v>
      </c>
      <c r="BA52" s="32">
        <f>IFERROR((VLOOKUP($BO$1&amp;B49,Teams!D:S,14,0)),0)</f>
        <v>0</v>
      </c>
      <c r="BB52" s="32">
        <f>IFERROR((VLOOKUP($BO$1&amp;B49,Teams!D:S,15,0)),0)</f>
        <v>0</v>
      </c>
      <c r="BC52" s="32">
        <f>IFERROR((VLOOKUP($BO$1&amp;B49,Teams!D:S,16,0)),0)</f>
        <v>0</v>
      </c>
      <c r="BD52" s="32">
        <v>20000</v>
      </c>
      <c r="BE52" s="32">
        <v>10000</v>
      </c>
      <c r="BF52" s="32">
        <v>40000</v>
      </c>
      <c r="BG52" s="32">
        <v>20000</v>
      </c>
      <c r="BH52" s="32">
        <v>80000</v>
      </c>
      <c r="BI52" s="32">
        <f t="shared" si="57"/>
        <v>0</v>
      </c>
      <c r="BJ52" s="32"/>
      <c r="BK52" s="32">
        <f t="shared" si="58"/>
        <v>0</v>
      </c>
      <c r="BL52" s="32">
        <f t="shared" si="59"/>
        <v>0</v>
      </c>
      <c r="BM52" s="32">
        <f t="shared" si="60"/>
        <v>0</v>
      </c>
      <c r="BN52" s="32">
        <f t="shared" si="61"/>
        <v>0</v>
      </c>
      <c r="BO52" s="32">
        <f t="shared" si="62"/>
        <v>0</v>
      </c>
      <c r="BP52" s="32">
        <f t="shared" si="63"/>
        <v>0</v>
      </c>
      <c r="BQ52" s="2"/>
      <c r="BR52" s="2"/>
      <c r="BS52" s="32">
        <f t="shared" si="64"/>
        <v>0</v>
      </c>
      <c r="BT52" s="32">
        <f t="shared" si="65"/>
        <v>0</v>
      </c>
      <c r="BU52" s="32">
        <f t="shared" si="66"/>
        <v>0</v>
      </c>
      <c r="BV52" s="32">
        <f t="shared" si="67"/>
        <v>0</v>
      </c>
      <c r="BW52" s="32">
        <f t="shared" si="68"/>
        <v>0</v>
      </c>
      <c r="BX52" s="32">
        <f t="shared" si="69"/>
        <v>0</v>
      </c>
      <c r="BY52" s="32"/>
      <c r="BZ52" s="32">
        <f t="shared" si="70"/>
        <v>0</v>
      </c>
      <c r="CA52" s="32">
        <f t="shared" si="71"/>
        <v>0</v>
      </c>
      <c r="CB52" s="32">
        <f t="shared" si="72"/>
        <v>0</v>
      </c>
      <c r="CC52" s="32">
        <f t="shared" si="73"/>
        <v>0</v>
      </c>
      <c r="CD52" s="32">
        <f t="shared" si="83"/>
        <v>0</v>
      </c>
      <c r="CE52" s="32">
        <f t="shared" si="74"/>
        <v>0</v>
      </c>
      <c r="CF52" s="33"/>
      <c r="CG52" s="32">
        <f t="shared" ref="CG52:CL52" si="109">IF(AND(BS52="P",BZ52="Random"),10000,IF(AND(BS52="P",BZ52="Chosen"),20000,IF(AND(BS52="S",BZ52="Random"),20000,IF(AND(BS52="S",BZ52="Chosen"),40000,0))))</f>
        <v>0</v>
      </c>
      <c r="CH52" s="32">
        <f t="shared" si="109"/>
        <v>0</v>
      </c>
      <c r="CI52" s="32">
        <f t="shared" si="109"/>
        <v>0</v>
      </c>
      <c r="CJ52" s="32">
        <f t="shared" si="109"/>
        <v>0</v>
      </c>
      <c r="CK52" s="32">
        <f t="shared" si="109"/>
        <v>0</v>
      </c>
      <c r="CL52" s="32">
        <f t="shared" si="109"/>
        <v>0</v>
      </c>
      <c r="CM52" s="32"/>
      <c r="CN52" s="32">
        <f t="shared" ref="CN52:CS52" si="110">IF(BK52="AV",10000,IF(BK52="MA",20000,IF(BK52="PA",20000,IF(BK52="AG",40000,IF(BK52="ST",80000,0)))))</f>
        <v>0</v>
      </c>
      <c r="CO52" s="32">
        <f t="shared" si="110"/>
        <v>0</v>
      </c>
      <c r="CP52" s="32">
        <f t="shared" si="110"/>
        <v>0</v>
      </c>
      <c r="CQ52" s="32">
        <f t="shared" si="110"/>
        <v>0</v>
      </c>
      <c r="CR52" s="32">
        <f t="shared" si="110"/>
        <v>0</v>
      </c>
      <c r="CS52" s="32">
        <f t="shared" si="110"/>
        <v>0</v>
      </c>
      <c r="CT52" s="32"/>
      <c r="CU52" s="32">
        <f t="shared" si="77"/>
        <v>0</v>
      </c>
      <c r="CV52" s="32">
        <f t="shared" si="78"/>
        <v>0</v>
      </c>
      <c r="CW52" s="32">
        <f t="shared" si="79"/>
        <v>0</v>
      </c>
      <c r="CX52" s="32">
        <f t="shared" si="80"/>
        <v>0</v>
      </c>
      <c r="CY52" s="32">
        <f t="shared" si="81"/>
        <v>0</v>
      </c>
      <c r="CZ52" s="32">
        <f t="shared" si="82"/>
        <v>0</v>
      </c>
      <c r="DA52" s="32"/>
      <c r="DB52" s="32"/>
    </row>
    <row r="53" spans="1:106" ht="22.5" hidden="1" customHeight="1">
      <c r="A53" s="67"/>
      <c r="B53" s="67"/>
      <c r="C53" s="79"/>
      <c r="D53" s="79"/>
      <c r="E53" s="79"/>
      <c r="F53" s="79"/>
      <c r="G53" s="79"/>
      <c r="H53" s="79"/>
      <c r="I53" s="79"/>
      <c r="J53" s="79"/>
      <c r="K53" s="79"/>
      <c r="L53" s="79"/>
      <c r="M53" s="79"/>
      <c r="N53" s="79"/>
      <c r="O53" s="79"/>
      <c r="P53" s="79"/>
      <c r="Q53" s="79"/>
      <c r="R53" s="79"/>
      <c r="S53" s="79"/>
      <c r="T53" s="79"/>
      <c r="U53" s="79"/>
      <c r="V53" s="79"/>
      <c r="W53" s="79"/>
      <c r="X53" s="79"/>
      <c r="Y53" s="79"/>
      <c r="Z53" s="79"/>
      <c r="AA53" s="79"/>
      <c r="AB53" s="79"/>
      <c r="AC53" s="79"/>
      <c r="AD53" s="79"/>
      <c r="AE53" s="79"/>
      <c r="AF53" s="79"/>
      <c r="AG53" s="79"/>
      <c r="AH53" s="79"/>
      <c r="AI53" s="79"/>
      <c r="AJ53" s="79"/>
      <c r="AK53" s="79"/>
      <c r="AL53" s="79"/>
      <c r="AM53" s="79"/>
      <c r="AN53" s="79"/>
      <c r="AO53" s="79"/>
      <c r="AP53" s="80"/>
      <c r="AQ53" s="31"/>
      <c r="AR53" s="67"/>
      <c r="AS53" s="67"/>
      <c r="AT53" s="67"/>
      <c r="AU53" s="67"/>
      <c r="AV53" s="67"/>
      <c r="AW53" s="67"/>
      <c r="AX53" s="32" t="str">
        <f t="shared" si="88"/>
        <v/>
      </c>
      <c r="AY53" s="32">
        <f>IFERROR((VLOOKUP($BO$1&amp;B50,Teams!D:S,12,0)),0)</f>
        <v>0</v>
      </c>
      <c r="AZ53" s="32">
        <f>IFERROR((VLOOKUP($BO$1&amp;B50,Teams!D:S,13,0)),0)</f>
        <v>0</v>
      </c>
      <c r="BA53" s="32">
        <f>IFERROR((VLOOKUP($BO$1&amp;B50,Teams!D:S,14,0)),0)</f>
        <v>0</v>
      </c>
      <c r="BB53" s="32">
        <f>IFERROR((VLOOKUP($BO$1&amp;B50,Teams!D:S,15,0)),0)</f>
        <v>0</v>
      </c>
      <c r="BC53" s="32">
        <f>IFERROR((VLOOKUP($BO$1&amp;B50,Teams!D:S,16,0)),0)</f>
        <v>0</v>
      </c>
      <c r="BD53" s="32">
        <v>20000</v>
      </c>
      <c r="BE53" s="32">
        <v>10000</v>
      </c>
      <c r="BF53" s="32">
        <v>40000</v>
      </c>
      <c r="BG53" s="32">
        <v>20000</v>
      </c>
      <c r="BH53" s="32">
        <v>80000</v>
      </c>
      <c r="BI53" s="32">
        <f t="shared" si="57"/>
        <v>0</v>
      </c>
      <c r="BJ53" s="32"/>
      <c r="BK53" s="32">
        <f t="shared" si="58"/>
        <v>0</v>
      </c>
      <c r="BL53" s="32">
        <f t="shared" si="59"/>
        <v>0</v>
      </c>
      <c r="BM53" s="32">
        <f t="shared" si="60"/>
        <v>0</v>
      </c>
      <c r="BN53" s="32">
        <f t="shared" si="61"/>
        <v>0</v>
      </c>
      <c r="BO53" s="32">
        <f t="shared" si="62"/>
        <v>0</v>
      </c>
      <c r="BP53" s="32">
        <f t="shared" si="63"/>
        <v>0</v>
      </c>
      <c r="BQ53" s="2"/>
      <c r="BR53" s="2"/>
      <c r="BS53" s="32">
        <f t="shared" si="64"/>
        <v>0</v>
      </c>
      <c r="BT53" s="32">
        <f t="shared" si="65"/>
        <v>0</v>
      </c>
      <c r="BU53" s="32">
        <f t="shared" si="66"/>
        <v>0</v>
      </c>
      <c r="BV53" s="32">
        <f t="shared" si="67"/>
        <v>0</v>
      </c>
      <c r="BW53" s="32">
        <f t="shared" si="68"/>
        <v>0</v>
      </c>
      <c r="BX53" s="32">
        <f t="shared" si="69"/>
        <v>0</v>
      </c>
      <c r="BY53" s="32"/>
      <c r="BZ53" s="32">
        <f t="shared" si="70"/>
        <v>0</v>
      </c>
      <c r="CA53" s="32">
        <f t="shared" si="71"/>
        <v>0</v>
      </c>
      <c r="CB53" s="32">
        <f t="shared" si="72"/>
        <v>0</v>
      </c>
      <c r="CC53" s="32">
        <f t="shared" si="73"/>
        <v>0</v>
      </c>
      <c r="CD53" s="32">
        <f t="shared" si="83"/>
        <v>0</v>
      </c>
      <c r="CE53" s="32">
        <f t="shared" si="74"/>
        <v>0</v>
      </c>
      <c r="CF53" s="33"/>
      <c r="CG53" s="32">
        <f t="shared" ref="CG53:CL53" si="111">IF(AND(BS53="P",BZ53="Random"),10000,IF(AND(BS53="P",BZ53="Chosen"),20000,IF(AND(BS53="S",BZ53="Random"),20000,IF(AND(BS53="S",BZ53="Chosen"),40000,0))))</f>
        <v>0</v>
      </c>
      <c r="CH53" s="32">
        <f t="shared" si="111"/>
        <v>0</v>
      </c>
      <c r="CI53" s="32">
        <f t="shared" si="111"/>
        <v>0</v>
      </c>
      <c r="CJ53" s="32">
        <f t="shared" si="111"/>
        <v>0</v>
      </c>
      <c r="CK53" s="32">
        <f t="shared" si="111"/>
        <v>0</v>
      </c>
      <c r="CL53" s="32">
        <f t="shared" si="111"/>
        <v>0</v>
      </c>
      <c r="CM53" s="32"/>
      <c r="CN53" s="32">
        <f t="shared" ref="CN53:CS53" si="112">IF(BK53="AV",10000,IF(BK53="MA",20000,IF(BK53="PA",20000,IF(BK53="AG",40000,IF(BK53="ST",80000,0)))))</f>
        <v>0</v>
      </c>
      <c r="CO53" s="32">
        <f t="shared" si="112"/>
        <v>0</v>
      </c>
      <c r="CP53" s="32">
        <f t="shared" si="112"/>
        <v>0</v>
      </c>
      <c r="CQ53" s="32">
        <f t="shared" si="112"/>
        <v>0</v>
      </c>
      <c r="CR53" s="32">
        <f t="shared" si="112"/>
        <v>0</v>
      </c>
      <c r="CS53" s="32">
        <f t="shared" si="112"/>
        <v>0</v>
      </c>
      <c r="CT53" s="32"/>
      <c r="CU53" s="32">
        <f t="shared" si="77"/>
        <v>0</v>
      </c>
      <c r="CV53" s="32">
        <f t="shared" si="78"/>
        <v>0</v>
      </c>
      <c r="CW53" s="32">
        <f t="shared" si="79"/>
        <v>0</v>
      </c>
      <c r="CX53" s="32">
        <f t="shared" si="80"/>
        <v>0</v>
      </c>
      <c r="CY53" s="32">
        <f t="shared" si="81"/>
        <v>0</v>
      </c>
      <c r="CZ53" s="32">
        <f t="shared" si="82"/>
        <v>0</v>
      </c>
      <c r="DA53" s="32"/>
      <c r="DB53" s="32"/>
    </row>
    <row r="54" spans="1:106" ht="22.5" hidden="1" customHeight="1">
      <c r="A54" s="67"/>
      <c r="B54" s="67"/>
      <c r="C54" s="81"/>
      <c r="D54" s="81"/>
      <c r="E54" s="81"/>
      <c r="F54" s="81"/>
      <c r="G54" s="82"/>
      <c r="H54" s="82"/>
      <c r="I54" s="82"/>
      <c r="J54" s="81"/>
      <c r="K54" s="81"/>
      <c r="L54" s="81"/>
      <c r="M54" s="83"/>
      <c r="N54" s="83"/>
      <c r="O54" s="81"/>
      <c r="P54" s="81"/>
      <c r="Q54" s="81"/>
      <c r="R54" s="81"/>
      <c r="S54" s="84"/>
      <c r="T54" s="81"/>
      <c r="U54" s="81"/>
      <c r="V54" s="81"/>
      <c r="W54" s="81"/>
      <c r="X54" s="84"/>
      <c r="Y54" s="81"/>
      <c r="Z54" s="81"/>
      <c r="AA54" s="81"/>
      <c r="AB54" s="81"/>
      <c r="AC54" s="84"/>
      <c r="AD54" s="81"/>
      <c r="AE54" s="81"/>
      <c r="AF54" s="81"/>
      <c r="AG54" s="81"/>
      <c r="AH54" s="84"/>
      <c r="AI54" s="81"/>
      <c r="AJ54" s="81"/>
      <c r="AK54" s="81"/>
      <c r="AL54" s="81"/>
      <c r="AM54" s="84"/>
      <c r="AN54" s="67"/>
      <c r="AO54" s="67"/>
      <c r="AP54" s="80"/>
      <c r="AQ54" s="31"/>
      <c r="AR54" s="67"/>
      <c r="AS54" s="67"/>
      <c r="AT54" s="67"/>
      <c r="AU54" s="67"/>
      <c r="AV54" s="67"/>
      <c r="AW54" s="67"/>
      <c r="AX54" s="32" t="str">
        <f t="shared" si="88"/>
        <v/>
      </c>
      <c r="AY54" s="32">
        <f>IFERROR((VLOOKUP($BO$1&amp;B51,Teams!D:S,12,0)),0)</f>
        <v>0</v>
      </c>
      <c r="AZ54" s="32">
        <f>IFERROR((VLOOKUP($BO$1&amp;B51,Teams!D:S,13,0)),0)</f>
        <v>0</v>
      </c>
      <c r="BA54" s="32">
        <f>IFERROR((VLOOKUP($BO$1&amp;B51,Teams!D:S,14,0)),0)</f>
        <v>0</v>
      </c>
      <c r="BB54" s="32">
        <f>IFERROR((VLOOKUP($BO$1&amp;B51,Teams!D:S,15,0)),0)</f>
        <v>0</v>
      </c>
      <c r="BC54" s="32">
        <f>IFERROR((VLOOKUP($BO$1&amp;B51,Teams!D:S,16,0)),0)</f>
        <v>0</v>
      </c>
      <c r="BD54" s="32">
        <v>20000</v>
      </c>
      <c r="BE54" s="32">
        <v>10000</v>
      </c>
      <c r="BF54" s="32">
        <v>40000</v>
      </c>
      <c r="BG54" s="32">
        <v>20000</v>
      </c>
      <c r="BH54" s="32">
        <v>80000</v>
      </c>
      <c r="BI54" s="32">
        <f t="shared" si="57"/>
        <v>0</v>
      </c>
      <c r="BJ54" s="32"/>
      <c r="BK54" s="32">
        <f t="shared" si="58"/>
        <v>0</v>
      </c>
      <c r="BL54" s="32">
        <f t="shared" si="59"/>
        <v>0</v>
      </c>
      <c r="BM54" s="32">
        <f t="shared" si="60"/>
        <v>0</v>
      </c>
      <c r="BN54" s="32">
        <f t="shared" si="61"/>
        <v>0</v>
      </c>
      <c r="BO54" s="32">
        <f t="shared" si="62"/>
        <v>0</v>
      </c>
      <c r="BP54" s="32">
        <f t="shared" si="63"/>
        <v>0</v>
      </c>
      <c r="BQ54" s="2"/>
      <c r="BR54" s="2"/>
      <c r="BS54" s="32">
        <f t="shared" si="64"/>
        <v>0</v>
      </c>
      <c r="BT54" s="32">
        <f t="shared" si="65"/>
        <v>0</v>
      </c>
      <c r="BU54" s="32">
        <f t="shared" si="66"/>
        <v>0</v>
      </c>
      <c r="BV54" s="32">
        <f t="shared" si="67"/>
        <v>0</v>
      </c>
      <c r="BW54" s="32">
        <f t="shared" si="68"/>
        <v>0</v>
      </c>
      <c r="BX54" s="32">
        <f t="shared" si="69"/>
        <v>0</v>
      </c>
      <c r="BY54" s="32"/>
      <c r="BZ54" s="32">
        <f t="shared" si="70"/>
        <v>0</v>
      </c>
      <c r="CA54" s="32">
        <f t="shared" si="71"/>
        <v>0</v>
      </c>
      <c r="CB54" s="32">
        <f t="shared" si="72"/>
        <v>0</v>
      </c>
      <c r="CC54" s="32">
        <f t="shared" si="73"/>
        <v>0</v>
      </c>
      <c r="CD54" s="32">
        <f t="shared" si="83"/>
        <v>0</v>
      </c>
      <c r="CE54" s="32">
        <f t="shared" si="74"/>
        <v>0</v>
      </c>
      <c r="CF54" s="33"/>
      <c r="CG54" s="32">
        <f t="shared" ref="CG54:CL54" si="113">IF(AND(BS54="P",BZ54="Random"),10000,IF(AND(BS54="P",BZ54="Chosen"),20000,IF(AND(BS54="S",BZ54="Random"),20000,IF(AND(BS54="S",BZ54="Chosen"),40000,0))))</f>
        <v>0</v>
      </c>
      <c r="CH54" s="32">
        <f t="shared" si="113"/>
        <v>0</v>
      </c>
      <c r="CI54" s="32">
        <f t="shared" si="113"/>
        <v>0</v>
      </c>
      <c r="CJ54" s="32">
        <f t="shared" si="113"/>
        <v>0</v>
      </c>
      <c r="CK54" s="32">
        <f t="shared" si="113"/>
        <v>0</v>
      </c>
      <c r="CL54" s="32">
        <f t="shared" si="113"/>
        <v>0</v>
      </c>
      <c r="CM54" s="32"/>
      <c r="CN54" s="32">
        <f t="shared" ref="CN54:CS54" si="114">IF(BK54="AV",10000,IF(BK54="MA",20000,IF(BK54="PA",20000,IF(BK54="AG",40000,IF(BK54="ST",80000,0)))))</f>
        <v>0</v>
      </c>
      <c r="CO54" s="32">
        <f t="shared" si="114"/>
        <v>0</v>
      </c>
      <c r="CP54" s="32">
        <f t="shared" si="114"/>
        <v>0</v>
      </c>
      <c r="CQ54" s="32">
        <f t="shared" si="114"/>
        <v>0</v>
      </c>
      <c r="CR54" s="32">
        <f t="shared" si="114"/>
        <v>0</v>
      </c>
      <c r="CS54" s="32">
        <f t="shared" si="114"/>
        <v>0</v>
      </c>
      <c r="CT54" s="32"/>
      <c r="CU54" s="32">
        <f t="shared" si="77"/>
        <v>0</v>
      </c>
      <c r="CV54" s="32">
        <f t="shared" si="78"/>
        <v>0</v>
      </c>
      <c r="CW54" s="32">
        <f t="shared" si="79"/>
        <v>0</v>
      </c>
      <c r="CX54" s="32">
        <f t="shared" si="80"/>
        <v>0</v>
      </c>
      <c r="CY54" s="32">
        <f t="shared" si="81"/>
        <v>0</v>
      </c>
      <c r="CZ54" s="32">
        <f t="shared" si="82"/>
        <v>0</v>
      </c>
      <c r="DA54" s="32"/>
      <c r="DB54" s="32"/>
    </row>
    <row r="55" spans="1:106" ht="22.5" hidden="1" customHeight="1">
      <c r="A55" s="67"/>
      <c r="B55" s="67"/>
      <c r="C55" s="81"/>
      <c r="D55" s="81"/>
      <c r="E55" s="81"/>
      <c r="F55" s="81"/>
      <c r="G55" s="82"/>
      <c r="H55" s="82"/>
      <c r="I55" s="82"/>
      <c r="J55" s="81"/>
      <c r="K55" s="81"/>
      <c r="L55" s="81"/>
      <c r="M55" s="81"/>
      <c r="N55" s="84"/>
      <c r="O55" s="81"/>
      <c r="P55" s="81"/>
      <c r="Q55" s="81"/>
      <c r="R55" s="81"/>
      <c r="S55" s="84"/>
      <c r="T55" s="81"/>
      <c r="U55" s="81"/>
      <c r="V55" s="81"/>
      <c r="W55" s="81"/>
      <c r="X55" s="84"/>
      <c r="Y55" s="81"/>
      <c r="Z55" s="81"/>
      <c r="AA55" s="81"/>
      <c r="AB55" s="81"/>
      <c r="AC55" s="84"/>
      <c r="AD55" s="81"/>
      <c r="AE55" s="81"/>
      <c r="AF55" s="81"/>
      <c r="AG55" s="81"/>
      <c r="AH55" s="84"/>
      <c r="AI55" s="81"/>
      <c r="AJ55" s="81"/>
      <c r="AK55" s="81"/>
      <c r="AL55" s="85"/>
      <c r="AM55" s="85"/>
      <c r="AN55" s="67"/>
      <c r="AO55" s="67"/>
      <c r="AP55" s="80"/>
      <c r="AQ55" s="31"/>
      <c r="AR55" s="67"/>
      <c r="AS55" s="67"/>
      <c r="AT55" s="67"/>
      <c r="AU55" s="67"/>
      <c r="AV55" s="67"/>
      <c r="AW55" s="67"/>
      <c r="AX55" s="32"/>
      <c r="AY55" s="32"/>
      <c r="AZ55" s="32"/>
      <c r="BA55" s="32"/>
      <c r="BB55" s="32"/>
      <c r="BC55" s="32"/>
      <c r="BD55" s="32"/>
      <c r="BE55" s="32"/>
      <c r="BF55" s="2"/>
      <c r="BG55" s="2"/>
      <c r="BH55" s="2"/>
      <c r="BI55" s="75"/>
      <c r="BJ55" s="75"/>
      <c r="BK55" s="32"/>
      <c r="BL55" s="2"/>
      <c r="BM55" s="32"/>
      <c r="BN55" s="32"/>
      <c r="BO55" s="32"/>
      <c r="BP55" s="2"/>
      <c r="BQ55" s="2"/>
      <c r="BR55" s="2"/>
      <c r="BS55" s="86"/>
      <c r="BT55" s="32"/>
      <c r="BU55" s="33"/>
      <c r="BV55" s="33"/>
      <c r="BW55" s="32"/>
      <c r="BX55" s="32"/>
      <c r="BY55" s="32"/>
      <c r="BZ55" s="32"/>
      <c r="CA55" s="33"/>
      <c r="CB55" s="32"/>
      <c r="CC55" s="32"/>
      <c r="CD55" s="32"/>
      <c r="CE55" s="32"/>
      <c r="CF55" s="33"/>
      <c r="CG55" s="32" t="str">
        <f>VLOOKUP(CG56,Teams!$D:$T,17,FALSE)</f>
        <v>PM</v>
      </c>
      <c r="CH55" s="32" t="str">
        <f>VLOOKUP(CH56,Teams!$D:$T,17,FALSE)</f>
        <v>PM</v>
      </c>
      <c r="CI55" s="32" t="str">
        <f>VLOOKUP(CI56,Teams!$D:$T,17,FALSE)</f>
        <v>M</v>
      </c>
      <c r="CJ55" s="32" t="str">
        <f>VLOOKUP(CJ56,Teams!$D:$T,17,FALSE)</f>
        <v>M</v>
      </c>
      <c r="CK55" s="32" t="str">
        <f>VLOOKUP(CK56,Teams!$D:$T,17,FALSE)</f>
        <v>M</v>
      </c>
      <c r="CL55" s="32" t="str">
        <f>VLOOKUP(CL56,Teams!$D:$T,17,FALSE)</f>
        <v>PM</v>
      </c>
      <c r="CM55" s="32" t="str">
        <f>VLOOKUP(CM56,Teams!$D:$T,17,FALSE)</f>
        <v>PM</v>
      </c>
      <c r="CN55" s="32" t="str">
        <f>VLOOKUP(CN56,Teams!$D:$T,17,FALSE)</f>
        <v>M</v>
      </c>
      <c r="CO55" s="32" t="str">
        <f>VLOOKUP(CO56,Teams!$D:$T,17,FALSE)</f>
        <v>PM</v>
      </c>
      <c r="CP55" s="32" t="str">
        <f>VLOOKUP(CP56,Teams!$D:$T,17,FALSE)</f>
        <v>PM</v>
      </c>
      <c r="CQ55" s="32" t="str">
        <f>VLOOKUP(CQ56,Teams!$D:$T,17,FALSE)</f>
        <v>PM</v>
      </c>
      <c r="CR55" s="32" t="str">
        <f>VLOOKUP(CR56,Teams!$D:$T,17,FALSE)</f>
        <v>PM</v>
      </c>
      <c r="CS55" s="32">
        <f>VLOOKUP(CS56,Teams!$D:$T,17,FALSE)</f>
        <v>0</v>
      </c>
      <c r="CT55" s="32">
        <f>VLOOKUP(CT56,Teams!$D:$T,17,FALSE)</f>
        <v>0</v>
      </c>
      <c r="CU55" s="32">
        <f>VLOOKUP(CU56,Teams!$D:$T,17,FALSE)</f>
        <v>0</v>
      </c>
      <c r="CV55" s="32">
        <f>VLOOKUP(CV56,Teams!$D:$T,17,FALSE)</f>
        <v>0</v>
      </c>
      <c r="CW55" s="2"/>
      <c r="CX55" s="2"/>
      <c r="CY55" s="2"/>
      <c r="CZ55" s="32"/>
      <c r="DA55" s="2"/>
      <c r="DB55" s="2"/>
    </row>
    <row r="56" spans="1:106" ht="15" hidden="1" customHeight="1">
      <c r="A56" s="67"/>
      <c r="B56" s="67"/>
      <c r="C56" s="67"/>
      <c r="D56" s="67"/>
      <c r="E56" s="67"/>
      <c r="F56" s="67"/>
      <c r="G56" s="67"/>
      <c r="H56" s="67"/>
      <c r="I56" s="67"/>
      <c r="J56" s="67"/>
      <c r="K56" s="67"/>
      <c r="L56" s="67"/>
      <c r="M56" s="67"/>
      <c r="N56" s="67"/>
      <c r="O56" s="67"/>
      <c r="P56" s="67"/>
      <c r="Q56" s="67"/>
      <c r="R56" s="67"/>
      <c r="S56" s="67"/>
      <c r="T56" s="67"/>
      <c r="U56" s="67"/>
      <c r="V56" s="67"/>
      <c r="W56" s="67"/>
      <c r="X56" s="67"/>
      <c r="Y56" s="67"/>
      <c r="Z56" s="67"/>
      <c r="AA56" s="67"/>
      <c r="AB56" s="67"/>
      <c r="AC56" s="67"/>
      <c r="AD56" s="67"/>
      <c r="AE56" s="67"/>
      <c r="AF56" s="67"/>
      <c r="AG56" s="67"/>
      <c r="AH56" s="67"/>
      <c r="AI56" s="67"/>
      <c r="AJ56" s="67"/>
      <c r="AK56" s="67"/>
      <c r="AL56" s="67"/>
      <c r="AM56" s="67"/>
      <c r="AN56" s="67"/>
      <c r="AO56" s="67"/>
      <c r="AP56" s="67"/>
      <c r="AQ56" s="32"/>
      <c r="AR56" s="31"/>
      <c r="AS56" s="31"/>
      <c r="AT56" s="31"/>
      <c r="AU56" s="31"/>
      <c r="AV56" s="31"/>
      <c r="AW56" s="31"/>
      <c r="AX56" s="32"/>
      <c r="AY56" s="32"/>
      <c r="AZ56" s="32"/>
      <c r="BA56" s="32"/>
      <c r="BB56" s="32"/>
      <c r="BC56" s="32"/>
      <c r="BD56" s="32"/>
      <c r="BE56" s="32"/>
      <c r="BF56" s="2"/>
      <c r="BG56" s="2"/>
      <c r="BH56" s="2"/>
      <c r="BI56" s="2"/>
      <c r="BJ56" s="2"/>
      <c r="BK56" s="32"/>
      <c r="BL56" s="2"/>
      <c r="BM56" s="32"/>
      <c r="BN56" s="32"/>
      <c r="BO56" s="32"/>
      <c r="BP56" s="2"/>
      <c r="BQ56" s="2"/>
      <c r="BR56" s="2"/>
      <c r="BS56" s="86"/>
      <c r="BT56" s="32"/>
      <c r="BU56" s="33"/>
      <c r="BV56" s="33"/>
      <c r="BW56" s="32"/>
      <c r="BX56" s="32"/>
      <c r="BY56" s="32"/>
      <c r="BZ56" s="32"/>
      <c r="CA56" s="33"/>
      <c r="CB56" s="32"/>
      <c r="CC56" s="32"/>
      <c r="CD56" s="32"/>
      <c r="CE56" s="32"/>
      <c r="CF56" s="33"/>
      <c r="CG56" s="87" t="str">
        <f>$BO$1&amp;$C2</f>
        <v>NecromanticFlesh Golem</v>
      </c>
      <c r="CH56" s="87" t="str">
        <f>$BO$1&amp;$C3</f>
        <v>NecromanticFlesh Golem</v>
      </c>
      <c r="CI56" s="88" t="str">
        <f>$BO$1&amp;$C4</f>
        <v>NecromanticWerewolf</v>
      </c>
      <c r="CJ56" s="87" t="str">
        <f>$BO$1&amp;$C5</f>
        <v>NecromanticWerewolf</v>
      </c>
      <c r="CK56" s="87" t="str">
        <f>$BO$1&amp;$C6</f>
        <v>NecromanticGhoul</v>
      </c>
      <c r="CL56" s="87" t="str">
        <f>$BO$1&amp;$C7</f>
        <v>NecromanticWraiths</v>
      </c>
      <c r="CM56" s="88" t="str">
        <f>$BO$1&amp;$C8</f>
        <v>NecromanticZombie</v>
      </c>
      <c r="CN56" s="87" t="str">
        <f>$BO$1&amp;$C9</f>
        <v>NecromanticGhoul</v>
      </c>
      <c r="CO56" s="87" t="str">
        <f>$BO$1&amp;$C10</f>
        <v>NecromanticZombie</v>
      </c>
      <c r="CP56" s="87" t="str">
        <f>$BO$1&amp;$C11</f>
        <v>NecromanticZombie</v>
      </c>
      <c r="CQ56" s="88" t="str">
        <f>$BO$1&amp;$C12</f>
        <v>NecromanticZombie</v>
      </c>
      <c r="CR56" s="87" t="str">
        <f>$BO$1&amp;$C13</f>
        <v>NecromanticWraiths</v>
      </c>
      <c r="CS56" s="87" t="str">
        <f>$BO$1&amp;$C14</f>
        <v>Necromantic</v>
      </c>
      <c r="CT56" s="87" t="str">
        <f>$BO$1&amp;$C15</f>
        <v>Necromantic</v>
      </c>
      <c r="CU56" s="88" t="str">
        <f>$BO$1&amp;$C16</f>
        <v>Necromantic</v>
      </c>
      <c r="CV56" s="87" t="str">
        <f>$BO$1&amp;$C17</f>
        <v>Necromantic</v>
      </c>
      <c r="CW56" s="2"/>
      <c r="CX56" s="2"/>
      <c r="CY56" s="2"/>
      <c r="CZ56" s="32"/>
      <c r="DA56" s="2"/>
      <c r="DB56" s="2"/>
    </row>
    <row r="57" spans="1:106" ht="15" hidden="1" customHeight="1">
      <c r="A57" s="32"/>
      <c r="B57" s="262" t="s">
        <v>264</v>
      </c>
      <c r="C57" s="261"/>
      <c r="D57" s="261"/>
      <c r="E57" s="261"/>
      <c r="F57" s="261"/>
      <c r="G57" s="32"/>
      <c r="H57" s="32"/>
      <c r="I57" s="32"/>
      <c r="J57" s="32"/>
      <c r="K57" s="262" t="s">
        <v>265</v>
      </c>
      <c r="L57" s="261"/>
      <c r="M57" s="261"/>
      <c r="N57" s="261"/>
      <c r="O57" s="261"/>
      <c r="P57" s="32"/>
      <c r="Q57" s="262" t="s">
        <v>266</v>
      </c>
      <c r="R57" s="261"/>
      <c r="S57" s="261"/>
      <c r="T57" s="261"/>
      <c r="U57" s="261"/>
      <c r="V57" s="32"/>
      <c r="W57" s="262" t="s">
        <v>267</v>
      </c>
      <c r="X57" s="261"/>
      <c r="Y57" s="261"/>
      <c r="Z57" s="261"/>
      <c r="AA57" s="261"/>
      <c r="AB57" s="32"/>
      <c r="AC57" s="262" t="s">
        <v>268</v>
      </c>
      <c r="AD57" s="261"/>
      <c r="AE57" s="261"/>
      <c r="AF57" s="261"/>
      <c r="AG57" s="261"/>
      <c r="AH57" s="32"/>
      <c r="AI57" s="32"/>
      <c r="AJ57" s="32"/>
      <c r="AK57" s="262" t="s">
        <v>269</v>
      </c>
      <c r="AL57" s="261"/>
      <c r="AM57" s="261"/>
      <c r="AN57" s="261"/>
      <c r="AO57" s="261"/>
      <c r="AP57" s="31"/>
      <c r="AQ57" s="31"/>
      <c r="AR57" s="77" t="s">
        <v>270</v>
      </c>
      <c r="AS57" s="77"/>
      <c r="AT57" s="77"/>
      <c r="AU57" s="77"/>
      <c r="AV57" s="77"/>
      <c r="AW57" s="77"/>
      <c r="AX57" s="77" t="s">
        <v>271</v>
      </c>
      <c r="AY57" s="77" t="s">
        <v>272</v>
      </c>
      <c r="AZ57" s="77" t="s">
        <v>273</v>
      </c>
      <c r="BA57" s="77" t="s">
        <v>274</v>
      </c>
      <c r="BB57" s="77" t="s">
        <v>275</v>
      </c>
      <c r="BC57" s="32"/>
      <c r="BD57" s="89" t="s">
        <v>210</v>
      </c>
      <c r="BE57" s="2"/>
      <c r="BF57" s="32"/>
      <c r="BG57" s="32"/>
      <c r="BH57" s="89" t="s">
        <v>204</v>
      </c>
      <c r="BI57" s="2"/>
      <c r="BJ57" s="2"/>
      <c r="BK57" s="32"/>
      <c r="BL57" s="89" t="s">
        <v>220</v>
      </c>
      <c r="BM57" s="32"/>
      <c r="BN57" s="2"/>
      <c r="BO57" s="89" t="s">
        <v>225</v>
      </c>
      <c r="BP57" s="32"/>
      <c r="BQ57" s="2"/>
      <c r="BR57" s="89" t="s">
        <v>180</v>
      </c>
      <c r="BS57" s="260" t="s">
        <v>276</v>
      </c>
      <c r="BT57" s="261"/>
      <c r="BU57" s="260" t="s">
        <v>250</v>
      </c>
      <c r="BV57" s="261"/>
      <c r="BW57" s="260" t="s">
        <v>251</v>
      </c>
      <c r="BX57" s="261"/>
      <c r="BY57" s="260" t="s">
        <v>277</v>
      </c>
      <c r="BZ57" s="261"/>
      <c r="CA57" s="33"/>
      <c r="CB57" s="32" t="str">
        <f>""</f>
        <v/>
      </c>
      <c r="CC57" s="32"/>
      <c r="CD57" s="32" t="str">
        <f>""</f>
        <v/>
      </c>
      <c r="CE57" s="32"/>
      <c r="CF57" s="2"/>
      <c r="CG57" s="91" t="s">
        <v>278</v>
      </c>
      <c r="CH57" s="91" t="s">
        <v>279</v>
      </c>
      <c r="CI57" s="91" t="s">
        <v>280</v>
      </c>
      <c r="CJ57" s="91" t="s">
        <v>281</v>
      </c>
      <c r="CK57" s="91" t="s">
        <v>282</v>
      </c>
      <c r="CL57" s="91" t="s">
        <v>283</v>
      </c>
      <c r="CM57" s="91" t="s">
        <v>284</v>
      </c>
      <c r="CN57" s="91" t="s">
        <v>285</v>
      </c>
      <c r="CO57" s="91" t="s">
        <v>286</v>
      </c>
      <c r="CP57" s="91" t="s">
        <v>287</v>
      </c>
      <c r="CQ57" s="91" t="s">
        <v>288</v>
      </c>
      <c r="CR57" s="91" t="s">
        <v>289</v>
      </c>
      <c r="CS57" s="91" t="s">
        <v>290</v>
      </c>
      <c r="CT57" s="91" t="s">
        <v>291</v>
      </c>
      <c r="CU57" s="91" t="s">
        <v>292</v>
      </c>
      <c r="CV57" s="91" t="s">
        <v>293</v>
      </c>
      <c r="CW57" s="2"/>
      <c r="CX57" s="2"/>
      <c r="CY57" s="2"/>
      <c r="CZ57" s="91"/>
      <c r="DA57" s="2"/>
      <c r="DB57" s="2"/>
    </row>
    <row r="58" spans="1:106" ht="15" hidden="1" customHeight="1">
      <c r="A58" s="32"/>
      <c r="B58" s="288" t="str">
        <f>IF(J30&lt;0,(IF(J24="English","YOU HAVE EXPENT TOO MUCH!   ",IF(J24="Español","¡HAS GASTADO DEMASIADO!   ",(IF(J24="Deutsch","ZU VIEL AUSGEGEBEN!   ",(IF(J24="Français","TU DÉPENSES TROP!   "))))))),"")</f>
        <v/>
      </c>
      <c r="C58" s="261"/>
      <c r="D58" s="261"/>
      <c r="E58" s="261"/>
      <c r="F58" s="261"/>
      <c r="G58" s="32"/>
      <c r="H58" s="32"/>
      <c r="I58" s="32"/>
      <c r="J58" s="32"/>
      <c r="K58" s="45" t="s">
        <v>252</v>
      </c>
      <c r="L58" s="45" t="s">
        <v>256</v>
      </c>
      <c r="M58" s="45" t="s">
        <v>254</v>
      </c>
      <c r="N58" s="45" t="s">
        <v>255</v>
      </c>
      <c r="O58" s="45" t="s">
        <v>253</v>
      </c>
      <c r="P58" s="32"/>
      <c r="Q58" s="45" t="s">
        <v>252</v>
      </c>
      <c r="R58" s="45" t="s">
        <v>256</v>
      </c>
      <c r="S58" s="45" t="s">
        <v>254</v>
      </c>
      <c r="T58" s="45" t="s">
        <v>255</v>
      </c>
      <c r="U58" s="45" t="s">
        <v>253</v>
      </c>
      <c r="V58" s="32"/>
      <c r="W58" s="45" t="s">
        <v>252</v>
      </c>
      <c r="X58" s="45" t="s">
        <v>256</v>
      </c>
      <c r="Y58" s="45" t="s">
        <v>254</v>
      </c>
      <c r="Z58" s="45" t="s">
        <v>255</v>
      </c>
      <c r="AA58" s="45" t="s">
        <v>253</v>
      </c>
      <c r="AB58" s="32"/>
      <c r="AC58" s="45" t="s">
        <v>252</v>
      </c>
      <c r="AD58" s="45" t="s">
        <v>256</v>
      </c>
      <c r="AE58" s="45" t="s">
        <v>254</v>
      </c>
      <c r="AF58" s="45" t="s">
        <v>255</v>
      </c>
      <c r="AG58" s="45" t="s">
        <v>253</v>
      </c>
      <c r="AH58" s="32"/>
      <c r="AI58" s="32"/>
      <c r="AJ58" s="32"/>
      <c r="AK58" s="45" t="s">
        <v>252</v>
      </c>
      <c r="AL58" s="45" t="s">
        <v>256</v>
      </c>
      <c r="AM58" s="45" t="s">
        <v>254</v>
      </c>
      <c r="AN58" s="45" t="s">
        <v>255</v>
      </c>
      <c r="AO58" s="45" t="s">
        <v>253</v>
      </c>
      <c r="AP58" s="31"/>
      <c r="AQ58" s="31"/>
      <c r="AR58" s="32">
        <v>0</v>
      </c>
      <c r="AS58" s="32"/>
      <c r="AT58" s="32"/>
      <c r="AU58" s="32"/>
      <c r="AV58" s="32"/>
      <c r="AW58" s="32"/>
      <c r="AX58" s="32">
        <f>COUNTIF(BS39:BX54,"P")</f>
        <v>7</v>
      </c>
      <c r="AY58" s="32">
        <f>COUNTIF(BS39:BX54,"S")</f>
        <v>0</v>
      </c>
      <c r="AZ58" s="32">
        <f>AX58+AY58</f>
        <v>7</v>
      </c>
      <c r="BA58" s="32">
        <f>COUNTIF(BS39:BX54,"STAT")</f>
        <v>0</v>
      </c>
      <c r="BB58" s="32">
        <f>COUNTIF(I18:I19,1)</f>
        <v>0</v>
      </c>
      <c r="BC58" s="32"/>
      <c r="BD58" s="92" t="s">
        <v>294</v>
      </c>
      <c r="BE58" s="93">
        <v>100000</v>
      </c>
      <c r="BF58" s="93"/>
      <c r="BG58" s="32"/>
      <c r="BH58" s="92" t="str">
        <f>IF(J24="English","HIRELING SPORT-WIZARD",(IF(J24="Español","HECHICERO-DEPORTIVO MERCENARIO",(IF(J24="Deutsch","SPORT-ZAUBERER",(IF(J24="Français","SORCIER-SPORTIF A GAGES")))))))</f>
        <v>HIRELING SPORT-WIZARD</v>
      </c>
      <c r="BI58" s="93">
        <v>150000</v>
      </c>
      <c r="BJ58" s="93"/>
      <c r="BK58" s="32"/>
      <c r="BL58" s="92" t="str">
        <f>IF($J$24="English","RANULF ‘RED’ HOKULI",(IF($J$24="Español","RANULF ‘RED’ HOKULI",(IF($J$24="Deutsch","RANULF ‘RED’ HOKULI",(IF($J$24="Français","RANULF ‘RED’ HOKULI")))))))</f>
        <v>RANULF ‘RED’ HOKULI</v>
      </c>
      <c r="BM58" s="93">
        <f>IFERROR((IF(OR(COUNTIF($BU$2,"*LustrianSuperleague*"),COUNTIF($BU$2,"*OldWorldClassic*")),130000,0)),0)</f>
        <v>0</v>
      </c>
      <c r="BN58" s="93"/>
      <c r="BO58" s="92" t="str">
        <f>IF($J$24="English","WAAAGH! DRUMMER",(IF($J$24="Español","WAAAGH! DRUMMER",(IF($J$24="Deutsch","WAAAGH! DRUMMER",(IF($J$24="Français","WAAAGH! DRUMMER")))))))</f>
        <v>WAAAGH! DRUMMER</v>
      </c>
      <c r="BP58" s="93">
        <f>IFERROR((IF(OR(COUNTIF($BU$2,"*BadlandsBrawl*")),50000,0)),0)</f>
        <v>0</v>
      </c>
      <c r="BQ58" s="2"/>
      <c r="BR58" s="92" t="str">
        <f>IF($J$24="English","MCMURTY’S BURGER EMPORIUM",(IF($J$24="Español","MCMURTY’S BURGER EMPORIUM",(IF($J$24="Deutsch","MCMURTY’S BURGER EMPORIUM",(IF($J$24="Français","MCMURTY’S BURGER EMPORIUM")))))))</f>
        <v>MCMURTY’S BURGER EMPORIUM</v>
      </c>
      <c r="BS58" s="32" t="str">
        <f t="shared" ref="BS58:BZ58" si="115">""</f>
        <v/>
      </c>
      <c r="BT58" s="32" t="str">
        <f t="shared" si="115"/>
        <v/>
      </c>
      <c r="BU58" s="32" t="str">
        <f t="shared" si="115"/>
        <v/>
      </c>
      <c r="BV58" s="32" t="str">
        <f t="shared" si="115"/>
        <v/>
      </c>
      <c r="BW58" s="32" t="str">
        <f t="shared" si="115"/>
        <v/>
      </c>
      <c r="BX58" s="32" t="str">
        <f t="shared" si="115"/>
        <v/>
      </c>
      <c r="BY58" s="32" t="str">
        <f t="shared" si="115"/>
        <v/>
      </c>
      <c r="BZ58" s="32" t="str">
        <f t="shared" si="115"/>
        <v/>
      </c>
      <c r="CA58" s="33" t="str">
        <f>IF(J24="English","Chosen",(IF(J24="Español","Elegida",(IF(J24="Deutsch","Gewählt",(IF(J24="Français","Choisie")))))))</f>
        <v>Chosen</v>
      </c>
      <c r="CB58" s="33" t="str">
        <f>IF(J24="English","MA+",(IF(J24="Español","MO+",(IF(J24="Deutsch","BE+",(IF(J24="Français","M+")))))))</f>
        <v>MA+</v>
      </c>
      <c r="CC58" s="32" t="s">
        <v>252</v>
      </c>
      <c r="CD58" s="2"/>
      <c r="CE58" s="32"/>
      <c r="CF58" s="33"/>
      <c r="CG58" s="87" t="str">
        <f t="shared" ref="CG58:CG138" si="116">IFERROR((IF($CG$55="M",BW58,IF($CG$55="PM",BY58,IF($CG$55="P",BU58,IF($CG$55="FULL",BS58))))),"")</f>
        <v/>
      </c>
      <c r="CH58" s="87" t="str">
        <f t="shared" ref="CH58:CH137" si="117">IFERROR((IF($CH$55="M",BW58,IF($CH$55="PM",BY58,IF($CH$55="P",BU58,IF($CH$55="FULL",BS58))))),"")</f>
        <v/>
      </c>
      <c r="CI58" s="87" t="str">
        <f t="shared" ref="CI58:CI137" si="118">IFERROR((IF($CI$55="M",BW58,IF($CI$55="PM",BY58,IF($CI$55="P",BU58,IF($CI$55="FULL",BS58))))),"")</f>
        <v/>
      </c>
      <c r="CJ58" s="87" t="str">
        <f t="shared" ref="CJ58:CJ137" si="119">IFERROR((IF($CJ$55="M",BW58,IF($CJ$55="PM",BY58,IF($CJ$55="P",BU58,IF($CJ$55="FULL",BS58))))),"")</f>
        <v/>
      </c>
      <c r="CK58" s="87" t="str">
        <f t="shared" ref="CK58:CK137" si="120">IFERROR((IF($CK$55="M",BW58,IF($CK$55="PM",BY58,IF($CK$55="P",BU58,IF($CK$55="FULL",BS58))))),"")</f>
        <v/>
      </c>
      <c r="CL58" s="87" t="str">
        <f t="shared" ref="CL58:CL137" si="121">IFERROR((IF($CL$55="M",BW58,IF($CL$55="PM",BY58,IF($CL$55="P",BU58,IF($CL$55="FULL",BS58))))),"")</f>
        <v/>
      </c>
      <c r="CM58" s="87" t="str">
        <f t="shared" ref="CM58:CM137" si="122">IFERROR((IF($CM$55="M",BW58,IF($CM$55="PM",BY58,IF($CM$55="P",BU58,IF($CM$55="FULL",BS58))))),"")</f>
        <v/>
      </c>
      <c r="CN58" s="87" t="str">
        <f t="shared" ref="CN58:CN137" si="123">IFERROR((IF($CN$55="M",BW58,IF($CN$55="PM",BY58,IF($CN$55="P",BU58,IF($CN$55="FULL",BS58))))),"")</f>
        <v/>
      </c>
      <c r="CO58" s="87" t="str">
        <f t="shared" ref="CO58:CO137" si="124">IFERROR((IF($CO$55="M",BW58,IF($CO$55="PM",BY58,IF($CO$55="P",BU58,IF($CO$55="FULL",BS58))))),"")</f>
        <v/>
      </c>
      <c r="CP58" s="87" t="str">
        <f t="shared" ref="CP58:CP137" si="125">IFERROR((IF($CP$55="M",BW58,IF($CP$55="PM",BY58,IF($CP$55="P",BU58,IF($CP$55="FULL",BS58))))),"")</f>
        <v/>
      </c>
      <c r="CQ58" s="87" t="str">
        <f t="shared" ref="CQ58:CQ137" si="126">IFERROR((IF($CQ$55="M",BW58,IF($CQ$55="PM",BY58,IF($CQ$55="P",BU58,IF($CQ$55="FULL",BS58))))),"")</f>
        <v/>
      </c>
      <c r="CR58" s="87" t="str">
        <f t="shared" ref="CR58:CR137" si="127">IFERROR((IF($CR$55="M",BW58,IF($CR$55="PM",BY58,IF($CR$55="P",BU58,IF($CR$55="FULL",BS58))))),"")</f>
        <v/>
      </c>
      <c r="CS58" s="87" t="b">
        <f t="shared" ref="CS58:CS137" si="128">IFERROR((IF($CS$55="M",BW58,IF($CS$55="PM",BY58,IF($CS$55="P",BU58,IF($CS$55="FULL",BS58))))),"")</f>
        <v>0</v>
      </c>
      <c r="CT58" s="87" t="b">
        <f t="shared" ref="CT58:CT137" si="129">IFERROR((IF($CT$55="M",BW58,IF($CT$55="PM",BY58,IF($CT$55="P",BU58,IF($CT$55="FULL",BS58))))),"")</f>
        <v>0</v>
      </c>
      <c r="CU58" s="87" t="b">
        <f t="shared" ref="CU58:CU137" si="130">IFERROR((IF($CU$55="M",BW58,IF($CU$55="PM",BY58,IF($CU$55="P",BU58,IF($CU$55="FULL",BS58))))),"")</f>
        <v>0</v>
      </c>
      <c r="CV58" s="87" t="b">
        <f t="shared" ref="CV58:CV123" si="131">IFERROR((IF($CV$55="M",BW58,IF($CV$55="PM",BY58,IF($CV$55="P",BU58,IF($CV$55="FULL",BS58))))),"")</f>
        <v>0</v>
      </c>
      <c r="CW58" s="2"/>
      <c r="CX58" s="2"/>
      <c r="CY58" s="2"/>
      <c r="CZ58" s="32"/>
      <c r="DA58" s="2"/>
      <c r="DB58" s="2"/>
    </row>
    <row r="59" spans="1:106" ht="15" hidden="1" customHeight="1">
      <c r="A59" s="32"/>
      <c r="B59" s="67"/>
      <c r="C59" s="67"/>
      <c r="D59" s="67"/>
      <c r="E59" s="67"/>
      <c r="F59" s="67"/>
      <c r="G59" s="32"/>
      <c r="H59" s="32"/>
      <c r="I59" s="32"/>
      <c r="J59" s="32"/>
      <c r="K59" s="31">
        <f t="shared" ref="K59:K74" si="132">IF(Q59=0,0,(IF(Q59&gt;9,9,(IF(Q59&lt;1,1,Q59)))))</f>
        <v>4</v>
      </c>
      <c r="L59" s="31">
        <f t="shared" ref="L59:L74" si="133">IF(R59=0,0,(IF(R59&gt;8,8,(IF(R59&lt;1,1,R59)))))</f>
        <v>4</v>
      </c>
      <c r="M59" s="31">
        <f t="shared" ref="M59:N59" si="134">IF(S59=0,0,(IF(S59&gt;6,6,(IF(S59&lt;1,1,S59)))))</f>
        <v>4</v>
      </c>
      <c r="N59" s="32">
        <f t="shared" si="134"/>
        <v>0</v>
      </c>
      <c r="O59" s="31">
        <f t="shared" ref="O59:O74" si="135">IF(U59=0,0,(IF(U59&gt;11,11,(IF(U59&lt;3,3,U59)))))</f>
        <v>10</v>
      </c>
      <c r="P59" s="32"/>
      <c r="Q59" s="31">
        <f>IFERROR((VLOOKUP($BO$1&amp;C2,Teams!D:M,2,0)+AK59+AC59),0)</f>
        <v>4</v>
      </c>
      <c r="R59" s="31">
        <f>IFERROR((VLOOKUP($BO$1&amp;C2,Teams!D:M,3,0)+AL59+AD59),0)</f>
        <v>4</v>
      </c>
      <c r="S59" s="31">
        <f>IFERROR((VLOOKUP($BO$1&amp;C2,Teams!D:M,4,0)+AM59-AE59),0)</f>
        <v>4</v>
      </c>
      <c r="T59" s="31">
        <f>IFERROR((VLOOKUP($BO$1&amp;C2,Teams!D:M,5,0)+AN59-AF59),0)</f>
        <v>0</v>
      </c>
      <c r="U59" s="31">
        <f>IFERROR((VLOOKUP($BO$1&amp;C2,Teams!D:M,6,0)+AO59+AG59),0)</f>
        <v>10</v>
      </c>
      <c r="V59" s="32"/>
      <c r="W59" s="32">
        <f>IFERROR((VLOOKUP($BO$1&amp;C2,Teams!D:M,2,0)),0)</f>
        <v>4</v>
      </c>
      <c r="X59" s="32">
        <f>IFERROR((VLOOKUP($BO$1&amp;C2,Teams!D:M,3,0)),0)</f>
        <v>4</v>
      </c>
      <c r="Y59" s="32">
        <f>IFERROR((VLOOKUP($BO$1&amp;C2,Teams!D:M,4,0)),0)</f>
        <v>4</v>
      </c>
      <c r="Z59" s="32">
        <f>IFERROR((VLOOKUP($BO$1&amp;C2,Teams!D:M,5,0)),0)</f>
        <v>0</v>
      </c>
      <c r="AA59" s="32">
        <f>IFERROR((VLOOKUP($BO$1&amp;C2,Teams!D:M,6,0)),0)</f>
        <v>10</v>
      </c>
      <c r="AB59" s="32"/>
      <c r="AC59" s="32">
        <f t="shared" ref="AC59:AC74" si="136">IF((COUNTIF(BK39:BP39,"MA"))&gt;2,2,(COUNTIF(BK39:BP39,"MA")))</f>
        <v>0</v>
      </c>
      <c r="AD59" s="32">
        <f t="shared" ref="AD59:AD74" si="137">IF((COUNTIF(BK39:BP39,"ST"))&gt;2,2,(COUNTIF(BK39:BP39,"ST")))</f>
        <v>0</v>
      </c>
      <c r="AE59" s="32">
        <f t="shared" ref="AE59:AE74" si="138">IF((COUNTIF(BK39:BP39,"AG"))&gt;2,2,(COUNTIF(BK39:BP39,"AG")))</f>
        <v>0</v>
      </c>
      <c r="AF59" s="32">
        <f t="shared" ref="AF59:AF74" si="139">IF((COUNTIF(BK39:BP39,"PA"))&gt;2,2,(COUNTIF(BK39:BP39,"PA")))</f>
        <v>0</v>
      </c>
      <c r="AG59" s="32">
        <f t="shared" ref="AG59:AG74" si="140">IF((COUNTIF(BK39:BP39,"AV"))&gt;2,2,(COUNTIF(BK39:BP39,"AV")))</f>
        <v>0</v>
      </c>
      <c r="AH59" s="32"/>
      <c r="AI59" s="32" t="str">
        <f>IF(J24="English","NI",(IF(J24="Español","LP",(IF(J24="Deutsch","HV",(IF(J24="Français","BP")))))))</f>
        <v>NI</v>
      </c>
      <c r="AJ59" s="32"/>
      <c r="AK59" s="31">
        <f t="shared" ref="AK59:AL59" si="141">AK36</f>
        <v>0</v>
      </c>
      <c r="AL59" s="31">
        <f t="shared" si="141"/>
        <v>0</v>
      </c>
      <c r="AM59" s="31">
        <f t="shared" ref="AM59:AM74" si="142">AN36</f>
        <v>0</v>
      </c>
      <c r="AN59" s="31">
        <f t="shared" ref="AN59:AN74" si="143">AM36</f>
        <v>0</v>
      </c>
      <c r="AO59" s="31">
        <f t="shared" ref="AO59:AO74" si="144">AO36</f>
        <v>0</v>
      </c>
      <c r="AP59" s="31"/>
      <c r="AQ59" s="31"/>
      <c r="AR59" s="31">
        <v>900000</v>
      </c>
      <c r="AS59" s="31"/>
      <c r="AT59" s="31"/>
      <c r="AU59" s="31"/>
      <c r="AV59" s="31"/>
      <c r="AW59" s="31"/>
      <c r="AX59" s="77"/>
      <c r="AY59" s="32"/>
      <c r="AZ59" s="32"/>
      <c r="BA59" s="32"/>
      <c r="BB59" s="32"/>
      <c r="BC59" s="32"/>
      <c r="BD59" s="92" t="str">
        <f>IF(J24="English","KARI COLDSTEEL",(IF(J24="Español","KARI COLDSTEEL",(IF(J24="Deutsch","KARI COLDSTEEL",(IF(J24="Français","KARI COLDSTEEL")))))))</f>
        <v>KARI COLDSTEEL</v>
      </c>
      <c r="BE59" s="93">
        <f>IFERROR((IF(OR(COUNTIF($BU$2,"*ElvenKingdomsLeague*"),COUNTIF($BU$2,"*LustrianSuperleague*"),COUNTIF($BU$2,"*OldWorldClassic*"),COUNTIF($BU$2,"*WorldsEdgeSuperleague*")),50000,0)),0)</f>
        <v>0</v>
      </c>
      <c r="BF59" s="93"/>
      <c r="BG59" s="2"/>
      <c r="BH59" s="92" t="str">
        <f>IF($J$24="English","CHAOS SORCERER",(IF($J$24="Español","CHAOS SORCERER",(IF($J$24="Deutsch","CHAOS SORCERER",(IF($J$24="Français","CHAOS SORCERER")))))))</f>
        <v>CHAOS SORCERER</v>
      </c>
      <c r="BI59" s="93">
        <f>IFERROR((IF(OR(COUNTIF($BU$2,"*Favouredof*"),COUNTIF($BU$2,"*UnderworldChallenge*")),150000,0)),0)</f>
        <v>0</v>
      </c>
      <c r="BJ59" s="93"/>
      <c r="BK59" s="32"/>
      <c r="BL59" s="92" t="str">
        <f>IF($J$24="English","THORON KORENSSON",(IF($J$24="Español","THORON KORENSSON",(IF($J$24="Deutsch","THORON KORENSSON",(IF($J$24="Français","THORON KORENSSON")))))))</f>
        <v>THORON KORENSSON</v>
      </c>
      <c r="BM59" s="93">
        <f>IFERROR((IF(OR(COUNTIF($BU$2,"*WorldsEdgeSuperleague*")),120000,0)),0)</f>
        <v>0</v>
      </c>
      <c r="BN59" s="93"/>
      <c r="BO59" s="92" t="str">
        <f>IF($J$24="English","CAVORTING NURGLINGS",(IF($J$24="Español","CAVORTING NURGLINGS",(IF($J$24="Deutsch","CAVORTING NURGLINGS",(IF($J$24="Français","CAVORTING NURGLINGS")))))))</f>
        <v>CAVORTING NURGLINGS</v>
      </c>
      <c r="BP59" s="93">
        <f>IFERROR((IF(OR(COUNTIF(AJ31,"*Nurgle*")),30000,0)),0)</f>
        <v>0</v>
      </c>
      <c r="BQ59" s="2"/>
      <c r="BR59" s="92" t="str">
        <f>IF($J$24="English","FARBLAST &amp; SONS ORDNANCE SOLUTIONS",(IF($J$24="Español","FARBLAST &amp; SONS ORDNANCE SOLUTIONS",(IF($J$24="Deutsch","FARBLAST &amp; SONS ORDNANCE SOLUTIONS",(IF($J$24="Français","FARBLAST &amp; SONS ORDNANCE SOLUTIONS")))))))</f>
        <v>FARBLAST &amp; SONS ORDNANCE SOLUTIONS</v>
      </c>
      <c r="BS59" s="33" t="str">
        <f>IF($J$24="English","MA+",(IF($J$24="Español","MO+",(IF($J$24="Deutsch","BE+",(IF($J$24="Français","M+")))))))</f>
        <v>MA+</v>
      </c>
      <c r="BT59" s="32" t="s">
        <v>252</v>
      </c>
      <c r="BU59" s="33" t="str">
        <f>IF($J$24="English","MA+",(IF($J$24="Español","MO+",(IF($J$24="Deutsch","BE+",(IF($J$24="Français","M+")))))))</f>
        <v>MA+</v>
      </c>
      <c r="BV59" s="32" t="s">
        <v>252</v>
      </c>
      <c r="BW59" s="33" t="str">
        <f>IF($J$24="English","MA+",(IF($J$24="Español","MO+",(IF($J$24="Deutsch","BE+",(IF($J$24="Français","M+")))))))</f>
        <v>MA+</v>
      </c>
      <c r="BX59" s="32" t="s">
        <v>252</v>
      </c>
      <c r="BY59" s="33" t="str">
        <f>IF($J$24="English","MA+",(IF($J$24="Español","MO+",(IF($J$24="Deutsch","BE+",(IF($J$24="Français","M+")))))))</f>
        <v>MA+</v>
      </c>
      <c r="BZ59" s="32" t="s">
        <v>252</v>
      </c>
      <c r="CA59" s="33" t="str">
        <f>IF(J24="English","Random",(IF(J24="Español","Aleatoria",(IF(J24="Deutsch","Zufällig",(IF(J24="Français","Aléatoire")))))))</f>
        <v>Random</v>
      </c>
      <c r="CB59" s="33" t="str">
        <f>IF(J24="English","AV+",(IF(J24="Español","AR+",(IF(J24="Deutsch","RW+",(IF(J24="Français","AR+")))))))</f>
        <v>AV+</v>
      </c>
      <c r="CC59" s="32" t="s">
        <v>253</v>
      </c>
      <c r="CD59" s="2"/>
      <c r="CE59" s="32"/>
      <c r="CF59" s="33"/>
      <c r="CG59" s="87" t="str">
        <f t="shared" si="116"/>
        <v>MA+</v>
      </c>
      <c r="CH59" s="87" t="str">
        <f t="shared" si="117"/>
        <v>MA+</v>
      </c>
      <c r="CI59" s="87" t="str">
        <f t="shared" si="118"/>
        <v>MA+</v>
      </c>
      <c r="CJ59" s="87" t="str">
        <f t="shared" si="119"/>
        <v>MA+</v>
      </c>
      <c r="CK59" s="87" t="str">
        <f t="shared" si="120"/>
        <v>MA+</v>
      </c>
      <c r="CL59" s="87" t="str">
        <f t="shared" si="121"/>
        <v>MA+</v>
      </c>
      <c r="CM59" s="87" t="str">
        <f t="shared" si="122"/>
        <v>MA+</v>
      </c>
      <c r="CN59" s="87" t="str">
        <f t="shared" si="123"/>
        <v>MA+</v>
      </c>
      <c r="CO59" s="87" t="str">
        <f t="shared" si="124"/>
        <v>MA+</v>
      </c>
      <c r="CP59" s="87" t="str">
        <f t="shared" si="125"/>
        <v>MA+</v>
      </c>
      <c r="CQ59" s="87" t="str">
        <f t="shared" si="126"/>
        <v>MA+</v>
      </c>
      <c r="CR59" s="87" t="str">
        <f t="shared" si="127"/>
        <v>MA+</v>
      </c>
      <c r="CS59" s="87" t="b">
        <f t="shared" si="128"/>
        <v>0</v>
      </c>
      <c r="CT59" s="87" t="b">
        <f t="shared" si="129"/>
        <v>0</v>
      </c>
      <c r="CU59" s="87" t="b">
        <f t="shared" si="130"/>
        <v>0</v>
      </c>
      <c r="CV59" s="87" t="b">
        <f t="shared" si="131"/>
        <v>0</v>
      </c>
      <c r="CW59" s="2"/>
      <c r="CX59" s="2"/>
      <c r="CY59" s="2"/>
      <c r="CZ59" s="32"/>
      <c r="DA59" s="2"/>
      <c r="DB59" s="2"/>
    </row>
    <row r="60" spans="1:106" ht="15" hidden="1" customHeight="1">
      <c r="A60" s="32"/>
      <c r="B60" s="67"/>
      <c r="C60" s="67"/>
      <c r="D60" s="67"/>
      <c r="E60" s="67"/>
      <c r="F60" s="67"/>
      <c r="G60" s="32"/>
      <c r="H60" s="32"/>
      <c r="I60" s="32"/>
      <c r="J60" s="32"/>
      <c r="K60" s="31">
        <f t="shared" si="132"/>
        <v>4</v>
      </c>
      <c r="L60" s="31">
        <f t="shared" si="133"/>
        <v>4</v>
      </c>
      <c r="M60" s="31">
        <f t="shared" ref="M60:N60" si="145">IF(S60=0,0,(IF(S60&gt;6,6,(IF(S60&lt;1,1,S60)))))</f>
        <v>4</v>
      </c>
      <c r="N60" s="32">
        <f t="shared" si="145"/>
        <v>0</v>
      </c>
      <c r="O60" s="31">
        <f t="shared" si="135"/>
        <v>10</v>
      </c>
      <c r="P60" s="32"/>
      <c r="Q60" s="31">
        <f>IFERROR((VLOOKUP($BO$1&amp;C3,Teams!D:M,2,0)+AK60+AC60),0)</f>
        <v>4</v>
      </c>
      <c r="R60" s="31">
        <f>IFERROR((VLOOKUP($BO$1&amp;C3,Teams!D:M,3,0)+AL60+AD60),0)</f>
        <v>4</v>
      </c>
      <c r="S60" s="31">
        <f>IFERROR((VLOOKUP($BO$1&amp;C3,Teams!D:M,4,0)+AM60-AE60),0)</f>
        <v>4</v>
      </c>
      <c r="T60" s="31">
        <f>IFERROR((VLOOKUP($BO$1&amp;C3,Teams!D:M,5,0)+AN60-AF60),0)</f>
        <v>0</v>
      </c>
      <c r="U60" s="31">
        <f>IFERROR((VLOOKUP($BO$1&amp;C3,Teams!D:M,6,0)+AO60+AG60),0)</f>
        <v>10</v>
      </c>
      <c r="V60" s="32"/>
      <c r="W60" s="32">
        <f>IFERROR((VLOOKUP($BO$1&amp;C3,Teams!D:M,2,0)),0)</f>
        <v>4</v>
      </c>
      <c r="X60" s="32">
        <f>IFERROR((VLOOKUP($BO$1&amp;C3,Teams!D:M,3,0)),0)</f>
        <v>4</v>
      </c>
      <c r="Y60" s="32">
        <f>IFERROR((VLOOKUP($BO$1&amp;C3,Teams!D:M,4,0)),0)</f>
        <v>4</v>
      </c>
      <c r="Z60" s="32">
        <f>IFERROR((VLOOKUP($BO$1&amp;C3,Teams!D:M,5,0)),0)</f>
        <v>0</v>
      </c>
      <c r="AA60" s="32">
        <f>IFERROR((VLOOKUP($BO$1&amp;C3,Teams!D:M,6,0)),0)</f>
        <v>10</v>
      </c>
      <c r="AB60" s="32"/>
      <c r="AC60" s="32">
        <f t="shared" si="136"/>
        <v>0</v>
      </c>
      <c r="AD60" s="32">
        <f t="shared" si="137"/>
        <v>0</v>
      </c>
      <c r="AE60" s="32">
        <f t="shared" si="138"/>
        <v>0</v>
      </c>
      <c r="AF60" s="32">
        <f t="shared" si="139"/>
        <v>0</v>
      </c>
      <c r="AG60" s="32">
        <f t="shared" si="140"/>
        <v>0</v>
      </c>
      <c r="AH60" s="32"/>
      <c r="AI60" s="94" t="str">
        <f>""</f>
        <v/>
      </c>
      <c r="AJ60" s="32"/>
      <c r="AK60" s="31">
        <f t="shared" ref="AK60:AL60" si="146">AK37</f>
        <v>0</v>
      </c>
      <c r="AL60" s="31">
        <f t="shared" si="146"/>
        <v>0</v>
      </c>
      <c r="AM60" s="31">
        <f t="shared" si="142"/>
        <v>0</v>
      </c>
      <c r="AN60" s="31">
        <f t="shared" si="143"/>
        <v>0</v>
      </c>
      <c r="AO60" s="31">
        <f t="shared" si="144"/>
        <v>0</v>
      </c>
      <c r="AP60" s="32"/>
      <c r="AQ60" s="32"/>
      <c r="AR60" s="31">
        <v>910000</v>
      </c>
      <c r="AS60" s="31"/>
      <c r="AT60" s="31"/>
      <c r="AU60" s="31"/>
      <c r="AV60" s="31"/>
      <c r="AW60" s="31"/>
      <c r="AX60" s="32"/>
      <c r="AY60" s="32">
        <v>0</v>
      </c>
      <c r="AZ60" s="32"/>
      <c r="BA60" s="32" t="s">
        <v>203</v>
      </c>
      <c r="BB60" s="32"/>
      <c r="BC60" s="32"/>
      <c r="BD60" s="92" t="str">
        <f>IF(J24="English","PAPA SKULLBONES",(IF(J24="Español","PAPA SKULLBONES",(IF(J24="Deutsch","PAPA SKULLBONES",(IF(J24="Français","PAPA SKULLBONES")))))))</f>
        <v>PAPA SKULLBONES</v>
      </c>
      <c r="BE60" s="93">
        <f>IFERROR((IF(OR(COUNTIF($BU$2,"*Favouredof*"),COUNTIF($BU$2,"*UnderworldChallenge*")),80000,0)),0)</f>
        <v>0</v>
      </c>
      <c r="BF60" s="2"/>
      <c r="BG60" s="2"/>
      <c r="BH60" s="92" t="str">
        <f>IF($J$24="English","DRUCHII SPORTS SORCERESS",(IF($J$24="Español","DRUCHII SPORTS SORCERESS",(IF($J$24="Deutsch","DRUCHII SPORTS SORCERESS",(IF($J$24="Français","DRUCHII SPORTS SORCERESS")))))))</f>
        <v>DRUCHII SPORTS SORCERESS</v>
      </c>
      <c r="BI60" s="93">
        <f>IFERROR((IF(OR(COUNTIF($BU$2,"*Favouredof*"),COUNTIF($BU$2,"*ElvenKingdomsLeague*")),150000,0)),0)</f>
        <v>0</v>
      </c>
      <c r="BJ60" s="2"/>
      <c r="BK60" s="32"/>
      <c r="BL60" s="92" t="str">
        <f>IF($J$24="English","JORM THE OGRE",(IF($J$24="Español","JORM THE OGRE",(IF($J$24="Deutsch","JORM THE OGRE",(IF($J$24="Français","JORM THE OGRE")))))))</f>
        <v>JORM THE OGRE</v>
      </c>
      <c r="BM60" s="93">
        <f>IFERROR(IF($BV$2="Bribery and Corruption",80000,120000),0)</f>
        <v>120000</v>
      </c>
      <c r="BN60" s="32"/>
      <c r="BO60" s="92" t="str">
        <f>IF($J$24="English","DWARFEN RUNESMITH",(IF($J$24="Español","DWARFEN RUNESMITH",(IF($J$24="Deutsch","DWARFEN RUNESMITH",(IF($J$24="Français","DWARFEN RUNESMITH")))))))</f>
        <v>DWARFEN RUNESMITH</v>
      </c>
      <c r="BP60" s="93">
        <f>IFERROR((IF(OR(COUNTIF($BU$2,"*OldWorldClassic*"),COUNTIF($BU$2,"*WorldsEdgeSuperleague*")),50000,0)),0)</f>
        <v>0</v>
      </c>
      <c r="BQ60" s="2"/>
      <c r="BR60" s="92" t="str">
        <f>IF($J$24="English","STAR INSURANCE GUILD",(IF($J$24="Español","STAR INSURANCE GUILD",(IF($J$24="Deutsch","STAR INSURANCE GUILD",(IF($J$24="Français","STAR INSURANCE GUILD")))))))</f>
        <v>STAR INSURANCE GUILD</v>
      </c>
      <c r="BS60" s="33" t="str">
        <f>IF($J$24="English","AV+",(IF($J$24="Español","AR+",(IF($J$24="Deutsch","RW+",(IF($J$24="Français","AR+")))))))</f>
        <v>AV+</v>
      </c>
      <c r="BT60" s="32" t="s">
        <v>253</v>
      </c>
      <c r="BU60" s="33" t="str">
        <f>IF($J$24="English","AV+",(IF($J$24="Español","AR+",(IF($J$24="Deutsch","RW+",(IF($J$24="Français","AR+")))))))</f>
        <v>AV+</v>
      </c>
      <c r="BV60" s="32" t="s">
        <v>253</v>
      </c>
      <c r="BW60" s="33" t="str">
        <f>IF($J$24="English","AV+",(IF($J$24="Español","AR+",(IF($J$24="Deutsch","RW+",(IF($J$24="Français","AR+")))))))</f>
        <v>AV+</v>
      </c>
      <c r="BX60" s="32" t="s">
        <v>253</v>
      </c>
      <c r="BY60" s="33" t="str">
        <f>IF($J$24="English","AV+",(IF($J$24="Español","AR+",(IF($J$24="Deutsch","RW+",(IF($J$24="Français","AR+")))))))</f>
        <v>AV+</v>
      </c>
      <c r="BZ60" s="32" t="s">
        <v>253</v>
      </c>
      <c r="CA60" s="33"/>
      <c r="CB60" s="33" t="str">
        <f>IF(J24="English","AG-",(IF(J24="Español","AG-",(IF(J24="Deutsch","GE-",(IF(J24="Français","AG-")))))))</f>
        <v>AG-</v>
      </c>
      <c r="CC60" s="32" t="s">
        <v>254</v>
      </c>
      <c r="CD60" s="2"/>
      <c r="CE60" s="32"/>
      <c r="CF60" s="33"/>
      <c r="CG60" s="87" t="str">
        <f t="shared" si="116"/>
        <v>AV+</v>
      </c>
      <c r="CH60" s="87" t="str">
        <f t="shared" si="117"/>
        <v>AV+</v>
      </c>
      <c r="CI60" s="87" t="str">
        <f t="shared" si="118"/>
        <v>AV+</v>
      </c>
      <c r="CJ60" s="87" t="str">
        <f t="shared" si="119"/>
        <v>AV+</v>
      </c>
      <c r="CK60" s="87" t="str">
        <f t="shared" si="120"/>
        <v>AV+</v>
      </c>
      <c r="CL60" s="87" t="str">
        <f t="shared" si="121"/>
        <v>AV+</v>
      </c>
      <c r="CM60" s="87" t="str">
        <f t="shared" si="122"/>
        <v>AV+</v>
      </c>
      <c r="CN60" s="87" t="str">
        <f t="shared" si="123"/>
        <v>AV+</v>
      </c>
      <c r="CO60" s="87" t="str">
        <f t="shared" si="124"/>
        <v>AV+</v>
      </c>
      <c r="CP60" s="87" t="str">
        <f t="shared" si="125"/>
        <v>AV+</v>
      </c>
      <c r="CQ60" s="87" t="str">
        <f t="shared" si="126"/>
        <v>AV+</v>
      </c>
      <c r="CR60" s="87" t="str">
        <f t="shared" si="127"/>
        <v>AV+</v>
      </c>
      <c r="CS60" s="87" t="b">
        <f t="shared" si="128"/>
        <v>0</v>
      </c>
      <c r="CT60" s="87" t="b">
        <f t="shared" si="129"/>
        <v>0</v>
      </c>
      <c r="CU60" s="87" t="b">
        <f t="shared" si="130"/>
        <v>0</v>
      </c>
      <c r="CV60" s="87" t="b">
        <f t="shared" si="131"/>
        <v>0</v>
      </c>
      <c r="CW60" s="2"/>
      <c r="CX60" s="2"/>
      <c r="CY60" s="2"/>
      <c r="CZ60" s="32"/>
      <c r="DA60" s="2"/>
      <c r="DB60" s="2"/>
    </row>
    <row r="61" spans="1:106" ht="15" hidden="1" customHeight="1">
      <c r="A61" s="32"/>
      <c r="B61" s="67"/>
      <c r="C61" s="67"/>
      <c r="D61" s="67"/>
      <c r="E61" s="67"/>
      <c r="F61" s="67"/>
      <c r="G61" s="32"/>
      <c r="H61" s="32"/>
      <c r="I61" s="32"/>
      <c r="J61" s="32"/>
      <c r="K61" s="31">
        <f t="shared" si="132"/>
        <v>8</v>
      </c>
      <c r="L61" s="31">
        <f t="shared" si="133"/>
        <v>3</v>
      </c>
      <c r="M61" s="31">
        <f t="shared" ref="M61:N61" si="147">IF(S61=0,0,(IF(S61&gt;6,6,(IF(S61&lt;1,1,S61)))))</f>
        <v>3</v>
      </c>
      <c r="N61" s="31">
        <f t="shared" si="147"/>
        <v>4</v>
      </c>
      <c r="O61" s="31">
        <f t="shared" si="135"/>
        <v>9</v>
      </c>
      <c r="P61" s="32"/>
      <c r="Q61" s="31">
        <f>IFERROR((VLOOKUP($BO$1&amp;C4,Teams!D:M,2,0)+AK61+AC61),0)</f>
        <v>8</v>
      </c>
      <c r="R61" s="31">
        <f>IFERROR((VLOOKUP($BO$1&amp;C4,Teams!D:M,3,0)+AL61+AD61),0)</f>
        <v>3</v>
      </c>
      <c r="S61" s="31">
        <f>IFERROR((VLOOKUP($BO$1&amp;C4,Teams!D:M,4,0)+AM61-AE61),0)</f>
        <v>3</v>
      </c>
      <c r="T61" s="31">
        <f>IFERROR((VLOOKUP($BO$1&amp;C4,Teams!D:M,5,0)+AN61-AF61),0)</f>
        <v>4</v>
      </c>
      <c r="U61" s="31">
        <f>IFERROR((VLOOKUP($BO$1&amp;C4,Teams!D:M,6,0)+AO61+AG61),0)</f>
        <v>9</v>
      </c>
      <c r="V61" s="32"/>
      <c r="W61" s="32">
        <f>IFERROR((VLOOKUP($BO$1&amp;C4,Teams!D:M,2,0)),0)</f>
        <v>8</v>
      </c>
      <c r="X61" s="32">
        <f>IFERROR((VLOOKUP($BO$1&amp;C4,Teams!D:M,3,0)),0)</f>
        <v>3</v>
      </c>
      <c r="Y61" s="32">
        <f>IFERROR((VLOOKUP($BO$1&amp;C4,Teams!D:M,4,0)),0)</f>
        <v>3</v>
      </c>
      <c r="Z61" s="32">
        <f>IFERROR((VLOOKUP($BO$1&amp;C4,Teams!D:M,5,0)),0)</f>
        <v>4</v>
      </c>
      <c r="AA61" s="32">
        <f>IFERROR((VLOOKUP($BO$1&amp;C4,Teams!D:M,6,0)),0)</f>
        <v>9</v>
      </c>
      <c r="AB61" s="32"/>
      <c r="AC61" s="32">
        <f t="shared" si="136"/>
        <v>0</v>
      </c>
      <c r="AD61" s="32">
        <f t="shared" si="137"/>
        <v>0</v>
      </c>
      <c r="AE61" s="32">
        <f t="shared" si="138"/>
        <v>0</v>
      </c>
      <c r="AF61" s="32">
        <f t="shared" si="139"/>
        <v>0</v>
      </c>
      <c r="AG61" s="32">
        <f t="shared" si="140"/>
        <v>0</v>
      </c>
      <c r="AH61" s="32"/>
      <c r="AI61" s="32">
        <v>-1</v>
      </c>
      <c r="AJ61" s="32"/>
      <c r="AK61" s="31">
        <f t="shared" ref="AK61:AL61" si="148">AK38</f>
        <v>0</v>
      </c>
      <c r="AL61" s="31">
        <f t="shared" si="148"/>
        <v>0</v>
      </c>
      <c r="AM61" s="31">
        <f t="shared" si="142"/>
        <v>0</v>
      </c>
      <c r="AN61" s="31">
        <f t="shared" si="143"/>
        <v>0</v>
      </c>
      <c r="AO61" s="31">
        <f t="shared" si="144"/>
        <v>0</v>
      </c>
      <c r="AP61" s="32"/>
      <c r="AQ61" s="32"/>
      <c r="AR61" s="31">
        <v>920000</v>
      </c>
      <c r="AS61" s="31"/>
      <c r="AT61" s="31"/>
      <c r="AU61" s="31"/>
      <c r="AV61" s="31"/>
      <c r="AW61" s="31"/>
      <c r="AX61" s="32"/>
      <c r="AY61" s="32">
        <v>1</v>
      </c>
      <c r="AZ61" s="32"/>
      <c r="BA61" s="32" t="s">
        <v>295</v>
      </c>
      <c r="BB61" s="32"/>
      <c r="BC61" s="93"/>
      <c r="BD61" s="92" t="str">
        <f>IF(J24="English","GALANDRIL SILVERWATER",(IF(J24="Español","GALANDRIL SILVERWATER",(IF(J24="Deutsch","GALANDRIL SILVERWATER",(IF(J24="Français","GALANDRIL SILVERWATER")))))))</f>
        <v>GALANDRIL SILVERWATER</v>
      </c>
      <c r="BE61" s="93">
        <f>IFERROR((IF(COUNTIF($BU$2,"*ElvenKingdomsLeague*"),40000,0)),0)</f>
        <v>0</v>
      </c>
      <c r="BF61" s="2"/>
      <c r="BG61" s="2"/>
      <c r="BH61" s="92" t="str">
        <f>IF($J$24="English","ASUR HIGH MAGE",(IF($J$24="Español","ASUR HIGH MAGE",(IF($J$24="Deutsch","ASUR HIGH MAGE",(IF($J$24="Français","ASUR HIGH MAGE")))))))</f>
        <v>ASUR HIGH MAGE</v>
      </c>
      <c r="BI61" s="93">
        <f>IFERROR((IF(OR(COUNTIF($BU$2,"*ElvenKingdomsLeague*")),150000,0)),0)</f>
        <v>0</v>
      </c>
      <c r="BJ61" s="2"/>
      <c r="BK61" s="93"/>
      <c r="BL61" s="92" t="str">
        <f>IF($J$24="English","THE TRUNDLEFOOT TRIPLETS",(IF($J$24="Español","THE TRUNDLEFOOT TRIPLETS",(IF($J$24="Deutsch","THE TRUNDLEFOOT TRIPLETS",(IF($J$24="Français","THE TRUNDLEFOOT TRIPLETS")))))))</f>
        <v>THE TRUNDLEFOOT TRIPLETS</v>
      </c>
      <c r="BM61" s="93">
        <f>IFERROR((IF(OR(COUNTIF($BU$2,"*HalflingThimbleCup*")),40000,80000)),0)</f>
        <v>80000</v>
      </c>
      <c r="BN61" s="93"/>
      <c r="BO61" s="92" t="str">
        <f>IF($J$24="English","HALFLING HOT POT",(IF($J$24="Español","HALFLING HOT POT",(IF($J$24="Deutsch","HALFLING HOT POT",(IF($J$24="Français","HALFLING HOT POT")))))))</f>
        <v>HALFLING HOT POT</v>
      </c>
      <c r="BP61" s="93">
        <f>IFERROR(IF(COUNTIF($BU$2,"*HalflingThimbleCup*"),60000,(IF(COUNTIF($BU$2,"*OldWorldClassic*"),80000,0))),0)</f>
        <v>0</v>
      </c>
      <c r="BQ61" s="32"/>
      <c r="BR61" s="92" t="str">
        <f>IF($J$24="English","STEELHELM’S SPORTING EMPORIUM",(IF($J$24="Español","STEELHELM’S SPORTING EMPORIUM",(IF($J$24="Deutsch","STEELHELM’S SPORTING EMPORIUM",(IF($J$24="Français","STEELHELM’S SPORTING EMPORIUM")))))))</f>
        <v>STEELHELM’S SPORTING EMPORIUM</v>
      </c>
      <c r="BS61" s="33" t="str">
        <f>IF($J$24="English","AG-",(IF($J$24="Español","AG-",(IF($J$24="Deutsch","GE-",(IF($J$24="Français","AG-")))))))</f>
        <v>AG-</v>
      </c>
      <c r="BT61" s="32" t="s">
        <v>254</v>
      </c>
      <c r="BU61" s="33" t="str">
        <f>IF($J$24="English","AG-",(IF($J$24="Español","AG-",(IF($J$24="Deutsch","GE-",(IF($J$24="Français","AG-")))))))</f>
        <v>AG-</v>
      </c>
      <c r="BV61" s="32" t="s">
        <v>254</v>
      </c>
      <c r="BW61" s="33" t="str">
        <f>IF($J$24="English","AG-",(IF($J$24="Español","AG-",(IF($J$24="Deutsch","GE-",(IF($J$24="Français","AG-")))))))</f>
        <v>AG-</v>
      </c>
      <c r="BX61" s="32" t="s">
        <v>254</v>
      </c>
      <c r="BY61" s="33" t="str">
        <f>IF($J$24="English","AG-",(IF($J$24="Español","AG-",(IF($J$24="Deutsch","GE-",(IF($J$24="Français","AG-")))))))</f>
        <v>AG-</v>
      </c>
      <c r="BZ61" s="32" t="s">
        <v>254</v>
      </c>
      <c r="CA61" s="47"/>
      <c r="CB61" s="33" t="str">
        <f>IF(J24="English","PA-",(IF(J24="Español","PA-",(IF(J24="Deutsch","WG-",(IF(J24="Français","CP-")))))))</f>
        <v>PA-</v>
      </c>
      <c r="CC61" s="32" t="s">
        <v>255</v>
      </c>
      <c r="CD61" s="2"/>
      <c r="CE61" s="32"/>
      <c r="CF61" s="33"/>
      <c r="CG61" s="87" t="str">
        <f t="shared" si="116"/>
        <v>AG-</v>
      </c>
      <c r="CH61" s="87" t="str">
        <f t="shared" si="117"/>
        <v>AG-</v>
      </c>
      <c r="CI61" s="87" t="str">
        <f t="shared" si="118"/>
        <v>AG-</v>
      </c>
      <c r="CJ61" s="87" t="str">
        <f t="shared" si="119"/>
        <v>AG-</v>
      </c>
      <c r="CK61" s="87" t="str">
        <f t="shared" si="120"/>
        <v>AG-</v>
      </c>
      <c r="CL61" s="87" t="str">
        <f t="shared" si="121"/>
        <v>AG-</v>
      </c>
      <c r="CM61" s="87" t="str">
        <f t="shared" si="122"/>
        <v>AG-</v>
      </c>
      <c r="CN61" s="87" t="str">
        <f t="shared" si="123"/>
        <v>AG-</v>
      </c>
      <c r="CO61" s="87" t="str">
        <f t="shared" si="124"/>
        <v>AG-</v>
      </c>
      <c r="CP61" s="87" t="str">
        <f t="shared" si="125"/>
        <v>AG-</v>
      </c>
      <c r="CQ61" s="87" t="str">
        <f t="shared" si="126"/>
        <v>AG-</v>
      </c>
      <c r="CR61" s="87" t="str">
        <f t="shared" si="127"/>
        <v>AG-</v>
      </c>
      <c r="CS61" s="87" t="b">
        <f t="shared" si="128"/>
        <v>0</v>
      </c>
      <c r="CT61" s="87" t="b">
        <f t="shared" si="129"/>
        <v>0</v>
      </c>
      <c r="CU61" s="87" t="b">
        <f t="shared" si="130"/>
        <v>0</v>
      </c>
      <c r="CV61" s="87" t="b">
        <f t="shared" si="131"/>
        <v>0</v>
      </c>
      <c r="CW61" s="2"/>
      <c r="CX61" s="2"/>
      <c r="CY61" s="2"/>
      <c r="CZ61" s="32"/>
      <c r="DA61" s="2"/>
      <c r="DB61" s="2"/>
    </row>
    <row r="62" spans="1:106" ht="15" hidden="1" customHeight="1">
      <c r="A62" s="32"/>
      <c r="B62" s="67"/>
      <c r="C62" s="67"/>
      <c r="D62" s="67"/>
      <c r="E62" s="67"/>
      <c r="F62" s="67"/>
      <c r="G62" s="32"/>
      <c r="H62" s="32"/>
      <c r="I62" s="32"/>
      <c r="J62" s="32"/>
      <c r="K62" s="31">
        <f t="shared" si="132"/>
        <v>8</v>
      </c>
      <c r="L62" s="31">
        <f t="shared" si="133"/>
        <v>3</v>
      </c>
      <c r="M62" s="31">
        <f t="shared" ref="M62:N62" si="149">IF(S62=0,0,(IF(S62&gt;6,6,(IF(S62&lt;1,1,S62)))))</f>
        <v>3</v>
      </c>
      <c r="N62" s="31">
        <f t="shared" si="149"/>
        <v>4</v>
      </c>
      <c r="O62" s="31">
        <f t="shared" si="135"/>
        <v>9</v>
      </c>
      <c r="P62" s="32" t="s">
        <v>296</v>
      </c>
      <c r="Q62" s="31">
        <f>IFERROR((VLOOKUP($BO$1&amp;C5,Teams!D:M,2,0)+AK62+AC62),0)</f>
        <v>8</v>
      </c>
      <c r="R62" s="31">
        <f>IFERROR((VLOOKUP($BO$1&amp;C5,Teams!D:M,3,0)+AL62+AD62),0)</f>
        <v>3</v>
      </c>
      <c r="S62" s="31">
        <f>IFERROR((VLOOKUP($BO$1&amp;C5,Teams!D:M,4,0)+AM62-AE62),0)</f>
        <v>3</v>
      </c>
      <c r="T62" s="31">
        <f>IFERROR((VLOOKUP($BO$1&amp;C5,Teams!D:M,5,0)+AN62-AF62),0)</f>
        <v>4</v>
      </c>
      <c r="U62" s="31">
        <f>IFERROR((VLOOKUP($BO$1&amp;C5,Teams!D:M,6,0)+AO62+AG62),0)</f>
        <v>9</v>
      </c>
      <c r="V62" s="32"/>
      <c r="W62" s="32">
        <f>IFERROR((VLOOKUP($BO$1&amp;C5,Teams!D:M,2,0)),0)</f>
        <v>8</v>
      </c>
      <c r="X62" s="32">
        <f>IFERROR((VLOOKUP($BO$1&amp;C5,Teams!D:M,3,0)),0)</f>
        <v>3</v>
      </c>
      <c r="Y62" s="32">
        <f>IFERROR((VLOOKUP($BO$1&amp;C5,Teams!D:M,4,0)),0)</f>
        <v>3</v>
      </c>
      <c r="Z62" s="32">
        <f>IFERROR((VLOOKUP($BO$1&amp;C5,Teams!D:M,5,0)),0)</f>
        <v>4</v>
      </c>
      <c r="AA62" s="32">
        <f>IFERROR((VLOOKUP($BO$1&amp;C5,Teams!D:M,6,0)),0)</f>
        <v>9</v>
      </c>
      <c r="AB62" s="45"/>
      <c r="AC62" s="32">
        <f t="shared" si="136"/>
        <v>0</v>
      </c>
      <c r="AD62" s="32">
        <f t="shared" si="137"/>
        <v>0</v>
      </c>
      <c r="AE62" s="32">
        <f t="shared" si="138"/>
        <v>0</v>
      </c>
      <c r="AF62" s="32">
        <f t="shared" si="139"/>
        <v>0</v>
      </c>
      <c r="AG62" s="32">
        <f t="shared" si="140"/>
        <v>0</v>
      </c>
      <c r="AH62" s="45"/>
      <c r="AI62" s="32">
        <v>-2</v>
      </c>
      <c r="AJ62" s="32"/>
      <c r="AK62" s="31">
        <f t="shared" ref="AK62:AL62" si="150">AK39</f>
        <v>0</v>
      </c>
      <c r="AL62" s="31">
        <f t="shared" si="150"/>
        <v>0</v>
      </c>
      <c r="AM62" s="31">
        <f t="shared" si="142"/>
        <v>0</v>
      </c>
      <c r="AN62" s="31">
        <f t="shared" si="143"/>
        <v>0</v>
      </c>
      <c r="AO62" s="31">
        <f t="shared" si="144"/>
        <v>0</v>
      </c>
      <c r="AP62" s="45"/>
      <c r="AQ62" s="45"/>
      <c r="AR62" s="31">
        <v>930000</v>
      </c>
      <c r="AS62" s="31"/>
      <c r="AT62" s="31"/>
      <c r="AU62" s="31"/>
      <c r="AV62" s="31"/>
      <c r="AW62" s="31"/>
      <c r="AX62" s="32"/>
      <c r="AY62" s="32">
        <v>2</v>
      </c>
      <c r="AZ62" s="32" t="s">
        <v>296</v>
      </c>
      <c r="BA62" s="32" t="s">
        <v>297</v>
      </c>
      <c r="BB62" s="32"/>
      <c r="BC62" s="93"/>
      <c r="BD62" s="92" t="str">
        <f>IF(J24="English","KROT SHOCKWHISKER",(IF(J24="Español","KROT SHOCKWHISKER",(IF(J24="Deutsch","KROT SHOCKWHISKER",(IF(J24="Français","KROT SHOCKWHISKER")))))))</f>
        <v>KROT SHOCKWHISKER</v>
      </c>
      <c r="BE62" s="93">
        <f>IFERROR((IF(COUNTIF($BU$2,"*UnderworldChallenge*"),70000,0)),0)</f>
        <v>0</v>
      </c>
      <c r="BF62" s="2"/>
      <c r="BG62" s="2"/>
      <c r="BH62" s="92" t="str">
        <f>IF($J$24="English","SLANN MAGE-PRIEST",(IF($J$24="Español","SLANN MAGE-PRIEST",(IF($J$24="Deutsch","SLANN MAGE-PRIEST",(IF($J$24="Français","SLANN MAGE-PRIEST")))))))</f>
        <v>SLANN MAGE-PRIEST</v>
      </c>
      <c r="BI62" s="93">
        <f>IFERROR((IF(OR(COUNTIF($BU$2,"*LustrianSuperleague*")),200000,0)),0)</f>
        <v>0</v>
      </c>
      <c r="BJ62" s="2"/>
      <c r="BK62" s="93"/>
      <c r="BL62" s="93"/>
      <c r="BM62" s="32"/>
      <c r="BN62" s="93"/>
      <c r="BO62" s="92" t="str">
        <f>IF($J$24="English","MASTER OF BALLISTICS",(IF($J$24="Español","MASTER OF BALLISTICS",(IF($J$24="Deutsch","MASTER OF BALLISTICS",(IF($J$24="Français","MASTER OF BALLISTICS")))))))</f>
        <v>MASTER OF BALLISTICS</v>
      </c>
      <c r="BP62" s="93">
        <f>IFERROR(IF(COUNTIF($BU$2,"*HalflingThimbleCup*"),30000,(IF(COUNTIF($BU$2,"*OldWorldClassic*"),40000,0))),0)</f>
        <v>0</v>
      </c>
      <c r="BQ62" s="32"/>
      <c r="BR62" s="92" t="str">
        <f>IF($J$24="English","MASTER OF BALLISTICS",(IF($J$24="Español","MASTER OF BALLISTICS",(IF($J$24="Deutsch","MASTER OF BALLISTICS",(IF($J$24="Français","MASTER OF BALLISTICS")))))))</f>
        <v>MASTER OF BALLISTICS</v>
      </c>
      <c r="BS62" s="33" t="str">
        <f>IF($J$24="English","PA-",(IF($J$24="Español","PA-",(IF($J$24="Deutsch","WG-",(IF($J$24="Français","CP-")))))))</f>
        <v>PA-</v>
      </c>
      <c r="BT62" s="32" t="s">
        <v>255</v>
      </c>
      <c r="BU62" s="33" t="str">
        <f>IF($J$24="English","PA-",(IF($J$24="Español","PA-",(IF($J$24="Deutsch","WG-",(IF($J$24="Français","CP-")))))))</f>
        <v>PA-</v>
      </c>
      <c r="BV62" s="32" t="s">
        <v>255</v>
      </c>
      <c r="BW62" s="33" t="str">
        <f>IF($J$24="English","PA-",(IF($J$24="Español","PA-",(IF($J$24="Deutsch","WG-",(IF($J$24="Français","CP-")))))))</f>
        <v>PA-</v>
      </c>
      <c r="BX62" s="32" t="s">
        <v>255</v>
      </c>
      <c r="BY62" s="33" t="str">
        <f>IF($J$24="English","PA-",(IF($J$24="Español","PA-",(IF($J$24="Deutsch","WG-",(IF($J$24="Français","CP-")))))))</f>
        <v>PA-</v>
      </c>
      <c r="BZ62" s="32" t="s">
        <v>255</v>
      </c>
      <c r="CA62" s="47"/>
      <c r="CB62" s="33" t="str">
        <f>IF(J24="English","ST+",(IF(J24="Español","FU+",(IF(J24="Deutsch","ST+",(IF(J24="Français","F+")))))))</f>
        <v>ST+</v>
      </c>
      <c r="CC62" s="32" t="s">
        <v>256</v>
      </c>
      <c r="CD62" s="2"/>
      <c r="CE62" s="32"/>
      <c r="CF62" s="33"/>
      <c r="CG62" s="87" t="str">
        <f t="shared" si="116"/>
        <v>PA-</v>
      </c>
      <c r="CH62" s="87" t="str">
        <f t="shared" si="117"/>
        <v>PA-</v>
      </c>
      <c r="CI62" s="87" t="str">
        <f t="shared" si="118"/>
        <v>PA-</v>
      </c>
      <c r="CJ62" s="87" t="str">
        <f t="shared" si="119"/>
        <v>PA-</v>
      </c>
      <c r="CK62" s="87" t="str">
        <f t="shared" si="120"/>
        <v>PA-</v>
      </c>
      <c r="CL62" s="87" t="str">
        <f t="shared" si="121"/>
        <v>PA-</v>
      </c>
      <c r="CM62" s="87" t="str">
        <f t="shared" si="122"/>
        <v>PA-</v>
      </c>
      <c r="CN62" s="87" t="str">
        <f t="shared" si="123"/>
        <v>PA-</v>
      </c>
      <c r="CO62" s="87" t="str">
        <f t="shared" si="124"/>
        <v>PA-</v>
      </c>
      <c r="CP62" s="87" t="str">
        <f t="shared" si="125"/>
        <v>PA-</v>
      </c>
      <c r="CQ62" s="87" t="str">
        <f t="shared" si="126"/>
        <v>PA-</v>
      </c>
      <c r="CR62" s="87" t="str">
        <f t="shared" si="127"/>
        <v>PA-</v>
      </c>
      <c r="CS62" s="87" t="b">
        <f t="shared" si="128"/>
        <v>0</v>
      </c>
      <c r="CT62" s="87" t="b">
        <f t="shared" si="129"/>
        <v>0</v>
      </c>
      <c r="CU62" s="87" t="b">
        <f t="shared" si="130"/>
        <v>0</v>
      </c>
      <c r="CV62" s="87" t="b">
        <f t="shared" si="131"/>
        <v>0</v>
      </c>
      <c r="CW62" s="2"/>
      <c r="CX62" s="2"/>
      <c r="CY62" s="2"/>
      <c r="CZ62" s="32"/>
      <c r="DA62" s="2"/>
      <c r="DB62" s="2"/>
    </row>
    <row r="63" spans="1:106" ht="15" hidden="1" customHeight="1">
      <c r="A63" s="32"/>
      <c r="B63" s="67"/>
      <c r="C63" s="67"/>
      <c r="D63" s="67"/>
      <c r="E63" s="67"/>
      <c r="F63" s="67"/>
      <c r="G63" s="32"/>
      <c r="H63" s="32"/>
      <c r="I63" s="32"/>
      <c r="J63" s="32"/>
      <c r="K63" s="31">
        <f t="shared" si="132"/>
        <v>7</v>
      </c>
      <c r="L63" s="31">
        <f t="shared" si="133"/>
        <v>3</v>
      </c>
      <c r="M63" s="31">
        <f t="shared" ref="M63:N63" si="151">IF(S63=0,0,(IF(S63&gt;6,6,(IF(S63&lt;1,1,S63)))))</f>
        <v>3</v>
      </c>
      <c r="N63" s="31">
        <f t="shared" si="151"/>
        <v>4</v>
      </c>
      <c r="O63" s="31">
        <f t="shared" si="135"/>
        <v>8</v>
      </c>
      <c r="P63" s="32"/>
      <c r="Q63" s="31">
        <f>IFERROR((VLOOKUP($BO$1&amp;C6,Teams!D:M,2,0)+AK63+AC63),0)</f>
        <v>7</v>
      </c>
      <c r="R63" s="31">
        <f>IFERROR((VLOOKUP($BO$1&amp;C6,Teams!D:M,3,0)+AL63+AD63),0)</f>
        <v>3</v>
      </c>
      <c r="S63" s="31">
        <f>IFERROR((VLOOKUP($BO$1&amp;C6,Teams!D:M,4,0)+AM63-AE63),0)</f>
        <v>3</v>
      </c>
      <c r="T63" s="31">
        <f>IFERROR((VLOOKUP($BO$1&amp;C6,Teams!D:M,5,0)+AN63-AF63),0)</f>
        <v>4</v>
      </c>
      <c r="U63" s="31">
        <f>IFERROR((VLOOKUP($BO$1&amp;C6,Teams!D:M,6,0)+AO63+AG63),0)</f>
        <v>8</v>
      </c>
      <c r="V63" s="32"/>
      <c r="W63" s="32">
        <f>IFERROR((VLOOKUP($BO$1&amp;C6,Teams!D:M,2,0)),0)</f>
        <v>7</v>
      </c>
      <c r="X63" s="32">
        <f>IFERROR((VLOOKUP($BO$1&amp;C6,Teams!D:M,3,0)),0)</f>
        <v>3</v>
      </c>
      <c r="Y63" s="32">
        <f>IFERROR((VLOOKUP($BO$1&amp;C6,Teams!D:M,4,0)),0)</f>
        <v>3</v>
      </c>
      <c r="Z63" s="32">
        <f>IFERROR((VLOOKUP($BO$1&amp;C6,Teams!D:M,5,0)),0)</f>
        <v>4</v>
      </c>
      <c r="AA63" s="32">
        <f>IFERROR((VLOOKUP($BO$1&amp;C6,Teams!D:M,6,0)),0)</f>
        <v>8</v>
      </c>
      <c r="AB63" s="32"/>
      <c r="AC63" s="32">
        <f t="shared" si="136"/>
        <v>0</v>
      </c>
      <c r="AD63" s="32">
        <f t="shared" si="137"/>
        <v>0</v>
      </c>
      <c r="AE63" s="32">
        <f t="shared" si="138"/>
        <v>0</v>
      </c>
      <c r="AF63" s="32">
        <f t="shared" si="139"/>
        <v>0</v>
      </c>
      <c r="AG63" s="32">
        <f t="shared" si="140"/>
        <v>0</v>
      </c>
      <c r="AH63" s="32"/>
      <c r="AI63" s="94" t="s">
        <v>296</v>
      </c>
      <c r="AJ63" s="32"/>
      <c r="AK63" s="31">
        <f t="shared" ref="AK63:AL63" si="152">AK40</f>
        <v>0</v>
      </c>
      <c r="AL63" s="31">
        <f t="shared" si="152"/>
        <v>0</v>
      </c>
      <c r="AM63" s="31">
        <f t="shared" si="142"/>
        <v>0</v>
      </c>
      <c r="AN63" s="31">
        <f t="shared" si="143"/>
        <v>0</v>
      </c>
      <c r="AO63" s="31">
        <f t="shared" si="144"/>
        <v>0</v>
      </c>
      <c r="AP63" s="32"/>
      <c r="AQ63" s="32"/>
      <c r="AR63" s="31">
        <v>940000</v>
      </c>
      <c r="AS63" s="31"/>
      <c r="AT63" s="31"/>
      <c r="AU63" s="31"/>
      <c r="AV63" s="31"/>
      <c r="AW63" s="31"/>
      <c r="AX63" s="32"/>
      <c r="AY63" s="32">
        <v>3</v>
      </c>
      <c r="AZ63" s="32"/>
      <c r="BA63" s="32" t="s">
        <v>298</v>
      </c>
      <c r="BB63" s="32"/>
      <c r="BC63" s="93"/>
      <c r="BD63" s="92" t="str">
        <f>IF(J24="English","AYLEEN ANDAR",(IF(J24="Español","AYLEEN ANDAR",(IF(J24="Deutsch","AYLEEN ANDAR",(IF(J24="Français","AYLEEN ANDAR")))))))</f>
        <v>AYLEEN ANDAR</v>
      </c>
      <c r="BE63" s="93">
        <v>100000</v>
      </c>
      <c r="BF63" s="2"/>
      <c r="BG63" s="2"/>
      <c r="BH63" s="92" t="str">
        <f>IF($J$24="English","HORTICULTURALIST OF NURGLE",(IF($J$24="Español","HORTICULTURALIST OF NURGLE",(IF($J$24="Deutsch","HORTICULTURALIST OF NURGLE",(IF($J$24="Français","HORTICULTURALIST OF NURGLE")))))))</f>
        <v>HORTICULTURALIST OF NURGLE</v>
      </c>
      <c r="BI63" s="93">
        <f>IFERROR((IF(OR(COUNTIF(AJ31,"*Nurgle*"),COUNTIF($BU$2,"*UnderworldChallenge*")),150000,0)),0)</f>
        <v>0</v>
      </c>
      <c r="BJ63" s="2"/>
      <c r="BK63" s="93"/>
      <c r="BL63" s="93"/>
      <c r="BM63" s="32"/>
      <c r="BN63" s="93"/>
      <c r="BO63" s="92" t="str">
        <f>IF($J$24="English","BOTTLES OF HEADY BREW",(IF($J$24="Español","BOTTLES OF HEADY BREW",(IF($J$24="Deutsch","BOTTLES OF HEADY BREW",(IF($J$24="Français","BOTTLES OF HEADY BREW")))))))</f>
        <v>BOTTLES OF HEADY BREW</v>
      </c>
      <c r="BP63" s="93">
        <v>40000</v>
      </c>
      <c r="BQ63" s="32"/>
      <c r="BR63" s="92" t="str">
        <f>IF($J$24="English","BOTTLES OF HEADY BREW",(IF($J$24="Español","BOTTLES OF HEADY BREW",(IF($J$24="Deutsch","BOTTLES OF HEADY BREW",(IF($J$24="Français","BOTTLES OF HEADY BREW")))))))</f>
        <v>BOTTLES OF HEADY BREW</v>
      </c>
      <c r="BS63" s="33" t="str">
        <f>IF($J$24="English","ST+",(IF($J$24="Español","FU+",(IF($J$24="Deutsch","ST+",(IF($J$24="Français","F+")))))))</f>
        <v>ST+</v>
      </c>
      <c r="BT63" s="32" t="s">
        <v>256</v>
      </c>
      <c r="BU63" s="33" t="str">
        <f>IF($J$24="English","ST+",(IF($J$24="Español","FU+",(IF($J$24="Deutsch","ST+",(IF($J$24="Français","F+")))))))</f>
        <v>ST+</v>
      </c>
      <c r="BV63" s="32" t="s">
        <v>256</v>
      </c>
      <c r="BW63" s="33" t="str">
        <f>IF($J$24="English","ST+",(IF($J$24="Español","FU+",(IF($J$24="Deutsch","ST+",(IF($J$24="Français","F+")))))))</f>
        <v>ST+</v>
      </c>
      <c r="BX63" s="32" t="s">
        <v>256</v>
      </c>
      <c r="BY63" s="33" t="str">
        <f>IF($J$24="English","ST+",(IF($J$24="Español","FU+",(IF($J$24="Deutsch","ST+",(IF($J$24="Français","F+")))))))</f>
        <v>ST+</v>
      </c>
      <c r="BZ63" s="32" t="s">
        <v>256</v>
      </c>
      <c r="CA63" s="47"/>
      <c r="CB63" s="33" t="str">
        <f>IF(J24="English","Block",(IF(J24="Español","Agallas",(IF(J24="Deutsch","Abwehren",(IF(J24="Français","Arracher le ballon")))))))</f>
        <v>Block</v>
      </c>
      <c r="CC63" s="32" t="s">
        <v>247</v>
      </c>
      <c r="CD63" s="2"/>
      <c r="CE63" s="95"/>
      <c r="CF63" s="33"/>
      <c r="CG63" s="87" t="str">
        <f t="shared" si="116"/>
        <v>ST+</v>
      </c>
      <c r="CH63" s="87" t="str">
        <f t="shared" si="117"/>
        <v>ST+</v>
      </c>
      <c r="CI63" s="87" t="str">
        <f t="shared" si="118"/>
        <v>ST+</v>
      </c>
      <c r="CJ63" s="87" t="str">
        <f t="shared" si="119"/>
        <v>ST+</v>
      </c>
      <c r="CK63" s="87" t="str">
        <f t="shared" si="120"/>
        <v>ST+</v>
      </c>
      <c r="CL63" s="87" t="str">
        <f t="shared" si="121"/>
        <v>ST+</v>
      </c>
      <c r="CM63" s="87" t="str">
        <f t="shared" si="122"/>
        <v>ST+</v>
      </c>
      <c r="CN63" s="87" t="str">
        <f t="shared" si="123"/>
        <v>ST+</v>
      </c>
      <c r="CO63" s="87" t="str">
        <f t="shared" si="124"/>
        <v>ST+</v>
      </c>
      <c r="CP63" s="87" t="str">
        <f t="shared" si="125"/>
        <v>ST+</v>
      </c>
      <c r="CQ63" s="87" t="str">
        <f t="shared" si="126"/>
        <v>ST+</v>
      </c>
      <c r="CR63" s="87" t="str">
        <f t="shared" si="127"/>
        <v>ST+</v>
      </c>
      <c r="CS63" s="87" t="b">
        <f t="shared" si="128"/>
        <v>0</v>
      </c>
      <c r="CT63" s="87" t="b">
        <f t="shared" si="129"/>
        <v>0</v>
      </c>
      <c r="CU63" s="87" t="b">
        <f t="shared" si="130"/>
        <v>0</v>
      </c>
      <c r="CV63" s="87" t="b">
        <f t="shared" si="131"/>
        <v>0</v>
      </c>
      <c r="CW63" s="2"/>
      <c r="CX63" s="2"/>
      <c r="CY63" s="2"/>
      <c r="CZ63" s="32"/>
      <c r="DA63" s="2"/>
      <c r="DB63" s="2"/>
    </row>
    <row r="64" spans="1:106" ht="15" hidden="1" customHeight="1">
      <c r="A64" s="32"/>
      <c r="B64" s="67"/>
      <c r="C64" s="67"/>
      <c r="D64" s="67"/>
      <c r="E64" s="67"/>
      <c r="F64" s="67"/>
      <c r="G64" s="32"/>
      <c r="H64" s="32"/>
      <c r="I64" s="32"/>
      <c r="J64" s="32"/>
      <c r="K64" s="31">
        <f t="shared" si="132"/>
        <v>6</v>
      </c>
      <c r="L64" s="31">
        <f t="shared" si="133"/>
        <v>3</v>
      </c>
      <c r="M64" s="31">
        <f t="shared" ref="M64:N64" si="153">IF(S64=0,0,(IF(S64&gt;6,6,(IF(S64&lt;1,1,S64)))))</f>
        <v>3</v>
      </c>
      <c r="N64" s="32">
        <f t="shared" si="153"/>
        <v>0</v>
      </c>
      <c r="O64" s="31">
        <f t="shared" si="135"/>
        <v>9</v>
      </c>
      <c r="P64" s="32"/>
      <c r="Q64" s="31">
        <f>IFERROR((VLOOKUP($BO$1&amp;C7,Teams!D:M,2,0)+AK64+AC64),0)</f>
        <v>6</v>
      </c>
      <c r="R64" s="31">
        <f>IFERROR((VLOOKUP($BO$1&amp;C7,Teams!D:M,3,0)+AL64+AD64),0)</f>
        <v>3</v>
      </c>
      <c r="S64" s="31">
        <f>IFERROR((VLOOKUP($BO$1&amp;C7,Teams!D:M,4,0)+AM64-AE64),0)</f>
        <v>3</v>
      </c>
      <c r="T64" s="31">
        <f>IFERROR((VLOOKUP($BO$1&amp;C7,Teams!D:M,5,0)+AN64-AF64),0)</f>
        <v>0</v>
      </c>
      <c r="U64" s="31">
        <f>IFERROR((VLOOKUP($BO$1&amp;C7,Teams!D:M,6,0)+AO64+AG64),0)</f>
        <v>9</v>
      </c>
      <c r="V64" s="32"/>
      <c r="W64" s="32">
        <f>IFERROR((VLOOKUP($BO$1&amp;C7,Teams!D:M,2,0)),0)</f>
        <v>6</v>
      </c>
      <c r="X64" s="32">
        <f>IFERROR((VLOOKUP($BO$1&amp;C7,Teams!D:M,3,0)),0)</f>
        <v>3</v>
      </c>
      <c r="Y64" s="32">
        <f>IFERROR((VLOOKUP($BO$1&amp;C7,Teams!D:M,4,0)),0)</f>
        <v>3</v>
      </c>
      <c r="Z64" s="32">
        <f>IFERROR((VLOOKUP($BO$1&amp;C7,Teams!D:M,5,0)),0)</f>
        <v>0</v>
      </c>
      <c r="AA64" s="32">
        <f>IFERROR((VLOOKUP($BO$1&amp;C7,Teams!D:M,6,0)),0)</f>
        <v>9</v>
      </c>
      <c r="AB64" s="32"/>
      <c r="AC64" s="32">
        <f t="shared" si="136"/>
        <v>0</v>
      </c>
      <c r="AD64" s="32">
        <f t="shared" si="137"/>
        <v>0</v>
      </c>
      <c r="AE64" s="32">
        <f t="shared" si="138"/>
        <v>0</v>
      </c>
      <c r="AF64" s="32">
        <f t="shared" si="139"/>
        <v>0</v>
      </c>
      <c r="AG64" s="32">
        <f t="shared" si="140"/>
        <v>0</v>
      </c>
      <c r="AH64" s="32"/>
      <c r="AI64" s="32" t="str">
        <f>""</f>
        <v/>
      </c>
      <c r="AJ64" s="32"/>
      <c r="AK64" s="31">
        <f t="shared" ref="AK64:AL64" si="154">AK41</f>
        <v>0</v>
      </c>
      <c r="AL64" s="31">
        <f t="shared" si="154"/>
        <v>0</v>
      </c>
      <c r="AM64" s="31">
        <f t="shared" si="142"/>
        <v>0</v>
      </c>
      <c r="AN64" s="31">
        <f t="shared" si="143"/>
        <v>0</v>
      </c>
      <c r="AO64" s="31">
        <f t="shared" si="144"/>
        <v>0</v>
      </c>
      <c r="AP64" s="32"/>
      <c r="AQ64" s="32"/>
      <c r="AR64" s="31">
        <v>950000</v>
      </c>
      <c r="AS64" s="31"/>
      <c r="AT64" s="31"/>
      <c r="AU64" s="31"/>
      <c r="AV64" s="31"/>
      <c r="AW64" s="31"/>
      <c r="AX64" s="32"/>
      <c r="AY64" s="32">
        <v>4</v>
      </c>
      <c r="AZ64" s="32"/>
      <c r="BA64" s="32"/>
      <c r="BB64" s="32"/>
      <c r="BC64" s="93"/>
      <c r="BD64" s="92" t="str">
        <f>IF(J24="English","PROFESSOR FRÖNKELHEIM",(IF(J24="Español","PROFESOR FRÖNKELHEIM",(IF(J24="Deutsch","PROFESSOR FRÖNKELHEIM",(IF(J24="Français","PROFESSOR FRÖNKELHEIM")))))))</f>
        <v>PROFESSOR FRÖNKELHEIM</v>
      </c>
      <c r="BE64" s="93">
        <f>IFERROR((IF(COUNTIF($BU$2,"*SylvanianSpotlight*"),130000,0)),0)</f>
        <v>130000</v>
      </c>
      <c r="BF64" s="2"/>
      <c r="BG64" s="2"/>
      <c r="BH64" s="92" t="str">
        <f>IF($J$24="English","SPORTS NECROTHEURGE",(IF($J$24="Español","SPORTS NECROTHEURGE",(IF($J$24="Deutsch","SPORTS NECROTHEURGE",(IF($J$24="Français","SPORTS NECROTHEURGE")))))))</f>
        <v>SPORTS NECROTHEURGE</v>
      </c>
      <c r="BI64" s="93">
        <f>IFERROR((IF(COUNTIF($BU$2,"*SylvanianSpotlight*"),150000,0)),0)</f>
        <v>150000</v>
      </c>
      <c r="BJ64" s="2"/>
      <c r="BK64" s="93"/>
      <c r="BL64" s="93"/>
      <c r="BM64" s="32"/>
      <c r="BN64" s="93"/>
      <c r="BO64" s="92" t="str">
        <f>IF($J$24="English","TEAM MASCOT",(IF($J$24="Español","TEAM MASCOT",(IF($J$24="Deutsch","TEAM MASCOT",(IF($J$24="Français","TEAM MASCOT")))))))</f>
        <v>TEAM MASCOT</v>
      </c>
      <c r="BP64" s="93">
        <v>30000</v>
      </c>
      <c r="BQ64" s="32"/>
      <c r="BR64" s="92" t="str">
        <f>IF($J$24="English","TEAM MASCOT",(IF($J$24="Español","TEAM MASCOT",(IF($J$24="Deutsch","TEAM MASCOT",(IF($J$24="Français","TEAM MASCOT")))))))</f>
        <v>TEAM MASCOT</v>
      </c>
      <c r="BS64" s="33" t="str">
        <f>IF($J$24="English","Block",(IF($J$24="Español","Agallas",(IF($J$24="Deutsch","Abwehren",(IF($J$24="Français","Arracher le ballon")))))))</f>
        <v>Block</v>
      </c>
      <c r="BT64" s="32" t="s">
        <v>247</v>
      </c>
      <c r="BU64" s="33" t="str">
        <f>IF($J$24="English","Block",(IF($J$24="Español","Agallas",(IF($J$24="Deutsch","Abwehren",(IF($J$24="Français","Arracher le ballon")))))))</f>
        <v>Block</v>
      </c>
      <c r="BV64" s="32" t="s">
        <v>247</v>
      </c>
      <c r="BW64" s="33" t="str">
        <f>IF($J$24="English","Block",(IF($J$24="Español","Agallas",(IF($J$24="Deutsch","Abwehren",(IF($J$24="Français","Arracher le ballon")))))))</f>
        <v>Block</v>
      </c>
      <c r="BX64" s="32" t="s">
        <v>247</v>
      </c>
      <c r="BY64" s="33" t="str">
        <f>IF($J$24="English","Block",(IF($J$24="Español","Agallas",(IF($J$24="Deutsch","Abwehren",(IF($J$24="Français","Arracher le ballon")))))))</f>
        <v>Block</v>
      </c>
      <c r="BZ64" s="32" t="s">
        <v>247</v>
      </c>
      <c r="CA64" s="33"/>
      <c r="CB64" s="96" t="str">
        <f>IF(J24="English","Dauntless",(IF(J24="Español","Forcejear",(IF(J24="Deutsch","Ball entreißen",(IF(J24="Français","Blocage")))))))</f>
        <v>Dauntless</v>
      </c>
      <c r="CC64" s="32" t="s">
        <v>247</v>
      </c>
      <c r="CD64" s="2"/>
      <c r="CE64" s="97"/>
      <c r="CF64" s="33"/>
      <c r="CG64" s="87" t="str">
        <f t="shared" si="116"/>
        <v>Block</v>
      </c>
      <c r="CH64" s="87" t="str">
        <f t="shared" si="117"/>
        <v>Block</v>
      </c>
      <c r="CI64" s="87" t="str">
        <f t="shared" si="118"/>
        <v>Block</v>
      </c>
      <c r="CJ64" s="87" t="str">
        <f t="shared" si="119"/>
        <v>Block</v>
      </c>
      <c r="CK64" s="87" t="str">
        <f t="shared" si="120"/>
        <v>Block</v>
      </c>
      <c r="CL64" s="87" t="str">
        <f t="shared" si="121"/>
        <v>Block</v>
      </c>
      <c r="CM64" s="87" t="str">
        <f t="shared" si="122"/>
        <v>Block</v>
      </c>
      <c r="CN64" s="87" t="str">
        <f t="shared" si="123"/>
        <v>Block</v>
      </c>
      <c r="CO64" s="87" t="str">
        <f t="shared" si="124"/>
        <v>Block</v>
      </c>
      <c r="CP64" s="87" t="str">
        <f t="shared" si="125"/>
        <v>Block</v>
      </c>
      <c r="CQ64" s="87" t="str">
        <f t="shared" si="126"/>
        <v>Block</v>
      </c>
      <c r="CR64" s="87" t="str">
        <f t="shared" si="127"/>
        <v>Block</v>
      </c>
      <c r="CS64" s="87" t="b">
        <f t="shared" si="128"/>
        <v>0</v>
      </c>
      <c r="CT64" s="87" t="b">
        <f t="shared" si="129"/>
        <v>0</v>
      </c>
      <c r="CU64" s="87" t="b">
        <f t="shared" si="130"/>
        <v>0</v>
      </c>
      <c r="CV64" s="87" t="b">
        <f t="shared" si="131"/>
        <v>0</v>
      </c>
      <c r="CW64" s="2"/>
      <c r="CX64" s="2"/>
      <c r="CY64" s="2"/>
      <c r="CZ64" s="32"/>
      <c r="DA64" s="2"/>
      <c r="DB64" s="2"/>
    </row>
    <row r="65" spans="1:106" ht="15" hidden="1" customHeight="1">
      <c r="A65" s="32"/>
      <c r="B65" s="32"/>
      <c r="C65" s="32"/>
      <c r="D65" s="32"/>
      <c r="E65" s="32"/>
      <c r="F65" s="32"/>
      <c r="G65" s="32"/>
      <c r="H65" s="32"/>
      <c r="I65" s="32"/>
      <c r="J65" s="32"/>
      <c r="K65" s="31">
        <f t="shared" si="132"/>
        <v>4</v>
      </c>
      <c r="L65" s="31">
        <f t="shared" si="133"/>
        <v>3</v>
      </c>
      <c r="M65" s="31">
        <f t="shared" ref="M65:N65" si="155">IF(S65=0,0,(IF(S65&gt;6,6,(IF(S65&lt;1,1,S65)))))</f>
        <v>4</v>
      </c>
      <c r="N65" s="32">
        <f t="shared" si="155"/>
        <v>0</v>
      </c>
      <c r="O65" s="31">
        <f t="shared" si="135"/>
        <v>9</v>
      </c>
      <c r="P65" s="32"/>
      <c r="Q65" s="31">
        <f>IFERROR((VLOOKUP($BO$1&amp;C8,Teams!D:M,2,0)+AK65+AC65),0)</f>
        <v>4</v>
      </c>
      <c r="R65" s="31">
        <f>IFERROR((VLOOKUP($BO$1&amp;C8,Teams!D:M,3,0)+AL65+AD65),0)</f>
        <v>3</v>
      </c>
      <c r="S65" s="31">
        <f>IFERROR((VLOOKUP($BO$1&amp;C8,Teams!D:M,4,0)+AM65-AE65),0)</f>
        <v>4</v>
      </c>
      <c r="T65" s="31">
        <f>IFERROR((VLOOKUP($BO$1&amp;C8,Teams!D:M,5,0)+AN65-AF65),0)</f>
        <v>0</v>
      </c>
      <c r="U65" s="31">
        <f>IFERROR((VLOOKUP($BO$1&amp;C8,Teams!D:M,6,0)+AO65+AG65),0)</f>
        <v>9</v>
      </c>
      <c r="V65" s="32"/>
      <c r="W65" s="32">
        <f>IFERROR((VLOOKUP($BO$1&amp;C8,Teams!D:M,2,0)),0)</f>
        <v>4</v>
      </c>
      <c r="X65" s="32">
        <f>IFERROR((VLOOKUP($BO$1&amp;C8,Teams!D:M,3,0)),0)</f>
        <v>3</v>
      </c>
      <c r="Y65" s="32">
        <f>IFERROR((VLOOKUP($BO$1&amp;C8,Teams!D:M,4,0)),0)</f>
        <v>4</v>
      </c>
      <c r="Z65" s="32">
        <f>IFERROR((VLOOKUP($BO$1&amp;C8,Teams!D:M,5,0)),0)</f>
        <v>0</v>
      </c>
      <c r="AA65" s="32">
        <f>IFERROR((VLOOKUP($BO$1&amp;C8,Teams!D:M,6,0)),0)</f>
        <v>9</v>
      </c>
      <c r="AB65" s="32"/>
      <c r="AC65" s="32">
        <f t="shared" si="136"/>
        <v>0</v>
      </c>
      <c r="AD65" s="32">
        <f t="shared" si="137"/>
        <v>0</v>
      </c>
      <c r="AE65" s="32">
        <f t="shared" si="138"/>
        <v>0</v>
      </c>
      <c r="AF65" s="32">
        <f t="shared" si="139"/>
        <v>0</v>
      </c>
      <c r="AG65" s="32">
        <f t="shared" si="140"/>
        <v>0</v>
      </c>
      <c r="AH65" s="32"/>
      <c r="AI65" s="32">
        <v>1</v>
      </c>
      <c r="AJ65" s="32"/>
      <c r="AK65" s="31">
        <f t="shared" ref="AK65:AL65" si="156">AK42</f>
        <v>0</v>
      </c>
      <c r="AL65" s="31">
        <f t="shared" si="156"/>
        <v>0</v>
      </c>
      <c r="AM65" s="31">
        <f t="shared" si="142"/>
        <v>0</v>
      </c>
      <c r="AN65" s="31">
        <f t="shared" si="143"/>
        <v>0</v>
      </c>
      <c r="AO65" s="31">
        <f t="shared" si="144"/>
        <v>0</v>
      </c>
      <c r="AP65" s="32"/>
      <c r="AQ65" s="32"/>
      <c r="AR65" s="31">
        <v>960000</v>
      </c>
      <c r="AS65" s="31"/>
      <c r="AT65" s="31"/>
      <c r="AU65" s="31"/>
      <c r="AV65" s="31"/>
      <c r="AW65" s="31"/>
      <c r="AX65" s="32"/>
      <c r="AY65" s="32">
        <v>5</v>
      </c>
      <c r="AZ65" s="32"/>
      <c r="BA65" s="32"/>
      <c r="BB65" s="32"/>
      <c r="BC65" s="93"/>
      <c r="BD65" s="92" t="str">
        <f>IF(J24="English","MUNGO SPINECRACKER",(IF(J24="Español","MUNGO SPINECRACKER",(IF(J24="Deutsch","MUNGO SPINECRACKER",(IF(J24="Français","MUNGO SPINECRACKER")))))))</f>
        <v>MUNGO SPINECRACKER</v>
      </c>
      <c r="BE65" s="93">
        <f>IFERROR((IF(OR(COUNTIF($BU$2,"*BadlandsBrawl*"),COUNTIF($BU$2,"*OldWorldClassic*"),COUNTIF($BU$2,"*UnderworldChallenge*")),80000,0)),0)</f>
        <v>0</v>
      </c>
      <c r="BF65" s="2"/>
      <c r="BG65" s="2"/>
      <c r="BH65" s="92" t="str">
        <f>IF($J$24="English","WICKED WITCH",(IF($J$24="Español","BRUJA MALVADA",(IF($J$24="Deutsch","VERRÜCKTE HEXE",(IF($J$24="Français","WICKED WITCH")))))))</f>
        <v>WICKED WITCH</v>
      </c>
      <c r="BI65" s="93">
        <f>IFERROR((IF(OR(COUNTIF($BU$2,"*OldWorldClassic*"),COUNTIF($BU$2,"*SylvanianSpotlight*"),COUNTIF($BU$2,"*UnderworldChallenge*")),150000,0)),0)</f>
        <v>150000</v>
      </c>
      <c r="BJ65" s="2"/>
      <c r="BK65" s="93"/>
      <c r="BL65" s="93"/>
      <c r="BM65" s="32"/>
      <c r="BN65" s="93"/>
      <c r="BO65" s="92" t="str">
        <f>IF($J$24="English","MEDICINAL UNGUENT",(IF($J$24="Español","MEDICINAL UNGUENT",(IF($J$24="Deutsch","MEDICINAL UNGUENT",(IF($J$24="Français","MEDICINAL UNGUENT")))))))</f>
        <v>MEDICINAL UNGUENT</v>
      </c>
      <c r="BP65" s="93">
        <v>60000</v>
      </c>
      <c r="BQ65" s="2"/>
      <c r="BR65" s="92" t="str">
        <f>IF($J$24="English","MEDICINAL UNGUENT",(IF($J$24="Español","MEDICINAL UNGUENT",(IF($J$24="Deutsch","MEDICINAL UNGUENT",(IF($J$24="Français","MEDICINAL UNGUENT")))))))</f>
        <v>MEDICINAL UNGUENT</v>
      </c>
      <c r="BS65" s="96" t="str">
        <f>IF($J$24="English","Dauntless",(IF($J$24="Español","Forcejear",(IF($J$24="Deutsch","Ball entreißen",(IF($J$24="Français","Blocage")))))))</f>
        <v>Dauntless</v>
      </c>
      <c r="BT65" s="32" t="s">
        <v>247</v>
      </c>
      <c r="BU65" s="96" t="str">
        <f>IF($J$24="English","Dauntless",(IF($J$24="Español","Forcejear",(IF($J$24="Deutsch","Ball entreißen",(IF($J$24="Français","Blocage")))))))</f>
        <v>Dauntless</v>
      </c>
      <c r="BV65" s="32" t="s">
        <v>247</v>
      </c>
      <c r="BW65" s="96" t="str">
        <f>IF($J$24="English","Dauntless",(IF($J$24="Español","Forcejear",(IF($J$24="Deutsch","Ball entreißen",(IF($J$24="Français","Blocage")))))))</f>
        <v>Dauntless</v>
      </c>
      <c r="BX65" s="32" t="s">
        <v>247</v>
      </c>
      <c r="BY65" s="96" t="str">
        <f>IF($J$24="English","Dauntless",(IF($J$24="Español","Forcejear",(IF($J$24="Deutsch","Ball entreißen",(IF($J$24="Français","Blocage")))))))</f>
        <v>Dauntless</v>
      </c>
      <c r="BZ65" s="32" t="s">
        <v>247</v>
      </c>
      <c r="CA65" s="33"/>
      <c r="CB65" s="96" t="str">
        <f>IF(J24="English","Dirty Player (+1)",(IF(J24="Español","Furia",(IF(J24="Deutsch","Ballgefühl",(IF(J24="Français","Frappe précise")))))))</f>
        <v>Dirty Player (+1)</v>
      </c>
      <c r="CC65" s="32" t="s">
        <v>247</v>
      </c>
      <c r="CD65" s="2"/>
      <c r="CE65" s="95"/>
      <c r="CF65" s="33"/>
      <c r="CG65" s="87" t="str">
        <f t="shared" si="116"/>
        <v>Dauntless</v>
      </c>
      <c r="CH65" s="87" t="str">
        <f t="shared" si="117"/>
        <v>Dauntless</v>
      </c>
      <c r="CI65" s="87" t="str">
        <f t="shared" si="118"/>
        <v>Dauntless</v>
      </c>
      <c r="CJ65" s="87" t="str">
        <f t="shared" si="119"/>
        <v>Dauntless</v>
      </c>
      <c r="CK65" s="87" t="str">
        <f t="shared" si="120"/>
        <v>Dauntless</v>
      </c>
      <c r="CL65" s="87" t="str">
        <f t="shared" si="121"/>
        <v>Dauntless</v>
      </c>
      <c r="CM65" s="87" t="str">
        <f t="shared" si="122"/>
        <v>Dauntless</v>
      </c>
      <c r="CN65" s="87" t="str">
        <f t="shared" si="123"/>
        <v>Dauntless</v>
      </c>
      <c r="CO65" s="87" t="str">
        <f t="shared" si="124"/>
        <v>Dauntless</v>
      </c>
      <c r="CP65" s="87" t="str">
        <f t="shared" si="125"/>
        <v>Dauntless</v>
      </c>
      <c r="CQ65" s="87" t="str">
        <f t="shared" si="126"/>
        <v>Dauntless</v>
      </c>
      <c r="CR65" s="87" t="str">
        <f t="shared" si="127"/>
        <v>Dauntless</v>
      </c>
      <c r="CS65" s="87" t="b">
        <f t="shared" si="128"/>
        <v>0</v>
      </c>
      <c r="CT65" s="87" t="b">
        <f t="shared" si="129"/>
        <v>0</v>
      </c>
      <c r="CU65" s="87" t="b">
        <f t="shared" si="130"/>
        <v>0</v>
      </c>
      <c r="CV65" s="87" t="b">
        <f t="shared" si="131"/>
        <v>0</v>
      </c>
      <c r="CW65" s="2"/>
      <c r="CX65" s="2"/>
      <c r="CY65" s="2"/>
      <c r="CZ65" s="32"/>
      <c r="DA65" s="2"/>
      <c r="DB65" s="2"/>
    </row>
    <row r="66" spans="1:106" ht="15" hidden="1" customHeight="1">
      <c r="A66" s="32"/>
      <c r="B66" s="67"/>
      <c r="C66" s="67"/>
      <c r="D66" s="67"/>
      <c r="E66" s="67"/>
      <c r="F66" s="67"/>
      <c r="G66" s="32"/>
      <c r="H66" s="32"/>
      <c r="I66" s="32"/>
      <c r="J66" s="32"/>
      <c r="K66" s="31">
        <f t="shared" si="132"/>
        <v>7</v>
      </c>
      <c r="L66" s="31">
        <f t="shared" si="133"/>
        <v>3</v>
      </c>
      <c r="M66" s="31">
        <f t="shared" ref="M66:N66" si="157">IF(S66=0,0,(IF(S66&gt;6,6,(IF(S66&lt;1,1,S66)))))</f>
        <v>3</v>
      </c>
      <c r="N66" s="32">
        <f t="shared" si="157"/>
        <v>4</v>
      </c>
      <c r="O66" s="31">
        <f t="shared" si="135"/>
        <v>8</v>
      </c>
      <c r="P66" s="32"/>
      <c r="Q66" s="31">
        <f>IFERROR((VLOOKUP($BO$1&amp;C9,Teams!D:M,2,0)+AK66+AC66),0)</f>
        <v>7</v>
      </c>
      <c r="R66" s="31">
        <f>IFERROR((VLOOKUP($BO$1&amp;C9,Teams!D:M,3,0)+AL66+AD66),0)</f>
        <v>3</v>
      </c>
      <c r="S66" s="31">
        <f>IFERROR((VLOOKUP($BO$1&amp;C9,Teams!D:M,4,0)+AM66-AE66),0)</f>
        <v>3</v>
      </c>
      <c r="T66" s="31">
        <f>IFERROR((VLOOKUP($BO$1&amp;C9,Teams!D:M,5,0)+AN66-AF66),0)</f>
        <v>4</v>
      </c>
      <c r="U66" s="31">
        <f>IFERROR((VLOOKUP($BO$1&amp;C9,Teams!D:M,6,0)+AO66+AG66),0)</f>
        <v>8</v>
      </c>
      <c r="V66" s="32"/>
      <c r="W66" s="32">
        <f>IFERROR((VLOOKUP($BO$1&amp;C9,Teams!D:M,2,0)),0)</f>
        <v>7</v>
      </c>
      <c r="X66" s="32">
        <f>IFERROR((VLOOKUP($BO$1&amp;C9,Teams!D:M,3,0)),0)</f>
        <v>3</v>
      </c>
      <c r="Y66" s="32">
        <f>IFERROR((VLOOKUP($BO$1&amp;C9,Teams!D:M,4,0)),0)</f>
        <v>3</v>
      </c>
      <c r="Z66" s="32">
        <f>IFERROR((VLOOKUP($BO$1&amp;C9,Teams!D:M,5,0)),0)</f>
        <v>4</v>
      </c>
      <c r="AA66" s="32">
        <f>IFERROR((VLOOKUP($BO$1&amp;C9,Teams!D:M,6,0)),0)</f>
        <v>8</v>
      </c>
      <c r="AB66" s="32"/>
      <c r="AC66" s="32">
        <f t="shared" si="136"/>
        <v>0</v>
      </c>
      <c r="AD66" s="32">
        <f t="shared" si="137"/>
        <v>0</v>
      </c>
      <c r="AE66" s="32">
        <f t="shared" si="138"/>
        <v>0</v>
      </c>
      <c r="AF66" s="32">
        <f t="shared" si="139"/>
        <v>0</v>
      </c>
      <c r="AG66" s="32">
        <f t="shared" si="140"/>
        <v>0</v>
      </c>
      <c r="AH66" s="32"/>
      <c r="AI66" s="32">
        <v>2</v>
      </c>
      <c r="AJ66" s="32"/>
      <c r="AK66" s="31">
        <f t="shared" ref="AK66:AL66" si="158">AK43</f>
        <v>0</v>
      </c>
      <c r="AL66" s="31">
        <f t="shared" si="158"/>
        <v>0</v>
      </c>
      <c r="AM66" s="31">
        <f t="shared" si="142"/>
        <v>0</v>
      </c>
      <c r="AN66" s="31">
        <f t="shared" si="143"/>
        <v>0</v>
      </c>
      <c r="AO66" s="31">
        <f t="shared" si="144"/>
        <v>0</v>
      </c>
      <c r="AP66" s="32"/>
      <c r="AQ66" s="32"/>
      <c r="AR66" s="31">
        <v>970000</v>
      </c>
      <c r="AS66" s="31"/>
      <c r="AT66" s="31"/>
      <c r="AU66" s="31"/>
      <c r="AV66" s="31"/>
      <c r="AW66" s="31"/>
      <c r="AX66" s="32"/>
      <c r="AY66" s="32">
        <v>6</v>
      </c>
      <c r="AZ66" s="94" t="s">
        <v>299</v>
      </c>
      <c r="BA66" s="32" t="str">
        <f>IF(J24="English","YES",(IF(J24="Español","SÍ",(IF(J24="Deutsch","JA",(IF(J24="Français","OUI")))))))</f>
        <v>YES</v>
      </c>
      <c r="BB66" s="32"/>
      <c r="BC66" s="93"/>
      <c r="BD66" s="92" t="str">
        <f>IF(J24="English","FINK DA FIXER",(IF(J24="Español","FINK DA FIXER",(IF(J24="Deutsch","FINK DA FIXER",(IF(J24="Français","FINK DA FIXER")))))))</f>
        <v>FINK DA FIXER</v>
      </c>
      <c r="BE66" s="93">
        <f>IFERROR((IF(OR(COUNTIF($BU$2,"*BadlandsBrawl*"),COUNTIF($BU$2,"*UnderworldChallenge*")),90000,0)),0)</f>
        <v>0</v>
      </c>
      <c r="BF66" s="2"/>
      <c r="BG66" s="2"/>
      <c r="BH66" s="92" t="str">
        <f>IF($J$24="English","WARLOCK ENGINEER",(IF($J$24="Español","WARLOCK ENGINEER",(IF($J$24="Deutsch","WARLOCK ENGINEER",(IF($J$24="Français","WARLOCK ENGINEER")))))))</f>
        <v>WARLOCK ENGINEER</v>
      </c>
      <c r="BI66" s="93">
        <f>IFERROR((IF(OR(COUNTIF($BU$2,"*UnderworldChallenge*")),150000,0)),0)</f>
        <v>0</v>
      </c>
      <c r="BJ66" s="2"/>
      <c r="BK66" s="32"/>
      <c r="BL66" s="2"/>
      <c r="BM66" s="32"/>
      <c r="BN66" s="32"/>
      <c r="BO66" s="92"/>
      <c r="BP66" s="93"/>
      <c r="BQ66" s="2"/>
      <c r="BR66" s="2"/>
      <c r="BS66" s="96" t="str">
        <f>IF($J$24="English","Dirty Player (+1)",(IF($J$24="Español","Furia",(IF($J$24="Deutsch","Ballgefühl",(IF($J$24="Français","Frappe précise")))))))</f>
        <v>Dirty Player (+1)</v>
      </c>
      <c r="BT66" s="32" t="s">
        <v>247</v>
      </c>
      <c r="BU66" s="96" t="str">
        <f>IF($J$24="English","Dirty Player (+1)",(IF($J$24="Español","Furia",(IF($J$24="Deutsch","Ballgefühl",(IF($J$24="Français","Frappe précise")))))))</f>
        <v>Dirty Player (+1)</v>
      </c>
      <c r="BV66" s="32" t="s">
        <v>247</v>
      </c>
      <c r="BW66" s="96" t="str">
        <f>IF($J$24="English","Dirty Player (+1)",(IF($J$24="Español","Furia",(IF($J$24="Deutsch","Ballgefühl",(IF($J$24="Français","Frappe précise")))))))</f>
        <v>Dirty Player (+1)</v>
      </c>
      <c r="BX66" s="32" t="s">
        <v>247</v>
      </c>
      <c r="BY66" s="96" t="str">
        <f>IF($J$24="English","Dirty Player (+1)",(IF($J$24="Español","Furia",(IF($J$24="Deutsch","Ballgefühl",(IF($J$24="Français","Frappe précise")))))))</f>
        <v>Dirty Player (+1)</v>
      </c>
      <c r="BZ66" s="32" t="s">
        <v>247</v>
      </c>
      <c r="CA66" s="33"/>
      <c r="CB66" s="96" t="str">
        <f>IF(J24="English","Fend",(IF(J24="Español","Juego Sucio (+1)",(IF(J24="Deutsch","Block",(IF(J24="Français","Frénésie ")))))))</f>
        <v>Fend</v>
      </c>
      <c r="CC66" s="32" t="s">
        <v>247</v>
      </c>
      <c r="CD66" s="2"/>
      <c r="CE66" s="95"/>
      <c r="CF66" s="33"/>
      <c r="CG66" s="87" t="str">
        <f t="shared" si="116"/>
        <v>Dirty Player (+1)</v>
      </c>
      <c r="CH66" s="87" t="str">
        <f t="shared" si="117"/>
        <v>Dirty Player (+1)</v>
      </c>
      <c r="CI66" s="87" t="str">
        <f t="shared" si="118"/>
        <v>Dirty Player (+1)</v>
      </c>
      <c r="CJ66" s="87" t="str">
        <f t="shared" si="119"/>
        <v>Dirty Player (+1)</v>
      </c>
      <c r="CK66" s="87" t="str">
        <f t="shared" si="120"/>
        <v>Dirty Player (+1)</v>
      </c>
      <c r="CL66" s="87" t="str">
        <f t="shared" si="121"/>
        <v>Dirty Player (+1)</v>
      </c>
      <c r="CM66" s="87" t="str">
        <f t="shared" si="122"/>
        <v>Dirty Player (+1)</v>
      </c>
      <c r="CN66" s="87" t="str">
        <f t="shared" si="123"/>
        <v>Dirty Player (+1)</v>
      </c>
      <c r="CO66" s="87" t="str">
        <f t="shared" si="124"/>
        <v>Dirty Player (+1)</v>
      </c>
      <c r="CP66" s="87" t="str">
        <f t="shared" si="125"/>
        <v>Dirty Player (+1)</v>
      </c>
      <c r="CQ66" s="87" t="str">
        <f t="shared" si="126"/>
        <v>Dirty Player (+1)</v>
      </c>
      <c r="CR66" s="87" t="str">
        <f t="shared" si="127"/>
        <v>Dirty Player (+1)</v>
      </c>
      <c r="CS66" s="87" t="b">
        <f t="shared" si="128"/>
        <v>0</v>
      </c>
      <c r="CT66" s="87" t="b">
        <f t="shared" si="129"/>
        <v>0</v>
      </c>
      <c r="CU66" s="87" t="b">
        <f t="shared" si="130"/>
        <v>0</v>
      </c>
      <c r="CV66" s="87" t="b">
        <f t="shared" si="131"/>
        <v>0</v>
      </c>
      <c r="CW66" s="2"/>
      <c r="CX66" s="2"/>
      <c r="CY66" s="2"/>
      <c r="CZ66" s="32"/>
      <c r="DA66" s="2"/>
      <c r="DB66" s="2"/>
    </row>
    <row r="67" spans="1:106" ht="15" hidden="1" customHeight="1">
      <c r="A67" s="32"/>
      <c r="B67" s="67"/>
      <c r="C67" s="67"/>
      <c r="D67" s="67"/>
      <c r="E67" s="67"/>
      <c r="F67" s="67"/>
      <c r="G67" s="32"/>
      <c r="H67" s="32"/>
      <c r="I67" s="32"/>
      <c r="J67" s="32"/>
      <c r="K67" s="31">
        <f t="shared" si="132"/>
        <v>4</v>
      </c>
      <c r="L67" s="31">
        <f t="shared" si="133"/>
        <v>3</v>
      </c>
      <c r="M67" s="31">
        <f t="shared" ref="M67:N67" si="159">IF(S67=0,0,(IF(S67&gt;6,6,(IF(S67&lt;1,1,S67)))))</f>
        <v>4</v>
      </c>
      <c r="N67" s="32">
        <f t="shared" si="159"/>
        <v>0</v>
      </c>
      <c r="O67" s="31">
        <f t="shared" si="135"/>
        <v>9</v>
      </c>
      <c r="P67" s="32"/>
      <c r="Q67" s="31">
        <f>IFERROR((VLOOKUP($BO$1&amp;C10,Teams!D:M,2,0)+AK67+AC67),0)</f>
        <v>4</v>
      </c>
      <c r="R67" s="31">
        <f>IFERROR((VLOOKUP($BO$1&amp;C10,Teams!D:M,3,0)+AL67+AD67),0)</f>
        <v>3</v>
      </c>
      <c r="S67" s="31">
        <f>IFERROR((VLOOKUP($BO$1&amp;C10,Teams!D:M,4,0)+AM67-AE67),0)</f>
        <v>4</v>
      </c>
      <c r="T67" s="31">
        <f>IFERROR((VLOOKUP($BO$1&amp;C10,Teams!D:M,5,0)+AN67-AF67),0)</f>
        <v>0</v>
      </c>
      <c r="U67" s="31">
        <f>IFERROR((VLOOKUP($BO$1&amp;C10,Teams!D:M,6,0)+AO67+AG67),0)</f>
        <v>9</v>
      </c>
      <c r="V67" s="32"/>
      <c r="W67" s="32">
        <f>IFERROR((VLOOKUP($BO$1&amp;C10,Teams!D:M,2,0)),0)</f>
        <v>4</v>
      </c>
      <c r="X67" s="32">
        <f>IFERROR((VLOOKUP($BO$1&amp;C10,Teams!D:M,3,0)),0)</f>
        <v>3</v>
      </c>
      <c r="Y67" s="32">
        <f>IFERROR((VLOOKUP($BO$1&amp;C10,Teams!D:M,4,0)),0)</f>
        <v>4</v>
      </c>
      <c r="Z67" s="32">
        <f>IFERROR((VLOOKUP($BO$1&amp;C10,Teams!D:M,5,0)),0)</f>
        <v>0</v>
      </c>
      <c r="AA67" s="32">
        <f>IFERROR((VLOOKUP($BO$1&amp;C10,Teams!D:M,6,0)),0)</f>
        <v>9</v>
      </c>
      <c r="AB67" s="32"/>
      <c r="AC67" s="32">
        <f t="shared" si="136"/>
        <v>0</v>
      </c>
      <c r="AD67" s="32">
        <f t="shared" si="137"/>
        <v>0</v>
      </c>
      <c r="AE67" s="32">
        <f t="shared" si="138"/>
        <v>0</v>
      </c>
      <c r="AF67" s="32">
        <f t="shared" si="139"/>
        <v>0</v>
      </c>
      <c r="AG67" s="32">
        <f t="shared" si="140"/>
        <v>0</v>
      </c>
      <c r="AH67" s="32"/>
      <c r="AI67" s="90">
        <v>3</v>
      </c>
      <c r="AJ67" s="32"/>
      <c r="AK67" s="31">
        <f t="shared" ref="AK67:AL67" si="160">AK44</f>
        <v>0</v>
      </c>
      <c r="AL67" s="31">
        <f t="shared" si="160"/>
        <v>0</v>
      </c>
      <c r="AM67" s="31">
        <f t="shared" si="142"/>
        <v>0</v>
      </c>
      <c r="AN67" s="31">
        <f t="shared" si="143"/>
        <v>0</v>
      </c>
      <c r="AO67" s="31">
        <f t="shared" si="144"/>
        <v>0</v>
      </c>
      <c r="AP67" s="32"/>
      <c r="AQ67" s="32"/>
      <c r="AR67" s="31">
        <v>980000</v>
      </c>
      <c r="AS67" s="31"/>
      <c r="AT67" s="31"/>
      <c r="AU67" s="31"/>
      <c r="AV67" s="31"/>
      <c r="AW67" s="31"/>
      <c r="AX67" s="32"/>
      <c r="AY67" s="32">
        <v>7</v>
      </c>
      <c r="AZ67" s="94" t="s">
        <v>300</v>
      </c>
      <c r="BA67" s="32" t="str">
        <f>IF(J24="English","NO",(IF(J24="Español","NO",(IF(J24="Deutsch","NEIN",(IF(J24="Français","NON")))))))</f>
        <v>NO</v>
      </c>
      <c r="BB67" s="32"/>
      <c r="BC67" s="93"/>
      <c r="BD67" s="92" t="str">
        <f>IF(J24="English","SCHIELUND SCHARLITAN",(IF(J24="Español","SCHIELUND SCHARLITAN",(IF(J24="Deutsch","SCHIELUND SCHARLITAN",(IF(J24="Français","SCHIELUND SCHARLITAN")))))))</f>
        <v>SCHIELUND SCHARLITAN</v>
      </c>
      <c r="BE67" s="93">
        <v>90000</v>
      </c>
      <c r="BF67" s="2"/>
      <c r="BG67" s="2"/>
      <c r="BH67" s="92" t="str">
        <f>IF($J$24="English","OGRE FIREBELLY",(IF($J$24="Español","OGRE FIREBELLY",(IF($J$24="Deutsch","OGRE FIREBELLY",(IF($J$24="Français","OGRE FIREBELLY")))))))</f>
        <v>OGRE FIREBELLY</v>
      </c>
      <c r="BI67" s="93">
        <f>IFERROR((IF(OR(COUNTIF($BU$2,"*BadlandsBrawl*")),150000,0)),0)</f>
        <v>0</v>
      </c>
      <c r="BJ67" s="2"/>
      <c r="BK67" s="32"/>
      <c r="BL67" s="2"/>
      <c r="BM67" s="32"/>
      <c r="BN67" s="32"/>
      <c r="BO67" s="32"/>
      <c r="BP67" s="2"/>
      <c r="BQ67" s="2"/>
      <c r="BR67" s="2"/>
      <c r="BS67" s="96" t="str">
        <f>IF($J$24="English","Fend",(IF($J$24="Español","Juego Sucio (+1)",(IF($J$24="Deutsch","Block",(IF($J$24="Français","Frénésie ")))))))</f>
        <v>Fend</v>
      </c>
      <c r="BT67" s="32" t="s">
        <v>247</v>
      </c>
      <c r="BU67" s="96" t="str">
        <f>IF($J$24="English","Fend",(IF($J$24="Español","Juego Sucio (+1)",(IF($J$24="Deutsch","Block",(IF($J$24="Français","Frénésie ")))))))</f>
        <v>Fend</v>
      </c>
      <c r="BV67" s="32" t="s">
        <v>247</v>
      </c>
      <c r="BW67" s="96" t="str">
        <f>IF($J$24="English","Fend",(IF($J$24="Español","Juego Sucio (+1)",(IF($J$24="Deutsch","Block",(IF($J$24="Français","Frénésie ")))))))</f>
        <v>Fend</v>
      </c>
      <c r="BX67" s="32" t="s">
        <v>247</v>
      </c>
      <c r="BY67" s="96" t="str">
        <f>IF($J$24="English","Fend",(IF($J$24="Español","Juego Sucio (+1)",(IF($J$24="Deutsch","Block",(IF($J$24="Français","Frénésie ")))))))</f>
        <v>Fend</v>
      </c>
      <c r="BZ67" s="32" t="s">
        <v>247</v>
      </c>
      <c r="CA67" s="33"/>
      <c r="CB67" s="96" t="str">
        <f>IF(J24="English","Frenzy",(IF(J24="Español","Manos Seguras",(IF(J24="Deutsch","Brutal (+1)",(IF(J24="Français","Intrépide")))))))</f>
        <v>Frenzy</v>
      </c>
      <c r="CC67" s="32" t="s">
        <v>247</v>
      </c>
      <c r="CD67" s="2"/>
      <c r="CE67" s="95"/>
      <c r="CF67" s="33"/>
      <c r="CG67" s="87" t="str">
        <f t="shared" si="116"/>
        <v>Fend</v>
      </c>
      <c r="CH67" s="87" t="str">
        <f t="shared" si="117"/>
        <v>Fend</v>
      </c>
      <c r="CI67" s="87" t="str">
        <f t="shared" si="118"/>
        <v>Fend</v>
      </c>
      <c r="CJ67" s="87" t="str">
        <f t="shared" si="119"/>
        <v>Fend</v>
      </c>
      <c r="CK67" s="87" t="str">
        <f t="shared" si="120"/>
        <v>Fend</v>
      </c>
      <c r="CL67" s="87" t="str">
        <f t="shared" si="121"/>
        <v>Fend</v>
      </c>
      <c r="CM67" s="87" t="str">
        <f t="shared" si="122"/>
        <v>Fend</v>
      </c>
      <c r="CN67" s="87" t="str">
        <f t="shared" si="123"/>
        <v>Fend</v>
      </c>
      <c r="CO67" s="87" t="str">
        <f t="shared" si="124"/>
        <v>Fend</v>
      </c>
      <c r="CP67" s="87" t="str">
        <f t="shared" si="125"/>
        <v>Fend</v>
      </c>
      <c r="CQ67" s="87" t="str">
        <f t="shared" si="126"/>
        <v>Fend</v>
      </c>
      <c r="CR67" s="87" t="str">
        <f t="shared" si="127"/>
        <v>Fend</v>
      </c>
      <c r="CS67" s="87" t="b">
        <f t="shared" si="128"/>
        <v>0</v>
      </c>
      <c r="CT67" s="87" t="b">
        <f t="shared" si="129"/>
        <v>0</v>
      </c>
      <c r="CU67" s="87" t="b">
        <f t="shared" si="130"/>
        <v>0</v>
      </c>
      <c r="CV67" s="87" t="b">
        <f t="shared" si="131"/>
        <v>0</v>
      </c>
      <c r="CW67" s="2"/>
      <c r="CX67" s="2"/>
      <c r="CY67" s="2"/>
      <c r="CZ67" s="32"/>
      <c r="DA67" s="2"/>
      <c r="DB67" s="2"/>
    </row>
    <row r="68" spans="1:106" ht="15" hidden="1" customHeight="1">
      <c r="A68" s="32"/>
      <c r="B68" s="32"/>
      <c r="C68" s="67"/>
      <c r="D68" s="67"/>
      <c r="E68" s="67"/>
      <c r="F68" s="67"/>
      <c r="G68" s="32"/>
      <c r="H68" s="32"/>
      <c r="I68" s="32"/>
      <c r="J68" s="32"/>
      <c r="K68" s="31">
        <f t="shared" si="132"/>
        <v>4</v>
      </c>
      <c r="L68" s="31">
        <f t="shared" si="133"/>
        <v>3</v>
      </c>
      <c r="M68" s="31">
        <f t="shared" ref="M68:N68" si="161">IF(S68=0,0,(IF(S68&gt;6,6,(IF(S68&lt;1,1,S68)))))</f>
        <v>4</v>
      </c>
      <c r="N68" s="32">
        <f t="shared" si="161"/>
        <v>0</v>
      </c>
      <c r="O68" s="31">
        <f t="shared" si="135"/>
        <v>9</v>
      </c>
      <c r="P68" s="32"/>
      <c r="Q68" s="31">
        <f>IFERROR((VLOOKUP($BO$1&amp;C11,Teams!D:M,2,0)+AK68+AC68),0)</f>
        <v>4</v>
      </c>
      <c r="R68" s="31">
        <f>IFERROR((VLOOKUP($BO$1&amp;C11,Teams!D:M,3,0)+AL68+AD68),0)</f>
        <v>3</v>
      </c>
      <c r="S68" s="31">
        <f>IFERROR((VLOOKUP($BO$1&amp;C11,Teams!D:M,4,0)+AM68-AE68),0)</f>
        <v>4</v>
      </c>
      <c r="T68" s="31">
        <f>IFERROR((VLOOKUP($BO$1&amp;C11,Teams!D:M,5,0)+AN68-AF68),0)</f>
        <v>0</v>
      </c>
      <c r="U68" s="31">
        <f>IFERROR((VLOOKUP($BO$1&amp;C11,Teams!D:M,6,0)+AO68+AG68),0)</f>
        <v>9</v>
      </c>
      <c r="V68" s="32"/>
      <c r="W68" s="32">
        <f>IFERROR((VLOOKUP($BO$1&amp;C11,Teams!D:M,2,0)),0)</f>
        <v>4</v>
      </c>
      <c r="X68" s="32">
        <f>IFERROR((VLOOKUP($BO$1&amp;C11,Teams!D:M,3,0)),0)</f>
        <v>3</v>
      </c>
      <c r="Y68" s="32">
        <f>IFERROR((VLOOKUP($BO$1&amp;C11,Teams!D:M,4,0)),0)</f>
        <v>4</v>
      </c>
      <c r="Z68" s="32">
        <f>IFERROR((VLOOKUP($BO$1&amp;C11,Teams!D:M,5,0)),0)</f>
        <v>0</v>
      </c>
      <c r="AA68" s="32">
        <f>IFERROR((VLOOKUP($BO$1&amp;C11,Teams!D:M,6,0)),0)</f>
        <v>9</v>
      </c>
      <c r="AB68" s="32"/>
      <c r="AC68" s="32">
        <f t="shared" si="136"/>
        <v>0</v>
      </c>
      <c r="AD68" s="32">
        <f t="shared" si="137"/>
        <v>0</v>
      </c>
      <c r="AE68" s="32">
        <f t="shared" si="138"/>
        <v>0</v>
      </c>
      <c r="AF68" s="32">
        <f t="shared" si="139"/>
        <v>0</v>
      </c>
      <c r="AG68" s="32">
        <f t="shared" si="140"/>
        <v>0</v>
      </c>
      <c r="AH68" s="32"/>
      <c r="AI68" s="90">
        <v>4</v>
      </c>
      <c r="AJ68" s="32"/>
      <c r="AK68" s="31">
        <f t="shared" ref="AK68:AL68" si="162">AK45</f>
        <v>0</v>
      </c>
      <c r="AL68" s="31">
        <f t="shared" si="162"/>
        <v>0</v>
      </c>
      <c r="AM68" s="31">
        <f t="shared" si="142"/>
        <v>0</v>
      </c>
      <c r="AN68" s="31">
        <f t="shared" si="143"/>
        <v>0</v>
      </c>
      <c r="AO68" s="31">
        <f t="shared" si="144"/>
        <v>0</v>
      </c>
      <c r="AP68" s="32"/>
      <c r="AQ68" s="32"/>
      <c r="AR68" s="31">
        <v>990000</v>
      </c>
      <c r="AS68" s="31"/>
      <c r="AT68" s="31"/>
      <c r="AU68" s="31"/>
      <c r="AV68" s="31"/>
      <c r="AW68" s="31"/>
      <c r="AX68" s="32"/>
      <c r="AY68" s="32">
        <v>8</v>
      </c>
      <c r="AZ68" s="31">
        <v>20000</v>
      </c>
      <c r="BA68" s="32"/>
      <c r="BB68" s="32"/>
      <c r="BC68" s="32"/>
      <c r="BD68" s="93"/>
      <c r="BE68" s="93"/>
      <c r="BF68" s="2"/>
      <c r="BG68" s="2"/>
      <c r="BH68" s="92" t="str">
        <f>IF($J$24="English","NIGHT GOBLIN SHAMAN",(IF($J$24="Español","NIGHT GOBLIN SHAMAN",(IF($J$24="Deutsch","NIGHT GOBLIN SHAMAN",(IF($J$24="Français","NIGHT GOBLIN SHAMAN")))))))</f>
        <v>NIGHT GOBLIN SHAMAN</v>
      </c>
      <c r="BI68" s="93">
        <f>IFERROR((IF(OR(COUNTIF($BU$2,"*BadlandsBrawl*"),COUNTIF($BU$2,"*UnderworldChallenge*")),150000,0)),0)</f>
        <v>0</v>
      </c>
      <c r="BJ68" s="2"/>
      <c r="BK68" s="32"/>
      <c r="BL68" s="2"/>
      <c r="BM68" s="32"/>
      <c r="BN68" s="32"/>
      <c r="BO68" s="32"/>
      <c r="BP68" s="2"/>
      <c r="BQ68" s="2"/>
      <c r="BR68" s="2"/>
      <c r="BS68" s="96" t="str">
        <f>IF($J$24="English","Frenzy",(IF($J$24="Español","Manos Seguras",(IF($J$24="Deutsch","Brutal (+1)",(IF($J$24="Français","Intrépide")))))))</f>
        <v>Frenzy</v>
      </c>
      <c r="BT68" s="32" t="s">
        <v>247</v>
      </c>
      <c r="BU68" s="96" t="str">
        <f>IF($J$24="English","Frenzy",(IF($J$24="Español","Manos Seguras",(IF($J$24="Deutsch","Brutal (+1)",(IF($J$24="Français","Intrépide")))))))</f>
        <v>Frenzy</v>
      </c>
      <c r="BV68" s="32" t="s">
        <v>247</v>
      </c>
      <c r="BW68" s="96" t="str">
        <f>IF($J$24="English","Frenzy",(IF($J$24="Español","Manos Seguras",(IF($J$24="Deutsch","Brutal (+1)",(IF($J$24="Français","Intrépide")))))))</f>
        <v>Frenzy</v>
      </c>
      <c r="BX68" s="32" t="s">
        <v>247</v>
      </c>
      <c r="BY68" s="96" t="str">
        <f>IF($J$24="English","Frenzy",(IF($J$24="Español","Manos Seguras",(IF($J$24="Deutsch","Brutal (+1)",(IF($J$24="Français","Intrépide")))))))</f>
        <v>Frenzy</v>
      </c>
      <c r="BZ68" s="32" t="s">
        <v>247</v>
      </c>
      <c r="CA68" s="33"/>
      <c r="CB68" s="96" t="str">
        <f>IF(J24="English","Kick",(IF(J24="Español","Patada",(IF(J24="Deutsch","Kicken",(IF(J24="Français","Joueur Déloyal (+1)")))))))</f>
        <v>Kick</v>
      </c>
      <c r="CC68" s="32" t="s">
        <v>247</v>
      </c>
      <c r="CD68" s="2"/>
      <c r="CE68" s="95"/>
      <c r="CF68" s="33"/>
      <c r="CG68" s="87" t="str">
        <f t="shared" si="116"/>
        <v>Frenzy</v>
      </c>
      <c r="CH68" s="87" t="str">
        <f t="shared" si="117"/>
        <v>Frenzy</v>
      </c>
      <c r="CI68" s="87" t="str">
        <f t="shared" si="118"/>
        <v>Frenzy</v>
      </c>
      <c r="CJ68" s="87" t="str">
        <f t="shared" si="119"/>
        <v>Frenzy</v>
      </c>
      <c r="CK68" s="87" t="str">
        <f t="shared" si="120"/>
        <v>Frenzy</v>
      </c>
      <c r="CL68" s="87" t="str">
        <f t="shared" si="121"/>
        <v>Frenzy</v>
      </c>
      <c r="CM68" s="87" t="str">
        <f t="shared" si="122"/>
        <v>Frenzy</v>
      </c>
      <c r="CN68" s="87" t="str">
        <f t="shared" si="123"/>
        <v>Frenzy</v>
      </c>
      <c r="CO68" s="87" t="str">
        <f t="shared" si="124"/>
        <v>Frenzy</v>
      </c>
      <c r="CP68" s="87" t="str">
        <f t="shared" si="125"/>
        <v>Frenzy</v>
      </c>
      <c r="CQ68" s="87" t="str">
        <f t="shared" si="126"/>
        <v>Frenzy</v>
      </c>
      <c r="CR68" s="87" t="str">
        <f t="shared" si="127"/>
        <v>Frenzy</v>
      </c>
      <c r="CS68" s="87" t="b">
        <f t="shared" si="128"/>
        <v>0</v>
      </c>
      <c r="CT68" s="87" t="b">
        <f t="shared" si="129"/>
        <v>0</v>
      </c>
      <c r="CU68" s="87" t="b">
        <f t="shared" si="130"/>
        <v>0</v>
      </c>
      <c r="CV68" s="87" t="b">
        <f t="shared" si="131"/>
        <v>0</v>
      </c>
      <c r="CW68" s="2"/>
      <c r="CX68" s="2"/>
      <c r="CY68" s="2"/>
      <c r="CZ68" s="32"/>
      <c r="DA68" s="2"/>
      <c r="DB68" s="2"/>
    </row>
    <row r="69" spans="1:106" ht="15" hidden="1" customHeight="1">
      <c r="A69" s="32"/>
      <c r="B69" s="67"/>
      <c r="C69" s="67"/>
      <c r="D69" s="67"/>
      <c r="E69" s="67"/>
      <c r="F69" s="67"/>
      <c r="G69" s="32"/>
      <c r="H69" s="32"/>
      <c r="I69" s="32"/>
      <c r="J69" s="32"/>
      <c r="K69" s="31">
        <f t="shared" si="132"/>
        <v>4</v>
      </c>
      <c r="L69" s="31">
        <f t="shared" si="133"/>
        <v>3</v>
      </c>
      <c r="M69" s="31">
        <f t="shared" ref="M69:N69" si="163">IF(S69=0,0,(IF(S69&gt;6,6,(IF(S69&lt;1,1,S69)))))</f>
        <v>4</v>
      </c>
      <c r="N69" s="32">
        <f t="shared" si="163"/>
        <v>0</v>
      </c>
      <c r="O69" s="31">
        <f t="shared" si="135"/>
        <v>8</v>
      </c>
      <c r="P69" s="32"/>
      <c r="Q69" s="31">
        <f>IFERROR((VLOOKUP($BO$1&amp;C12,Teams!D:M,2,0)+AK69+AC69),0)</f>
        <v>4</v>
      </c>
      <c r="R69" s="31">
        <f>IFERROR((VLOOKUP($BO$1&amp;C12,Teams!D:M,3,0)+AL69+AD69),0)</f>
        <v>3</v>
      </c>
      <c r="S69" s="31">
        <f>IFERROR((VLOOKUP($BO$1&amp;C12,Teams!D:M,4,0)+AM69-AE69),0)</f>
        <v>4</v>
      </c>
      <c r="T69" s="31">
        <f>IFERROR((VLOOKUP($BO$1&amp;C12,Teams!D:M,5,0)+AN69-AF69),0)</f>
        <v>0</v>
      </c>
      <c r="U69" s="31">
        <f>IFERROR((VLOOKUP($BO$1&amp;C12,Teams!D:M,6,0)+AO69+AG69),0)</f>
        <v>8</v>
      </c>
      <c r="V69" s="32"/>
      <c r="W69" s="32">
        <f>IFERROR((VLOOKUP($BO$1&amp;C12,Teams!D:M,2,0)),0)</f>
        <v>4</v>
      </c>
      <c r="X69" s="32">
        <f>IFERROR((VLOOKUP($BO$1&amp;C12,Teams!D:M,3,0)),0)</f>
        <v>3</v>
      </c>
      <c r="Y69" s="32">
        <f>IFERROR((VLOOKUP($BO$1&amp;C12,Teams!D:M,4,0)),0)</f>
        <v>4</v>
      </c>
      <c r="Z69" s="32">
        <f>IFERROR((VLOOKUP($BO$1&amp;C12,Teams!D:M,5,0)),0)</f>
        <v>0</v>
      </c>
      <c r="AA69" s="32">
        <f>IFERROR((VLOOKUP($BO$1&amp;C12,Teams!D:M,6,0)),0)</f>
        <v>9</v>
      </c>
      <c r="AB69" s="32"/>
      <c r="AC69" s="32">
        <f t="shared" si="136"/>
        <v>0</v>
      </c>
      <c r="AD69" s="32">
        <f t="shared" si="137"/>
        <v>0</v>
      </c>
      <c r="AE69" s="32">
        <f t="shared" si="138"/>
        <v>0</v>
      </c>
      <c r="AF69" s="32">
        <f t="shared" si="139"/>
        <v>0</v>
      </c>
      <c r="AG69" s="32">
        <f t="shared" si="140"/>
        <v>0</v>
      </c>
      <c r="AH69" s="32"/>
      <c r="AI69" s="32" t="str">
        <f>""</f>
        <v/>
      </c>
      <c r="AJ69" s="32"/>
      <c r="AK69" s="31">
        <f t="shared" ref="AK69:AL69" si="164">AK46</f>
        <v>0</v>
      </c>
      <c r="AL69" s="31">
        <f t="shared" si="164"/>
        <v>0</v>
      </c>
      <c r="AM69" s="31">
        <f t="shared" si="142"/>
        <v>0</v>
      </c>
      <c r="AN69" s="31">
        <f t="shared" si="143"/>
        <v>0</v>
      </c>
      <c r="AO69" s="31">
        <f t="shared" si="144"/>
        <v>-1</v>
      </c>
      <c r="AP69" s="32"/>
      <c r="AQ69" s="32"/>
      <c r="AR69" s="31">
        <v>1000000</v>
      </c>
      <c r="AS69" s="31"/>
      <c r="AT69" s="31"/>
      <c r="AU69" s="31"/>
      <c r="AV69" s="31"/>
      <c r="AW69" s="31"/>
      <c r="AX69" s="32"/>
      <c r="AY69" s="32">
        <v>9</v>
      </c>
      <c r="AZ69" s="31">
        <v>30000</v>
      </c>
      <c r="BA69" s="45" t="s">
        <v>301</v>
      </c>
      <c r="BB69" s="32"/>
      <c r="BC69" s="32"/>
      <c r="BD69" s="93"/>
      <c r="BE69" s="93"/>
      <c r="BF69" s="2"/>
      <c r="BG69" s="2"/>
      <c r="BH69" s="92" t="str">
        <f>IF($J$24="English","HORATIO X. SCHOTTENHEIM",(IF($J$24="Español","HORATIO X. SCHOTTENHEIM",(IF($J$24="Deutsch","HORATIO X. SCHOTTENHEIM",(IF($J$24="Français","HORATIO X. SCHOTTENHEIM")))))))</f>
        <v>HORATIO X. SCHOTTENHEIM</v>
      </c>
      <c r="BI69" s="93">
        <v>80000</v>
      </c>
      <c r="BJ69" s="2"/>
      <c r="BK69" s="32"/>
      <c r="BL69" s="2"/>
      <c r="BM69" s="32"/>
      <c r="BN69" s="32"/>
      <c r="BO69" s="32"/>
      <c r="BP69" s="2"/>
      <c r="BQ69" s="2"/>
      <c r="BR69" s="2"/>
      <c r="BS69" s="96" t="str">
        <f>IF($J$24="English","Kick",(IF($J$24="Español","Patada",(IF($J$24="Deutsch","Kicken",(IF($J$24="Français","Joueur Déloyal (+1)")))))))</f>
        <v>Kick</v>
      </c>
      <c r="BT69" s="32" t="s">
        <v>247</v>
      </c>
      <c r="BU69" s="96" t="str">
        <f>IF($J$24="English","Kick",(IF($J$24="Español","Patada",(IF($J$24="Deutsch","Kicken",(IF($J$24="Français","Joueur Déloyal (+1)")))))))</f>
        <v>Kick</v>
      </c>
      <c r="BV69" s="32" t="s">
        <v>247</v>
      </c>
      <c r="BW69" s="96" t="str">
        <f>IF($J$24="English","Kick",(IF($J$24="Español","Patada",(IF($J$24="Deutsch","Kicken",(IF($J$24="Français","Joueur Déloyal (+1)")))))))</f>
        <v>Kick</v>
      </c>
      <c r="BX69" s="32" t="s">
        <v>247</v>
      </c>
      <c r="BY69" s="96" t="str">
        <f>IF($J$24="English","Kick",(IF($J$24="Español","Patada",(IF($J$24="Deutsch","Kicken",(IF($J$24="Français","Joueur Déloyal (+1)")))))))</f>
        <v>Kick</v>
      </c>
      <c r="BZ69" s="32" t="s">
        <v>247</v>
      </c>
      <c r="CA69" s="47"/>
      <c r="CB69" s="96" t="str">
        <f>IF(J24="English","Pro",(IF(J24="Español","Perseguir",(IF(J24="Deutsch","Manndeckung",(IF(J24="Français","Lutte")))))))</f>
        <v>Pro</v>
      </c>
      <c r="CC69" s="32" t="s">
        <v>247</v>
      </c>
      <c r="CD69" s="2"/>
      <c r="CE69" s="95"/>
      <c r="CF69" s="33"/>
      <c r="CG69" s="87" t="str">
        <f t="shared" si="116"/>
        <v>Kick</v>
      </c>
      <c r="CH69" s="87" t="str">
        <f t="shared" si="117"/>
        <v>Kick</v>
      </c>
      <c r="CI69" s="87" t="str">
        <f t="shared" si="118"/>
        <v>Kick</v>
      </c>
      <c r="CJ69" s="87" t="str">
        <f t="shared" si="119"/>
        <v>Kick</v>
      </c>
      <c r="CK69" s="87" t="str">
        <f t="shared" si="120"/>
        <v>Kick</v>
      </c>
      <c r="CL69" s="87" t="str">
        <f t="shared" si="121"/>
        <v>Kick</v>
      </c>
      <c r="CM69" s="87" t="str">
        <f t="shared" si="122"/>
        <v>Kick</v>
      </c>
      <c r="CN69" s="87" t="str">
        <f t="shared" si="123"/>
        <v>Kick</v>
      </c>
      <c r="CO69" s="87" t="str">
        <f t="shared" si="124"/>
        <v>Kick</v>
      </c>
      <c r="CP69" s="87" t="str">
        <f t="shared" si="125"/>
        <v>Kick</v>
      </c>
      <c r="CQ69" s="87" t="str">
        <f t="shared" si="126"/>
        <v>Kick</v>
      </c>
      <c r="CR69" s="87" t="str">
        <f t="shared" si="127"/>
        <v>Kick</v>
      </c>
      <c r="CS69" s="87" t="b">
        <f t="shared" si="128"/>
        <v>0</v>
      </c>
      <c r="CT69" s="87" t="b">
        <f t="shared" si="129"/>
        <v>0</v>
      </c>
      <c r="CU69" s="87" t="b">
        <f t="shared" si="130"/>
        <v>0</v>
      </c>
      <c r="CV69" s="87" t="b">
        <f t="shared" si="131"/>
        <v>0</v>
      </c>
      <c r="CW69" s="2"/>
      <c r="CX69" s="2"/>
      <c r="CY69" s="2"/>
      <c r="CZ69" s="32"/>
      <c r="DA69" s="2"/>
      <c r="DB69" s="2"/>
    </row>
    <row r="70" spans="1:106" ht="15" hidden="1" customHeight="1">
      <c r="A70" s="32"/>
      <c r="B70" s="98"/>
      <c r="C70" s="98"/>
      <c r="D70" s="98"/>
      <c r="E70" s="98"/>
      <c r="F70" s="98"/>
      <c r="G70" s="32"/>
      <c r="H70" s="32"/>
      <c r="I70" s="32"/>
      <c r="J70" s="32"/>
      <c r="K70" s="32">
        <f t="shared" si="132"/>
        <v>6</v>
      </c>
      <c r="L70" s="32">
        <f t="shared" si="133"/>
        <v>3</v>
      </c>
      <c r="M70" s="32">
        <f t="shared" ref="M70:N70" si="165">IF(S70=0,0,(IF(S70&gt;6,6,(IF(S70&lt;1,1,S70)))))</f>
        <v>3</v>
      </c>
      <c r="N70" s="32">
        <f t="shared" si="165"/>
        <v>0</v>
      </c>
      <c r="O70" s="32">
        <f t="shared" si="135"/>
        <v>9</v>
      </c>
      <c r="P70" s="32"/>
      <c r="Q70" s="31">
        <f>IFERROR((VLOOKUP($BO$1&amp;C13,Teams!D:M,2,0)+AK70+AC70),0)</f>
        <v>6</v>
      </c>
      <c r="R70" s="31">
        <f>IFERROR((VLOOKUP($BO$1&amp;C13,Teams!D:M,3,0)+AL70+AD70),0)</f>
        <v>3</v>
      </c>
      <c r="S70" s="31">
        <f>IFERROR((VLOOKUP($BO$1&amp;C13,Teams!D:M,4,0)+AM70-AE70),0)</f>
        <v>3</v>
      </c>
      <c r="T70" s="31">
        <f>IFERROR((VLOOKUP($BO$1&amp;C13,Teams!D:M,5,0)+AN70-AF70),0)</f>
        <v>0</v>
      </c>
      <c r="U70" s="31">
        <f>IFERROR((VLOOKUP($BO$1&amp;C13,Teams!D:M,6,0)+AO70+AG70),0)</f>
        <v>9</v>
      </c>
      <c r="V70" s="32"/>
      <c r="W70" s="32">
        <f>IFERROR((VLOOKUP($BO$1&amp;C13,Teams!D:M,2,0)),0)</f>
        <v>6</v>
      </c>
      <c r="X70" s="32">
        <f>IFERROR((VLOOKUP($BO$1&amp;C13,Teams!D:M,3,0)),0)</f>
        <v>3</v>
      </c>
      <c r="Y70" s="32">
        <f>IFERROR((VLOOKUP($BO$1&amp;C13,Teams!D:M,4,0)),0)</f>
        <v>3</v>
      </c>
      <c r="Z70" s="32">
        <f>IFERROR((VLOOKUP($BO$1&amp;C13,Teams!D:M,5,0)),0)</f>
        <v>0</v>
      </c>
      <c r="AA70" s="32">
        <f>IFERROR((VLOOKUP($BO$1&amp;C13,Teams!D:M,6,0)),0)</f>
        <v>9</v>
      </c>
      <c r="AB70" s="32"/>
      <c r="AC70" s="32">
        <f t="shared" si="136"/>
        <v>0</v>
      </c>
      <c r="AD70" s="32">
        <f t="shared" si="137"/>
        <v>0</v>
      </c>
      <c r="AE70" s="32">
        <f t="shared" si="138"/>
        <v>0</v>
      </c>
      <c r="AF70" s="32">
        <f t="shared" si="139"/>
        <v>0</v>
      </c>
      <c r="AG70" s="32">
        <f t="shared" si="140"/>
        <v>0</v>
      </c>
      <c r="AH70" s="32"/>
      <c r="AI70" s="32">
        <v>1</v>
      </c>
      <c r="AJ70" s="32"/>
      <c r="AK70" s="31">
        <f t="shared" ref="AK70:AL70" si="166">AK47</f>
        <v>0</v>
      </c>
      <c r="AL70" s="31">
        <f t="shared" si="166"/>
        <v>0</v>
      </c>
      <c r="AM70" s="31">
        <f t="shared" si="142"/>
        <v>0</v>
      </c>
      <c r="AN70" s="31">
        <f t="shared" si="143"/>
        <v>0</v>
      </c>
      <c r="AO70" s="31">
        <f t="shared" si="144"/>
        <v>0</v>
      </c>
      <c r="AP70" s="32"/>
      <c r="AQ70" s="32"/>
      <c r="AR70" s="31">
        <v>1010000</v>
      </c>
      <c r="AS70" s="31"/>
      <c r="AT70" s="31"/>
      <c r="AU70" s="31"/>
      <c r="AV70" s="31"/>
      <c r="AW70" s="31"/>
      <c r="AX70" s="32"/>
      <c r="AY70" s="32">
        <v>10</v>
      </c>
      <c r="AZ70" s="31">
        <v>40000</v>
      </c>
      <c r="BA70" s="32">
        <f>SUM(AR2:AR17)</f>
        <v>0</v>
      </c>
      <c r="BB70" s="32"/>
      <c r="BC70" s="32"/>
      <c r="BD70" s="93"/>
      <c r="BE70" s="93"/>
      <c r="BF70" s="2"/>
      <c r="BG70" s="2"/>
      <c r="BH70" s="92"/>
      <c r="BI70" s="93"/>
      <c r="BJ70" s="2"/>
      <c r="BK70" s="32"/>
      <c r="BL70" s="2"/>
      <c r="BM70" s="32"/>
      <c r="BN70" s="32"/>
      <c r="BO70" s="32"/>
      <c r="BP70" s="2"/>
      <c r="BQ70" s="2"/>
      <c r="BR70" s="2"/>
      <c r="BS70" s="96" t="str">
        <f>IF($J$24="English","Pro",(IF($J$24="Español","Perseguir",(IF($J$24="Deutsch","Manndeckung",(IF($J$24="Français","Lutte")))))))</f>
        <v>Pro</v>
      </c>
      <c r="BT70" s="32" t="s">
        <v>247</v>
      </c>
      <c r="BU70" s="96" t="str">
        <f>IF($J$24="English","Pro",(IF($J$24="Español","Perseguir",(IF($J$24="Deutsch","Manndeckung",(IF($J$24="Français","Lutte")))))))</f>
        <v>Pro</v>
      </c>
      <c r="BV70" s="32" t="s">
        <v>247</v>
      </c>
      <c r="BW70" s="96" t="str">
        <f>IF($J$24="English","Pro",(IF($J$24="Español","Perseguir",(IF($J$24="Deutsch","Manndeckung",(IF($J$24="Français","Lutte")))))))</f>
        <v>Pro</v>
      </c>
      <c r="BX70" s="32" t="s">
        <v>247</v>
      </c>
      <c r="BY70" s="96" t="str">
        <f>IF($J$24="English","Pro",(IF($J$24="Español","Perseguir",(IF($J$24="Deutsch","Manndeckung",(IF($J$24="Français","Lutte")))))))</f>
        <v>Pro</v>
      </c>
      <c r="BZ70" s="32" t="s">
        <v>247</v>
      </c>
      <c r="CA70" s="47"/>
      <c r="CB70" s="96" t="str">
        <f>IF(J24="English","Shadowing",(IF(J24="Español","Placaje Defensivo",(IF(J24="Deutsch","Profi",(IF(J24="Français","Parade")))))))</f>
        <v>Shadowing</v>
      </c>
      <c r="CC70" s="32" t="s">
        <v>247</v>
      </c>
      <c r="CD70" s="2"/>
      <c r="CE70" s="95"/>
      <c r="CF70" s="33"/>
      <c r="CG70" s="87" t="str">
        <f t="shared" si="116"/>
        <v>Pro</v>
      </c>
      <c r="CH70" s="87" t="str">
        <f t="shared" si="117"/>
        <v>Pro</v>
      </c>
      <c r="CI70" s="87" t="str">
        <f t="shared" si="118"/>
        <v>Pro</v>
      </c>
      <c r="CJ70" s="87" t="str">
        <f t="shared" si="119"/>
        <v>Pro</v>
      </c>
      <c r="CK70" s="87" t="str">
        <f t="shared" si="120"/>
        <v>Pro</v>
      </c>
      <c r="CL70" s="87" t="str">
        <f t="shared" si="121"/>
        <v>Pro</v>
      </c>
      <c r="CM70" s="87" t="str">
        <f t="shared" si="122"/>
        <v>Pro</v>
      </c>
      <c r="CN70" s="87" t="str">
        <f t="shared" si="123"/>
        <v>Pro</v>
      </c>
      <c r="CO70" s="87" t="str">
        <f t="shared" si="124"/>
        <v>Pro</v>
      </c>
      <c r="CP70" s="87" t="str">
        <f t="shared" si="125"/>
        <v>Pro</v>
      </c>
      <c r="CQ70" s="87" t="str">
        <f t="shared" si="126"/>
        <v>Pro</v>
      </c>
      <c r="CR70" s="87" t="str">
        <f t="shared" si="127"/>
        <v>Pro</v>
      </c>
      <c r="CS70" s="87" t="b">
        <f t="shared" si="128"/>
        <v>0</v>
      </c>
      <c r="CT70" s="87" t="b">
        <f t="shared" si="129"/>
        <v>0</v>
      </c>
      <c r="CU70" s="87" t="b">
        <f t="shared" si="130"/>
        <v>0</v>
      </c>
      <c r="CV70" s="87" t="b">
        <f t="shared" si="131"/>
        <v>0</v>
      </c>
      <c r="CW70" s="2"/>
      <c r="CX70" s="2"/>
      <c r="CY70" s="2"/>
      <c r="CZ70" s="32"/>
      <c r="DA70" s="2"/>
      <c r="DB70" s="2"/>
    </row>
    <row r="71" spans="1:106" ht="15" hidden="1" customHeight="1">
      <c r="A71" s="32"/>
      <c r="B71" s="67"/>
      <c r="C71" s="67"/>
      <c r="D71" s="67"/>
      <c r="E71" s="67"/>
      <c r="F71" s="67"/>
      <c r="G71" s="32"/>
      <c r="H71" s="32"/>
      <c r="I71" s="32"/>
      <c r="J71" s="32"/>
      <c r="K71" s="32">
        <f t="shared" si="132"/>
        <v>0</v>
      </c>
      <c r="L71" s="32">
        <f t="shared" si="133"/>
        <v>0</v>
      </c>
      <c r="M71" s="32">
        <f t="shared" ref="M71:N71" si="167">IF(S71=0,0,(IF(S71&gt;6,6,(IF(S71&lt;1,1,S71)))))</f>
        <v>0</v>
      </c>
      <c r="N71" s="32">
        <f t="shared" si="167"/>
        <v>0</v>
      </c>
      <c r="O71" s="32">
        <f t="shared" si="135"/>
        <v>0</v>
      </c>
      <c r="P71" s="32"/>
      <c r="Q71" s="31">
        <f>IFERROR((VLOOKUP($BO$1&amp;C14,Teams!D:M,2,0)+AK71+AC71),0)</f>
        <v>0</v>
      </c>
      <c r="R71" s="31">
        <f>IFERROR((VLOOKUP($BO$1&amp;C14,Teams!D:M,3,0)+AL71+AD71),0)</f>
        <v>0</v>
      </c>
      <c r="S71" s="31">
        <f>IFERROR((VLOOKUP($BO$1&amp;C14,Teams!D:M,4,0)+AM71-AE71),0)</f>
        <v>0</v>
      </c>
      <c r="T71" s="31">
        <f>IFERROR((VLOOKUP($BO$1&amp;C14,Teams!D:M,5,0)+AN71-AF71),0)</f>
        <v>0</v>
      </c>
      <c r="U71" s="31">
        <f>IFERROR((VLOOKUP($BO$1&amp;C14,Teams!D:M,6,0)+AO71+AG71),0)</f>
        <v>0</v>
      </c>
      <c r="V71" s="32"/>
      <c r="W71" s="32">
        <f>IFERROR((VLOOKUP($BO$1&amp;C14,Teams!D:M,2,0)),0)</f>
        <v>0</v>
      </c>
      <c r="X71" s="32">
        <f>IFERROR((VLOOKUP($BO$1&amp;C14,Teams!D:M,3,0)),0)</f>
        <v>0</v>
      </c>
      <c r="Y71" s="32">
        <f>IFERROR((VLOOKUP($BO$1&amp;C14,Teams!D:M,4,0)),0)</f>
        <v>0</v>
      </c>
      <c r="Z71" s="32">
        <f>IFERROR((VLOOKUP($BO$1&amp;C14,Teams!D:M,5,0)),0)</f>
        <v>0</v>
      </c>
      <c r="AA71" s="32">
        <f>IFERROR((VLOOKUP($BO$1&amp;C14,Teams!D:M,6,0)),0)</f>
        <v>0</v>
      </c>
      <c r="AB71" s="32"/>
      <c r="AC71" s="32">
        <f t="shared" si="136"/>
        <v>0</v>
      </c>
      <c r="AD71" s="32">
        <f t="shared" si="137"/>
        <v>0</v>
      </c>
      <c r="AE71" s="32">
        <f t="shared" si="138"/>
        <v>0</v>
      </c>
      <c r="AF71" s="32">
        <f t="shared" si="139"/>
        <v>0</v>
      </c>
      <c r="AG71" s="32">
        <f t="shared" si="140"/>
        <v>0</v>
      </c>
      <c r="AH71" s="32"/>
      <c r="AI71" s="32">
        <v>-1</v>
      </c>
      <c r="AJ71" s="32"/>
      <c r="AK71" s="31">
        <f t="shared" ref="AK71:AL71" si="168">AK48</f>
        <v>0</v>
      </c>
      <c r="AL71" s="31">
        <f t="shared" si="168"/>
        <v>0</v>
      </c>
      <c r="AM71" s="31">
        <f t="shared" si="142"/>
        <v>0</v>
      </c>
      <c r="AN71" s="31">
        <f t="shared" si="143"/>
        <v>0</v>
      </c>
      <c r="AO71" s="31">
        <f t="shared" si="144"/>
        <v>0</v>
      </c>
      <c r="AP71" s="32"/>
      <c r="AQ71" s="32"/>
      <c r="AR71" s="31">
        <v>1020000</v>
      </c>
      <c r="AS71" s="31"/>
      <c r="AT71" s="31"/>
      <c r="AU71" s="31"/>
      <c r="AV71" s="31"/>
      <c r="AW71" s="31"/>
      <c r="AX71" s="32"/>
      <c r="AY71" s="32">
        <v>11</v>
      </c>
      <c r="AZ71" s="31">
        <v>50000</v>
      </c>
      <c r="BA71" s="45" t="s">
        <v>302</v>
      </c>
      <c r="BB71" s="32"/>
      <c r="BC71" s="32"/>
      <c r="BD71" s="93"/>
      <c r="BE71" s="93"/>
      <c r="BF71" s="2"/>
      <c r="BG71" s="2"/>
      <c r="BH71" s="92"/>
      <c r="BI71" s="93"/>
      <c r="BJ71" s="2"/>
      <c r="BK71" s="32"/>
      <c r="BL71" s="2"/>
      <c r="BM71" s="32"/>
      <c r="BN71" s="32"/>
      <c r="BO71" s="32"/>
      <c r="BP71" s="2"/>
      <c r="BQ71" s="2"/>
      <c r="BR71" s="2"/>
      <c r="BS71" s="96" t="str">
        <f>IF($J$24="English","Shadowing",(IF($J$24="Español","Placaje Defensivo",(IF($J$24="Deutsch","Profi",(IF($J$24="Français","Parade")))))))</f>
        <v>Shadowing</v>
      </c>
      <c r="BT71" s="32" t="s">
        <v>247</v>
      </c>
      <c r="BU71" s="96" t="str">
        <f>IF($J$24="English","Shadowing",(IF($J$24="Español","Placaje Defensivo",(IF($J$24="Deutsch","Profi",(IF($J$24="Français","Parade")))))))</f>
        <v>Shadowing</v>
      </c>
      <c r="BV71" s="32" t="s">
        <v>247</v>
      </c>
      <c r="BW71" s="96" t="str">
        <f>IF($J$24="English","Shadowing",(IF($J$24="Español","Placaje Defensivo",(IF($J$24="Deutsch","Profi",(IF($J$24="Français","Parade")))))))</f>
        <v>Shadowing</v>
      </c>
      <c r="BX71" s="32" t="s">
        <v>247</v>
      </c>
      <c r="BY71" s="96" t="str">
        <f>IF($J$24="English","Shadowing",(IF($J$24="Español","Placaje Defensivo",(IF($J$24="Deutsch","Profi",(IF($J$24="Français","Parade")))))))</f>
        <v>Shadowing</v>
      </c>
      <c r="BZ71" s="32" t="s">
        <v>247</v>
      </c>
      <c r="CA71" s="47"/>
      <c r="CB71" s="96" t="str">
        <f>IF(J24="English","Strip Ball",(IF(J24="Español","Placar",(IF(J24="Deutsch","Rasend",(IF(J24="Français","Poursuite")))))))</f>
        <v>Strip Ball</v>
      </c>
      <c r="CC71" s="32" t="s">
        <v>247</v>
      </c>
      <c r="CD71" s="2"/>
      <c r="CE71" s="95"/>
      <c r="CF71" s="33"/>
      <c r="CG71" s="87" t="str">
        <f t="shared" si="116"/>
        <v>Shadowing</v>
      </c>
      <c r="CH71" s="87" t="str">
        <f t="shared" si="117"/>
        <v>Shadowing</v>
      </c>
      <c r="CI71" s="87" t="str">
        <f t="shared" si="118"/>
        <v>Shadowing</v>
      </c>
      <c r="CJ71" s="87" t="str">
        <f t="shared" si="119"/>
        <v>Shadowing</v>
      </c>
      <c r="CK71" s="87" t="str">
        <f t="shared" si="120"/>
        <v>Shadowing</v>
      </c>
      <c r="CL71" s="87" t="str">
        <f t="shared" si="121"/>
        <v>Shadowing</v>
      </c>
      <c r="CM71" s="87" t="str">
        <f t="shared" si="122"/>
        <v>Shadowing</v>
      </c>
      <c r="CN71" s="87" t="str">
        <f t="shared" si="123"/>
        <v>Shadowing</v>
      </c>
      <c r="CO71" s="87" t="str">
        <f t="shared" si="124"/>
        <v>Shadowing</v>
      </c>
      <c r="CP71" s="87" t="str">
        <f t="shared" si="125"/>
        <v>Shadowing</v>
      </c>
      <c r="CQ71" s="87" t="str">
        <f t="shared" si="126"/>
        <v>Shadowing</v>
      </c>
      <c r="CR71" s="87" t="str">
        <f t="shared" si="127"/>
        <v>Shadowing</v>
      </c>
      <c r="CS71" s="87" t="b">
        <f t="shared" si="128"/>
        <v>0</v>
      </c>
      <c r="CT71" s="87" t="b">
        <f t="shared" si="129"/>
        <v>0</v>
      </c>
      <c r="CU71" s="87" t="b">
        <f t="shared" si="130"/>
        <v>0</v>
      </c>
      <c r="CV71" s="87" t="b">
        <f t="shared" si="131"/>
        <v>0</v>
      </c>
      <c r="CW71" s="2"/>
      <c r="CX71" s="2"/>
      <c r="CY71" s="2"/>
      <c r="CZ71" s="32"/>
      <c r="DA71" s="2"/>
      <c r="DB71" s="2"/>
    </row>
    <row r="72" spans="1:106" ht="15" hidden="1" customHeight="1">
      <c r="A72" s="32"/>
      <c r="B72" s="32"/>
      <c r="C72" s="32"/>
      <c r="D72" s="32"/>
      <c r="E72" s="32"/>
      <c r="F72" s="32"/>
      <c r="G72" s="32"/>
      <c r="H72" s="32"/>
      <c r="I72" s="32"/>
      <c r="J72" s="32"/>
      <c r="K72" s="32">
        <f t="shared" si="132"/>
        <v>0</v>
      </c>
      <c r="L72" s="32">
        <f t="shared" si="133"/>
        <v>0</v>
      </c>
      <c r="M72" s="32">
        <f t="shared" ref="M72:N72" si="169">IF(S72=0,0,(IF(S72&gt;6,6,(IF(S72&lt;1,1,S72)))))</f>
        <v>0</v>
      </c>
      <c r="N72" s="32">
        <f t="shared" si="169"/>
        <v>0</v>
      </c>
      <c r="O72" s="32">
        <f t="shared" si="135"/>
        <v>0</v>
      </c>
      <c r="P72" s="32"/>
      <c r="Q72" s="31">
        <f>IFERROR((VLOOKUP($BO$1&amp;C15,Teams!D:M,2,0)+AK72+AC72),0)</f>
        <v>0</v>
      </c>
      <c r="R72" s="31">
        <f>IFERROR((VLOOKUP($BO$1&amp;C15,Teams!D:M,3,0)+AL72+AD72),0)</f>
        <v>0</v>
      </c>
      <c r="S72" s="31">
        <f>IFERROR((VLOOKUP($BO$1&amp;C15,Teams!D:M,4,0)+AM72-AE72),0)</f>
        <v>0</v>
      </c>
      <c r="T72" s="31">
        <f>IFERROR((VLOOKUP($BO$1&amp;C15,Teams!D:M,5,0)+AN72-AF72),0)</f>
        <v>0</v>
      </c>
      <c r="U72" s="31">
        <f>IFERROR((VLOOKUP($BO$1&amp;C15,Teams!D:M,6,0)+AO72+AG72),0)</f>
        <v>0</v>
      </c>
      <c r="V72" s="32"/>
      <c r="W72" s="32">
        <f>IFERROR((VLOOKUP($BO$1&amp;C15,Teams!D:M,2,0)),0)</f>
        <v>0</v>
      </c>
      <c r="X72" s="32">
        <f>IFERROR((VLOOKUP($BO$1&amp;C15,Teams!D:M,3,0)),0)</f>
        <v>0</v>
      </c>
      <c r="Y72" s="32">
        <f>IFERROR((VLOOKUP($BO$1&amp;C15,Teams!D:M,4,0)),0)</f>
        <v>0</v>
      </c>
      <c r="Z72" s="32">
        <f>IFERROR((VLOOKUP($BO$1&amp;C15,Teams!D:M,5,0)),0)</f>
        <v>0</v>
      </c>
      <c r="AA72" s="32">
        <f>IFERROR((VLOOKUP($BO$1&amp;C15,Teams!D:M,6,0)),0)</f>
        <v>0</v>
      </c>
      <c r="AB72" s="32"/>
      <c r="AC72" s="32">
        <f t="shared" si="136"/>
        <v>0</v>
      </c>
      <c r="AD72" s="32">
        <f t="shared" si="137"/>
        <v>0</v>
      </c>
      <c r="AE72" s="32">
        <f t="shared" si="138"/>
        <v>0</v>
      </c>
      <c r="AF72" s="32">
        <f t="shared" si="139"/>
        <v>0</v>
      </c>
      <c r="AG72" s="32">
        <f t="shared" si="140"/>
        <v>0</v>
      </c>
      <c r="AH72" s="32"/>
      <c r="AI72" s="32"/>
      <c r="AJ72" s="32"/>
      <c r="AK72" s="31">
        <f t="shared" ref="AK72:AL72" si="170">AK49</f>
        <v>0</v>
      </c>
      <c r="AL72" s="31">
        <f t="shared" si="170"/>
        <v>0</v>
      </c>
      <c r="AM72" s="31">
        <f t="shared" si="142"/>
        <v>0</v>
      </c>
      <c r="AN72" s="31">
        <f t="shared" si="143"/>
        <v>0</v>
      </c>
      <c r="AO72" s="31">
        <f t="shared" si="144"/>
        <v>0</v>
      </c>
      <c r="AP72" s="32"/>
      <c r="AQ72" s="32"/>
      <c r="AR72" s="31">
        <v>1030000</v>
      </c>
      <c r="AS72" s="31"/>
      <c r="AT72" s="31"/>
      <c r="AU72" s="31"/>
      <c r="AV72" s="31"/>
      <c r="AW72" s="31"/>
      <c r="AX72" s="32"/>
      <c r="AY72" s="32">
        <v>12</v>
      </c>
      <c r="AZ72" s="31">
        <v>60000</v>
      </c>
      <c r="BA72" s="32">
        <f>VLOOKUP(BO1,BL:BR,7,FALSE)</f>
        <v>0</v>
      </c>
      <c r="BB72" s="32"/>
      <c r="BC72" s="32"/>
      <c r="BD72" s="93"/>
      <c r="BE72" s="93"/>
      <c r="BF72" s="2"/>
      <c r="BG72" s="2"/>
      <c r="BH72" s="92"/>
      <c r="BI72" s="93"/>
      <c r="BJ72" s="2"/>
      <c r="BK72" s="32"/>
      <c r="BL72" s="2"/>
      <c r="BM72" s="32"/>
      <c r="BN72" s="32"/>
      <c r="BO72" s="32"/>
      <c r="BP72" s="2"/>
      <c r="BQ72" s="2"/>
      <c r="BR72" s="2"/>
      <c r="BS72" s="96" t="str">
        <f>IF($J$24="English","Strip Ball",(IF($J$24="Español","Placar",(IF($J$24="Deutsch","Rasend",(IF($J$24="Français","Poursuite")))))))</f>
        <v>Strip Ball</v>
      </c>
      <c r="BT72" s="32" t="s">
        <v>247</v>
      </c>
      <c r="BU72" s="96" t="str">
        <f>IF($J$24="English","Strip Ball",(IF($J$24="Español","Placar",(IF($J$24="Deutsch","Rasend",(IF($J$24="Français","Poursuite")))))))</f>
        <v>Strip Ball</v>
      </c>
      <c r="BV72" s="32" t="s">
        <v>247</v>
      </c>
      <c r="BW72" s="96" t="str">
        <f>IF($J$24="English","Strip Ball",(IF($J$24="Español","Placar",(IF($J$24="Deutsch","Rasend",(IF($J$24="Français","Poursuite")))))))</f>
        <v>Strip Ball</v>
      </c>
      <c r="BX72" s="32" t="s">
        <v>247</v>
      </c>
      <c r="BY72" s="96" t="str">
        <f>IF($J$24="English","Strip Ball",(IF($J$24="Español","Placar",(IF($J$24="Deutsch","Rasend",(IF($J$24="Français","Poursuite")))))))</f>
        <v>Strip Ball</v>
      </c>
      <c r="BZ72" s="32" t="s">
        <v>247</v>
      </c>
      <c r="CA72" s="47"/>
      <c r="CB72" s="96" t="str">
        <f>IF(J24="English","Sure Hands",(IF(J24="Español","Profesional",(IF(J24="Deutsch","Tackle",(IF(J24="Français","Prise sûre")))))))</f>
        <v>Sure Hands</v>
      </c>
      <c r="CC72" s="32" t="s">
        <v>247</v>
      </c>
      <c r="CD72" s="2"/>
      <c r="CE72" s="95"/>
      <c r="CF72" s="33"/>
      <c r="CG72" s="87" t="str">
        <f t="shared" si="116"/>
        <v>Strip Ball</v>
      </c>
      <c r="CH72" s="87" t="str">
        <f t="shared" si="117"/>
        <v>Strip Ball</v>
      </c>
      <c r="CI72" s="87" t="str">
        <f t="shared" si="118"/>
        <v>Strip Ball</v>
      </c>
      <c r="CJ72" s="87" t="str">
        <f t="shared" si="119"/>
        <v>Strip Ball</v>
      </c>
      <c r="CK72" s="87" t="str">
        <f t="shared" si="120"/>
        <v>Strip Ball</v>
      </c>
      <c r="CL72" s="87" t="str">
        <f t="shared" si="121"/>
        <v>Strip Ball</v>
      </c>
      <c r="CM72" s="87" t="str">
        <f t="shared" si="122"/>
        <v>Strip Ball</v>
      </c>
      <c r="CN72" s="87" t="str">
        <f t="shared" si="123"/>
        <v>Strip Ball</v>
      </c>
      <c r="CO72" s="87" t="str">
        <f t="shared" si="124"/>
        <v>Strip Ball</v>
      </c>
      <c r="CP72" s="87" t="str">
        <f t="shared" si="125"/>
        <v>Strip Ball</v>
      </c>
      <c r="CQ72" s="87" t="str">
        <f t="shared" si="126"/>
        <v>Strip Ball</v>
      </c>
      <c r="CR72" s="87" t="str">
        <f t="shared" si="127"/>
        <v>Strip Ball</v>
      </c>
      <c r="CS72" s="87" t="b">
        <f t="shared" si="128"/>
        <v>0</v>
      </c>
      <c r="CT72" s="87" t="b">
        <f t="shared" si="129"/>
        <v>0</v>
      </c>
      <c r="CU72" s="87" t="b">
        <f t="shared" si="130"/>
        <v>0</v>
      </c>
      <c r="CV72" s="87" t="b">
        <f t="shared" si="131"/>
        <v>0</v>
      </c>
      <c r="CW72" s="2"/>
      <c r="CX72" s="2"/>
      <c r="CY72" s="2"/>
      <c r="CZ72" s="32"/>
      <c r="DA72" s="2"/>
      <c r="DB72" s="2"/>
    </row>
    <row r="73" spans="1:106" ht="15" hidden="1" customHeight="1">
      <c r="A73" s="32"/>
      <c r="B73" s="32"/>
      <c r="C73" s="32"/>
      <c r="D73" s="32"/>
      <c r="E73" s="32"/>
      <c r="F73" s="32"/>
      <c r="G73" s="32"/>
      <c r="H73" s="32"/>
      <c r="I73" s="32"/>
      <c r="J73" s="32"/>
      <c r="K73" s="32">
        <f t="shared" si="132"/>
        <v>0</v>
      </c>
      <c r="L73" s="32">
        <f t="shared" si="133"/>
        <v>0</v>
      </c>
      <c r="M73" s="32">
        <f t="shared" ref="M73:N73" si="171">IF(S73=0,0,(IF(S73&gt;6,6,(IF(S73&lt;1,1,S73)))))</f>
        <v>0</v>
      </c>
      <c r="N73" s="32">
        <f t="shared" si="171"/>
        <v>0</v>
      </c>
      <c r="O73" s="32">
        <f t="shared" si="135"/>
        <v>0</v>
      </c>
      <c r="P73" s="32"/>
      <c r="Q73" s="31">
        <f>IFERROR((VLOOKUP($BO$1&amp;C16,Teams!D:M,2,0)+AK73+AC73),0)</f>
        <v>0</v>
      </c>
      <c r="R73" s="31">
        <f>IFERROR((VLOOKUP($BO$1&amp;C16,Teams!D:M,3,0)+AL73+AD73),0)</f>
        <v>0</v>
      </c>
      <c r="S73" s="31">
        <f>IFERROR((VLOOKUP($BO$1&amp;C16,Teams!D:M,4,0)+AM73-AE73),0)</f>
        <v>0</v>
      </c>
      <c r="T73" s="31">
        <f>IFERROR((VLOOKUP($BO$1&amp;C16,Teams!D:M,5,0)+AN73-AF73),0)</f>
        <v>0</v>
      </c>
      <c r="U73" s="31">
        <f>IFERROR((VLOOKUP($BO$1&amp;C16,Teams!D:M,6,0)+AO73+AG73),0)</f>
        <v>0</v>
      </c>
      <c r="V73" s="32"/>
      <c r="W73" s="32">
        <f>IFERROR((VLOOKUP($BO$1&amp;C16,Teams!D:M,2,0)),0)</f>
        <v>0</v>
      </c>
      <c r="X73" s="32">
        <f>IFERROR((VLOOKUP($BO$1&amp;C16,Teams!D:M,3,0)),0)</f>
        <v>0</v>
      </c>
      <c r="Y73" s="32">
        <f>IFERROR((VLOOKUP($BO$1&amp;C16,Teams!D:M,4,0)),0)</f>
        <v>0</v>
      </c>
      <c r="Z73" s="32">
        <f>IFERROR((VLOOKUP($BO$1&amp;C16,Teams!D:M,5,0)),0)</f>
        <v>0</v>
      </c>
      <c r="AA73" s="32">
        <f>IFERROR((VLOOKUP($BO$1&amp;C16,Teams!D:M,6,0)),0)</f>
        <v>0</v>
      </c>
      <c r="AB73" s="32"/>
      <c r="AC73" s="32">
        <f t="shared" si="136"/>
        <v>0</v>
      </c>
      <c r="AD73" s="32">
        <f t="shared" si="137"/>
        <v>0</v>
      </c>
      <c r="AE73" s="32">
        <f t="shared" si="138"/>
        <v>0</v>
      </c>
      <c r="AF73" s="32">
        <f t="shared" si="139"/>
        <v>0</v>
      </c>
      <c r="AG73" s="32">
        <f t="shared" si="140"/>
        <v>0</v>
      </c>
      <c r="AH73" s="32"/>
      <c r="AI73" s="32"/>
      <c r="AJ73" s="32"/>
      <c r="AK73" s="31">
        <f t="shared" ref="AK73:AL73" si="172">AK50</f>
        <v>0</v>
      </c>
      <c r="AL73" s="31">
        <f t="shared" si="172"/>
        <v>0</v>
      </c>
      <c r="AM73" s="31">
        <f t="shared" si="142"/>
        <v>0</v>
      </c>
      <c r="AN73" s="31">
        <f t="shared" si="143"/>
        <v>0</v>
      </c>
      <c r="AO73" s="31">
        <f t="shared" si="144"/>
        <v>0</v>
      </c>
      <c r="AP73" s="32"/>
      <c r="AQ73" s="32"/>
      <c r="AR73" s="31">
        <v>1040000</v>
      </c>
      <c r="AS73" s="31"/>
      <c r="AT73" s="31"/>
      <c r="AU73" s="31"/>
      <c r="AV73" s="31"/>
      <c r="AW73" s="31"/>
      <c r="AX73" s="32"/>
      <c r="AY73" s="32">
        <v>13</v>
      </c>
      <c r="AZ73" s="31">
        <v>70000</v>
      </c>
      <c r="BA73" s="45" t="s">
        <v>303</v>
      </c>
      <c r="BB73" s="32"/>
      <c r="BC73" s="32"/>
      <c r="BD73" s="93"/>
      <c r="BE73" s="93"/>
      <c r="BF73" s="2"/>
      <c r="BG73" s="2"/>
      <c r="BH73" s="92"/>
      <c r="BI73" s="93"/>
      <c r="BJ73" s="2"/>
      <c r="BK73" s="32"/>
      <c r="BL73" s="2"/>
      <c r="BM73" s="32"/>
      <c r="BN73" s="32"/>
      <c r="BO73" s="32"/>
      <c r="BP73" s="2"/>
      <c r="BQ73" s="2"/>
      <c r="BR73" s="2"/>
      <c r="BS73" s="96" t="str">
        <f>IF($J$24="English","Sure Hands",(IF($J$24="Español","Profesional",(IF($J$24="Deutsch","Tackle",(IF($J$24="Français","Prise sûre")))))))</f>
        <v>Sure Hands</v>
      </c>
      <c r="BT73" s="32" t="s">
        <v>247</v>
      </c>
      <c r="BU73" s="96" t="str">
        <f>IF($J$24="English","Sure Hands",(IF($J$24="Español","Profesional",(IF($J$24="Deutsch","Tackle",(IF($J$24="Français","Prise sûre")))))))</f>
        <v>Sure Hands</v>
      </c>
      <c r="BV73" s="32" t="s">
        <v>247</v>
      </c>
      <c r="BW73" s="96" t="str">
        <f>IF($J$24="English","Sure Hands",(IF($J$24="Español","Profesional",(IF($J$24="Deutsch","Tackle",(IF($J$24="Français","Prise sûre")))))))</f>
        <v>Sure Hands</v>
      </c>
      <c r="BX73" s="32" t="s">
        <v>247</v>
      </c>
      <c r="BY73" s="96" t="str">
        <f>IF($J$24="English","Sure Hands",(IF($J$24="Español","Profesional",(IF($J$24="Deutsch","Tackle",(IF($J$24="Français","Prise sûre")))))))</f>
        <v>Sure Hands</v>
      </c>
      <c r="BZ73" s="32" t="s">
        <v>247</v>
      </c>
      <c r="CA73" s="47"/>
      <c r="CB73" s="96" t="str">
        <f>IF(J24="English","Tackle",(IF(J24="Español","Robar Balón",(IF(J24="Deutsch","Unerschrocken",(IF(J24="Français","Pro")))))))</f>
        <v>Tackle</v>
      </c>
      <c r="CC73" s="32" t="s">
        <v>247</v>
      </c>
      <c r="CD73" s="2"/>
      <c r="CE73" s="95"/>
      <c r="CF73" s="33"/>
      <c r="CG73" s="87" t="str">
        <f t="shared" si="116"/>
        <v>Sure Hands</v>
      </c>
      <c r="CH73" s="87" t="str">
        <f t="shared" si="117"/>
        <v>Sure Hands</v>
      </c>
      <c r="CI73" s="87" t="str">
        <f t="shared" si="118"/>
        <v>Sure Hands</v>
      </c>
      <c r="CJ73" s="87" t="str">
        <f t="shared" si="119"/>
        <v>Sure Hands</v>
      </c>
      <c r="CK73" s="87" t="str">
        <f t="shared" si="120"/>
        <v>Sure Hands</v>
      </c>
      <c r="CL73" s="87" t="str">
        <f t="shared" si="121"/>
        <v>Sure Hands</v>
      </c>
      <c r="CM73" s="87" t="str">
        <f t="shared" si="122"/>
        <v>Sure Hands</v>
      </c>
      <c r="CN73" s="87" t="str">
        <f t="shared" si="123"/>
        <v>Sure Hands</v>
      </c>
      <c r="CO73" s="87" t="str">
        <f t="shared" si="124"/>
        <v>Sure Hands</v>
      </c>
      <c r="CP73" s="87" t="str">
        <f t="shared" si="125"/>
        <v>Sure Hands</v>
      </c>
      <c r="CQ73" s="87" t="str">
        <f t="shared" si="126"/>
        <v>Sure Hands</v>
      </c>
      <c r="CR73" s="87" t="str">
        <f t="shared" si="127"/>
        <v>Sure Hands</v>
      </c>
      <c r="CS73" s="87" t="b">
        <f t="shared" si="128"/>
        <v>0</v>
      </c>
      <c r="CT73" s="87" t="b">
        <f t="shared" si="129"/>
        <v>0</v>
      </c>
      <c r="CU73" s="87" t="b">
        <f t="shared" si="130"/>
        <v>0</v>
      </c>
      <c r="CV73" s="87" t="b">
        <f t="shared" si="131"/>
        <v>0</v>
      </c>
      <c r="CW73" s="2"/>
      <c r="CX73" s="2"/>
      <c r="CY73" s="2"/>
      <c r="CZ73" s="32"/>
      <c r="DA73" s="2"/>
      <c r="DB73" s="2"/>
    </row>
    <row r="74" spans="1:106" ht="15" hidden="1" customHeight="1">
      <c r="A74" s="32"/>
      <c r="B74" s="32"/>
      <c r="C74" s="32"/>
      <c r="D74" s="32"/>
      <c r="E74" s="32"/>
      <c r="F74" s="32"/>
      <c r="G74" s="32"/>
      <c r="H74" s="32"/>
      <c r="I74" s="32"/>
      <c r="J74" s="32"/>
      <c r="K74" s="32">
        <f t="shared" si="132"/>
        <v>0</v>
      </c>
      <c r="L74" s="32">
        <f t="shared" si="133"/>
        <v>0</v>
      </c>
      <c r="M74" s="32">
        <f t="shared" ref="M74:N74" si="173">IF(S74=0,0,(IF(S74&gt;6,6,(IF(S74&lt;1,1,S74)))))</f>
        <v>0</v>
      </c>
      <c r="N74" s="32">
        <f t="shared" si="173"/>
        <v>0</v>
      </c>
      <c r="O74" s="32">
        <f t="shared" si="135"/>
        <v>0</v>
      </c>
      <c r="P74" s="32"/>
      <c r="Q74" s="31">
        <f>IFERROR((VLOOKUP($BO$1&amp;C17,Teams!D:M,2,0)+AK74+AC74),0)</f>
        <v>0</v>
      </c>
      <c r="R74" s="31">
        <f>IFERROR((VLOOKUP($BO$1&amp;C17,Teams!D:M,3,0)+AL74+AD74),0)</f>
        <v>0</v>
      </c>
      <c r="S74" s="31">
        <f>IFERROR((VLOOKUP($BO$1&amp;C17,Teams!D:M,4,0)+AM74-AE74),0)</f>
        <v>0</v>
      </c>
      <c r="T74" s="31">
        <f>IFERROR((VLOOKUP($BO$1&amp;C17,Teams!D:M,5,0)+AN74-AF74),0)</f>
        <v>0</v>
      </c>
      <c r="U74" s="31">
        <f>IFERROR((VLOOKUP($BO$1&amp;C17,Teams!D:M,6,0)+AO74+AG74),0)</f>
        <v>0</v>
      </c>
      <c r="V74" s="32"/>
      <c r="W74" s="32">
        <f>IFERROR((VLOOKUP($BO$1&amp;C17,Teams!D:M,2,0)),0)</f>
        <v>0</v>
      </c>
      <c r="X74" s="32">
        <f>IFERROR((VLOOKUP($BO$1&amp;C17,Teams!D:M,3,0)),0)</f>
        <v>0</v>
      </c>
      <c r="Y74" s="32">
        <f>IFERROR((VLOOKUP($BO$1&amp;C17,Teams!D:M,4,0)),0)</f>
        <v>0</v>
      </c>
      <c r="Z74" s="32">
        <f>IFERROR((VLOOKUP($BO$1&amp;C17,Teams!D:M,5,0)),0)</f>
        <v>0</v>
      </c>
      <c r="AA74" s="32">
        <f>IFERROR((VLOOKUP($BO$1&amp;C17,Teams!D:M,6,0)),0)</f>
        <v>0</v>
      </c>
      <c r="AB74" s="32"/>
      <c r="AC74" s="32">
        <f t="shared" si="136"/>
        <v>0</v>
      </c>
      <c r="AD74" s="32">
        <f t="shared" si="137"/>
        <v>0</v>
      </c>
      <c r="AE74" s="32">
        <f t="shared" si="138"/>
        <v>0</v>
      </c>
      <c r="AF74" s="32">
        <f t="shared" si="139"/>
        <v>0</v>
      </c>
      <c r="AG74" s="32">
        <f t="shared" si="140"/>
        <v>0</v>
      </c>
      <c r="AH74" s="32"/>
      <c r="AI74" s="32"/>
      <c r="AJ74" s="32"/>
      <c r="AK74" s="31">
        <f t="shared" ref="AK74:AL74" si="174">AK51</f>
        <v>0</v>
      </c>
      <c r="AL74" s="31">
        <f t="shared" si="174"/>
        <v>0</v>
      </c>
      <c r="AM74" s="31">
        <f t="shared" si="142"/>
        <v>0</v>
      </c>
      <c r="AN74" s="31">
        <f t="shared" si="143"/>
        <v>0</v>
      </c>
      <c r="AO74" s="31">
        <f t="shared" si="144"/>
        <v>0</v>
      </c>
      <c r="AP74" s="32"/>
      <c r="AQ74" s="32"/>
      <c r="AR74" s="31">
        <v>1050000</v>
      </c>
      <c r="AS74" s="31"/>
      <c r="AT74" s="31"/>
      <c r="AU74" s="31"/>
      <c r="AV74" s="31"/>
      <c r="AW74" s="31"/>
      <c r="AX74" s="32"/>
      <c r="AY74" s="32">
        <v>14</v>
      </c>
      <c r="AZ74" s="31">
        <v>80000</v>
      </c>
      <c r="BA74" s="32" t="str">
        <f>IFERROR((IF(BU2="Favouredof",(IF(J24="English","(choose either)",(IF(J24="Español","(elegir uno)",(IF(J24="Deutsch","(wähle)",(IF(J24="Français","(choisir soit)")))))))),"")),"")</f>
        <v/>
      </c>
      <c r="BB74" s="32"/>
      <c r="BC74" s="32"/>
      <c r="BD74" s="93"/>
      <c r="BE74" s="93"/>
      <c r="BF74" s="2"/>
      <c r="BG74" s="2"/>
      <c r="BH74" s="92"/>
      <c r="BI74" s="93"/>
      <c r="BJ74" s="2"/>
      <c r="BK74" s="32"/>
      <c r="BL74" s="2"/>
      <c r="BM74" s="32"/>
      <c r="BN74" s="32"/>
      <c r="BO74" s="32"/>
      <c r="BP74" s="2"/>
      <c r="BQ74" s="2"/>
      <c r="BR74" s="2"/>
      <c r="BS74" s="96" t="str">
        <f>IF($J$24="English","Tackle",(IF($J$24="Español","Robar Balón",(IF($J$24="Deutsch","Unerschrocken",(IF($J$24="Français","Pro")))))))</f>
        <v>Tackle</v>
      </c>
      <c r="BT74" s="32" t="s">
        <v>247</v>
      </c>
      <c r="BU74" s="96" t="str">
        <f>IF($J$24="English","Tackle",(IF($J$24="Español","Robar Balón",(IF($J$24="Deutsch","Unerschrocken",(IF($J$24="Français","Pro")))))))</f>
        <v>Tackle</v>
      </c>
      <c r="BV74" s="32" t="s">
        <v>247</v>
      </c>
      <c r="BW74" s="96" t="str">
        <f>IF($J$24="English","Tackle",(IF($J$24="Español","Robar Balón",(IF($J$24="Deutsch","Unerschrocken",(IF($J$24="Français","Pro")))))))</f>
        <v>Tackle</v>
      </c>
      <c r="BX74" s="32" t="s">
        <v>247</v>
      </c>
      <c r="BY74" s="96" t="str">
        <f>IF($J$24="English","Tackle",(IF($J$24="Español","Robar Balón",(IF($J$24="Deutsch","Unerschrocken",(IF($J$24="Français","Pro")))))))</f>
        <v>Tackle</v>
      </c>
      <c r="BZ74" s="32" t="s">
        <v>247</v>
      </c>
      <c r="CA74" s="47"/>
      <c r="CB74" s="96" t="str">
        <f>IF(J24="English","Wrestle",(IF(J24="Español","Zafarse",(IF(J24="Deutsch","Wrestling",(IF(J24="Français","Tacle")))))))</f>
        <v>Wrestle</v>
      </c>
      <c r="CC74" s="32" t="s">
        <v>247</v>
      </c>
      <c r="CD74" s="2"/>
      <c r="CE74" s="32"/>
      <c r="CF74" s="33"/>
      <c r="CG74" s="87" t="str">
        <f t="shared" si="116"/>
        <v>Tackle</v>
      </c>
      <c r="CH74" s="87" t="str">
        <f t="shared" si="117"/>
        <v>Tackle</v>
      </c>
      <c r="CI74" s="87" t="str">
        <f t="shared" si="118"/>
        <v>Tackle</v>
      </c>
      <c r="CJ74" s="87" t="str">
        <f t="shared" si="119"/>
        <v>Tackle</v>
      </c>
      <c r="CK74" s="87" t="str">
        <f t="shared" si="120"/>
        <v>Tackle</v>
      </c>
      <c r="CL74" s="87" t="str">
        <f t="shared" si="121"/>
        <v>Tackle</v>
      </c>
      <c r="CM74" s="87" t="str">
        <f t="shared" si="122"/>
        <v>Tackle</v>
      </c>
      <c r="CN74" s="87" t="str">
        <f t="shared" si="123"/>
        <v>Tackle</v>
      </c>
      <c r="CO74" s="87" t="str">
        <f t="shared" si="124"/>
        <v>Tackle</v>
      </c>
      <c r="CP74" s="87" t="str">
        <f t="shared" si="125"/>
        <v>Tackle</v>
      </c>
      <c r="CQ74" s="87" t="str">
        <f t="shared" si="126"/>
        <v>Tackle</v>
      </c>
      <c r="CR74" s="87" t="str">
        <f t="shared" si="127"/>
        <v>Tackle</v>
      </c>
      <c r="CS74" s="87" t="b">
        <f t="shared" si="128"/>
        <v>0</v>
      </c>
      <c r="CT74" s="87" t="b">
        <f t="shared" si="129"/>
        <v>0</v>
      </c>
      <c r="CU74" s="87" t="b">
        <f t="shared" si="130"/>
        <v>0</v>
      </c>
      <c r="CV74" s="87" t="b">
        <f t="shared" si="131"/>
        <v>0</v>
      </c>
      <c r="CW74" s="2"/>
      <c r="CX74" s="2"/>
      <c r="CY74" s="2"/>
      <c r="CZ74" s="32"/>
      <c r="DA74" s="2"/>
      <c r="DB74" s="2"/>
    </row>
    <row r="75" spans="1:106" ht="15" hidden="1" customHeight="1">
      <c r="A75" s="32"/>
      <c r="B75" s="32"/>
      <c r="C75" s="32"/>
      <c r="D75" s="32"/>
      <c r="E75" s="32"/>
      <c r="F75" s="32"/>
      <c r="G75" s="32"/>
      <c r="H75" s="32"/>
      <c r="I75" s="32"/>
      <c r="J75" s="32"/>
      <c r="K75" s="32"/>
      <c r="L75" s="32"/>
      <c r="M75" s="32"/>
      <c r="N75" s="32"/>
      <c r="O75" s="32"/>
      <c r="P75" s="32"/>
      <c r="Q75" s="32"/>
      <c r="R75" s="32"/>
      <c r="S75" s="32"/>
      <c r="T75" s="32"/>
      <c r="U75" s="32"/>
      <c r="V75" s="32"/>
      <c r="W75" s="32"/>
      <c r="X75" s="32"/>
      <c r="Y75" s="32"/>
      <c r="Z75" s="32"/>
      <c r="AA75" s="32"/>
      <c r="AB75" s="32"/>
      <c r="AC75" s="32"/>
      <c r="AD75" s="32"/>
      <c r="AE75" s="32"/>
      <c r="AF75" s="32"/>
      <c r="AG75" s="32"/>
      <c r="AH75" s="32"/>
      <c r="AI75" s="32"/>
      <c r="AJ75" s="32"/>
      <c r="AK75" s="32"/>
      <c r="AL75" s="32"/>
      <c r="AM75" s="32"/>
      <c r="AN75" s="32"/>
      <c r="AO75" s="32"/>
      <c r="AP75" s="32"/>
      <c r="AQ75" s="32"/>
      <c r="AR75" s="31">
        <v>1060000</v>
      </c>
      <c r="AS75" s="31"/>
      <c r="AT75" s="31"/>
      <c r="AU75" s="31"/>
      <c r="AV75" s="31"/>
      <c r="AW75" s="31"/>
      <c r="AX75" s="32"/>
      <c r="AY75" s="32">
        <v>15</v>
      </c>
      <c r="AZ75" s="31">
        <v>90000</v>
      </c>
      <c r="BA75" s="32" t="str">
        <f>IF(OR(BU2="Favouredof",$BU$2="FavouredofWorldsEdgeSuperleagueBadlandsBrawl"),(IF($BO$1="Nurgle","",(IF($BO$2="DaemonsofKhorne","","Chaos Undivided")))),"")</f>
        <v/>
      </c>
      <c r="BB75" s="32"/>
      <c r="BC75" s="32"/>
      <c r="BD75" s="32"/>
      <c r="BE75" s="93"/>
      <c r="BF75" s="2"/>
      <c r="BG75" s="2"/>
      <c r="BH75" s="92"/>
      <c r="BI75" s="93"/>
      <c r="BJ75" s="2"/>
      <c r="BK75" s="32"/>
      <c r="BL75" s="2"/>
      <c r="BM75" s="32"/>
      <c r="BN75" s="32"/>
      <c r="BO75" s="32"/>
      <c r="BP75" s="2"/>
      <c r="BQ75" s="2"/>
      <c r="BR75" s="2"/>
      <c r="BS75" s="96" t="str">
        <f>IF($J$24="English","Wrestle",(IF($J$24="Español","Zafarse",(IF($J$24="Deutsch","Wrestling",(IF($J$24="Français","Tacle")))))))</f>
        <v>Wrestle</v>
      </c>
      <c r="BT75" s="32" t="s">
        <v>247</v>
      </c>
      <c r="BU75" s="96" t="str">
        <f>IF($J$24="English","Wrestle",(IF($J$24="Español","Zafarse",(IF($J$24="Deutsch","Wrestling",(IF($J$24="Français","Tacle")))))))</f>
        <v>Wrestle</v>
      </c>
      <c r="BV75" s="32" t="s">
        <v>247</v>
      </c>
      <c r="BW75" s="96" t="str">
        <f>IF($J$24="English","Wrestle",(IF($J$24="Español","Zafarse",(IF($J$24="Deutsch","Wrestling",(IF($J$24="Français","Tacle")))))))</f>
        <v>Wrestle</v>
      </c>
      <c r="BX75" s="32" t="s">
        <v>247</v>
      </c>
      <c r="BY75" s="96" t="str">
        <f>IF($J$24="English","Wrestle",(IF($J$24="Español","Zafarse",(IF($J$24="Deutsch","Wrestling",(IF($J$24="Français","Tacle")))))))</f>
        <v>Wrestle</v>
      </c>
      <c r="BZ75" s="32" t="s">
        <v>247</v>
      </c>
      <c r="CA75" s="47"/>
      <c r="CB75" s="96" t="str">
        <f>IF(J24="English","Catch",(IF(J24="Español","Atrapar",(IF(J24="Deutsch","Aufspringen",(IF(J24="Français","Défenseur ")))))))</f>
        <v>Catch</v>
      </c>
      <c r="CC75" s="32" t="s">
        <v>248</v>
      </c>
      <c r="CD75" s="2"/>
      <c r="CE75" s="95"/>
      <c r="CF75" s="33"/>
      <c r="CG75" s="87" t="str">
        <f t="shared" si="116"/>
        <v>Wrestle</v>
      </c>
      <c r="CH75" s="87" t="str">
        <f t="shared" si="117"/>
        <v>Wrestle</v>
      </c>
      <c r="CI75" s="87" t="str">
        <f t="shared" si="118"/>
        <v>Wrestle</v>
      </c>
      <c r="CJ75" s="87" t="str">
        <f t="shared" si="119"/>
        <v>Wrestle</v>
      </c>
      <c r="CK75" s="87" t="str">
        <f t="shared" si="120"/>
        <v>Wrestle</v>
      </c>
      <c r="CL75" s="87" t="str">
        <f t="shared" si="121"/>
        <v>Wrestle</v>
      </c>
      <c r="CM75" s="87" t="str">
        <f t="shared" si="122"/>
        <v>Wrestle</v>
      </c>
      <c r="CN75" s="87" t="str">
        <f t="shared" si="123"/>
        <v>Wrestle</v>
      </c>
      <c r="CO75" s="87" t="str">
        <f t="shared" si="124"/>
        <v>Wrestle</v>
      </c>
      <c r="CP75" s="87" t="str">
        <f t="shared" si="125"/>
        <v>Wrestle</v>
      </c>
      <c r="CQ75" s="87" t="str">
        <f t="shared" si="126"/>
        <v>Wrestle</v>
      </c>
      <c r="CR75" s="87" t="str">
        <f t="shared" si="127"/>
        <v>Wrestle</v>
      </c>
      <c r="CS75" s="87" t="b">
        <f t="shared" si="128"/>
        <v>0</v>
      </c>
      <c r="CT75" s="87" t="b">
        <f t="shared" si="129"/>
        <v>0</v>
      </c>
      <c r="CU75" s="87" t="b">
        <f t="shared" si="130"/>
        <v>0</v>
      </c>
      <c r="CV75" s="87" t="b">
        <f t="shared" si="131"/>
        <v>0</v>
      </c>
      <c r="CW75" s="2"/>
      <c r="CX75" s="2"/>
      <c r="CY75" s="2"/>
      <c r="CZ75" s="32"/>
      <c r="DA75" s="2"/>
      <c r="DB75" s="2"/>
    </row>
    <row r="76" spans="1:106" ht="15" hidden="1" customHeight="1">
      <c r="A76" s="32"/>
      <c r="B76" s="32"/>
      <c r="C76" s="32"/>
      <c r="D76" s="32"/>
      <c r="E76" s="32"/>
      <c r="F76" s="32"/>
      <c r="G76" s="32"/>
      <c r="H76" s="32"/>
      <c r="I76" s="32"/>
      <c r="J76" s="32"/>
      <c r="K76" s="32"/>
      <c r="L76" s="32"/>
      <c r="M76" s="32"/>
      <c r="N76" s="32"/>
      <c r="O76" s="32"/>
      <c r="P76" s="32"/>
      <c r="Q76" s="32"/>
      <c r="R76" s="32"/>
      <c r="S76" s="32"/>
      <c r="T76" s="32"/>
      <c r="U76" s="32"/>
      <c r="V76" s="32"/>
      <c r="W76" s="32"/>
      <c r="X76" s="32"/>
      <c r="Y76" s="32"/>
      <c r="Z76" s="32"/>
      <c r="AA76" s="32"/>
      <c r="AB76" s="32"/>
      <c r="AC76" s="32"/>
      <c r="AD76" s="32"/>
      <c r="AE76" s="32"/>
      <c r="AF76" s="32"/>
      <c r="AG76" s="32"/>
      <c r="AH76" s="32"/>
      <c r="AI76" s="80">
        <f>AG36+AG37+AG38+AG39+AG40+AG41+AG42+AG43+AG44+AG45+AG46+AG47+AG48+AG49+AG50+AG51</f>
        <v>140000</v>
      </c>
      <c r="AJ76" s="32"/>
      <c r="AK76" s="32"/>
      <c r="AL76" s="32"/>
      <c r="AM76" s="32"/>
      <c r="AN76" s="32"/>
      <c r="AO76" s="32"/>
      <c r="AP76" s="32"/>
      <c r="AQ76" s="32"/>
      <c r="AR76" s="31">
        <v>1070000</v>
      </c>
      <c r="AS76" s="31"/>
      <c r="AT76" s="31"/>
      <c r="AU76" s="31"/>
      <c r="AV76" s="31"/>
      <c r="AW76" s="31"/>
      <c r="AX76" s="32"/>
      <c r="AY76" s="32">
        <v>16</v>
      </c>
      <c r="AZ76" s="31">
        <v>100000</v>
      </c>
      <c r="BA76" s="32" t="str">
        <f>IF(OR(BU2="Favouredof",BU2="FavouredofWorldsEdgeSuperleagueBadlandsBrawl"),(IF($BO$1="Nurgle","",(IF($BO$2="DaemonsofKhorne","","Khorne")))),"")</f>
        <v/>
      </c>
      <c r="BB76" s="32"/>
      <c r="BC76" s="32"/>
      <c r="BD76" s="32"/>
      <c r="BE76" s="93"/>
      <c r="BF76" s="2"/>
      <c r="BG76" s="2"/>
      <c r="BH76" s="2"/>
      <c r="BI76" s="2"/>
      <c r="BJ76" s="2"/>
      <c r="BK76" s="32"/>
      <c r="BL76" s="2"/>
      <c r="BM76" s="32"/>
      <c r="BN76" s="32"/>
      <c r="BO76" s="32"/>
      <c r="BP76" s="2"/>
      <c r="BQ76" s="2"/>
      <c r="BR76" s="2"/>
      <c r="BS76" s="96" t="str">
        <f>IF($J$24="English","Catch",(IF($J$24="Español","Atrapar",(IF($J$24="Deutsch","Aufspringen",(IF($J$24="Français","Défenseur ")))))))</f>
        <v>Catch</v>
      </c>
      <c r="BT76" s="32" t="s">
        <v>248</v>
      </c>
      <c r="BU76" s="96" t="str">
        <f>IF($J$24="English","Catch",(IF($J$24="Español","Atrapar",(IF($J$24="Deutsch","Aufspringen",(IF($J$24="Français","Défenseur ")))))))</f>
        <v>Catch</v>
      </c>
      <c r="BV76" s="32" t="s">
        <v>248</v>
      </c>
      <c r="BW76" s="96" t="str">
        <f>IF($J$24="English","Catch",(IF($J$24="Español","Atrapar",(IF($J$24="Deutsch","Aufspringen",(IF($J$24="Français","Défenseur ")))))))</f>
        <v>Catch</v>
      </c>
      <c r="BX76" s="32" t="s">
        <v>248</v>
      </c>
      <c r="BY76" s="96" t="str">
        <f>IF($J$24="English","Catch",(IF($J$24="Español","Atrapar",(IF($J$24="Deutsch","Aufspringen",(IF($J$24="Français","Défenseur ")))))))</f>
        <v>Catch</v>
      </c>
      <c r="BZ76" s="32" t="s">
        <v>248</v>
      </c>
      <c r="CA76" s="33"/>
      <c r="CB76" s="96" t="str">
        <f>IF(J24="English","Diving Catch",(IF(J24="Español","Echarse a un Lado",(IF(J24="Deutsch","Ausweichen",(IF(J24="Français","Équilibre")))))))</f>
        <v>Diving Catch</v>
      </c>
      <c r="CC76" s="32" t="s">
        <v>248</v>
      </c>
      <c r="CD76" s="2"/>
      <c r="CE76" s="95"/>
      <c r="CF76" s="33"/>
      <c r="CG76" s="87" t="str">
        <f t="shared" si="116"/>
        <v>Catch</v>
      </c>
      <c r="CH76" s="87" t="str">
        <f t="shared" si="117"/>
        <v>Catch</v>
      </c>
      <c r="CI76" s="87" t="str">
        <f t="shared" si="118"/>
        <v>Catch</v>
      </c>
      <c r="CJ76" s="87" t="str">
        <f t="shared" si="119"/>
        <v>Catch</v>
      </c>
      <c r="CK76" s="87" t="str">
        <f t="shared" si="120"/>
        <v>Catch</v>
      </c>
      <c r="CL76" s="87" t="str">
        <f t="shared" si="121"/>
        <v>Catch</v>
      </c>
      <c r="CM76" s="87" t="str">
        <f t="shared" si="122"/>
        <v>Catch</v>
      </c>
      <c r="CN76" s="87" t="str">
        <f t="shared" si="123"/>
        <v>Catch</v>
      </c>
      <c r="CO76" s="87" t="str">
        <f t="shared" si="124"/>
        <v>Catch</v>
      </c>
      <c r="CP76" s="87" t="str">
        <f t="shared" si="125"/>
        <v>Catch</v>
      </c>
      <c r="CQ76" s="87" t="str">
        <f t="shared" si="126"/>
        <v>Catch</v>
      </c>
      <c r="CR76" s="87" t="str">
        <f t="shared" si="127"/>
        <v>Catch</v>
      </c>
      <c r="CS76" s="87" t="b">
        <f t="shared" si="128"/>
        <v>0</v>
      </c>
      <c r="CT76" s="87" t="b">
        <f t="shared" si="129"/>
        <v>0</v>
      </c>
      <c r="CU76" s="87" t="b">
        <f t="shared" si="130"/>
        <v>0</v>
      </c>
      <c r="CV76" s="87" t="b">
        <f t="shared" si="131"/>
        <v>0</v>
      </c>
      <c r="CW76" s="2"/>
      <c r="CX76" s="2"/>
      <c r="CY76" s="2"/>
      <c r="CZ76" s="32"/>
      <c r="DA76" s="2"/>
      <c r="DB76" s="2"/>
    </row>
    <row r="77" spans="1:106" ht="15" hidden="1" customHeight="1">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c r="AA77" s="32"/>
      <c r="AB77" s="32"/>
      <c r="AC77" s="32"/>
      <c r="AD77" s="32"/>
      <c r="AE77" s="32"/>
      <c r="AF77" s="32"/>
      <c r="AG77" s="32"/>
      <c r="AH77" s="32"/>
      <c r="AI77" s="32"/>
      <c r="AJ77" s="32"/>
      <c r="AK77" s="32"/>
      <c r="AL77" s="32"/>
      <c r="AM77" s="32"/>
      <c r="AN77" s="32"/>
      <c r="AO77" s="32"/>
      <c r="AP77" s="32"/>
      <c r="AQ77" s="32"/>
      <c r="AR77" s="31">
        <v>1080000</v>
      </c>
      <c r="AS77" s="31"/>
      <c r="AT77" s="31"/>
      <c r="AU77" s="31"/>
      <c r="AV77" s="31"/>
      <c r="AW77" s="31"/>
      <c r="AX77" s="32"/>
      <c r="AY77" s="32">
        <v>17</v>
      </c>
      <c r="AZ77" s="31">
        <v>110000</v>
      </c>
      <c r="BA77" s="32" t="str">
        <f>IF(OR(BU2="Favouredof",BU2="FavouredofWorldsEdgeSuperleagueBadlandsBrawl"),(IF($BO$1="Nurgle","",(IF($BO$2="DaemonsofKhorne","","Nurgle")))),"")</f>
        <v/>
      </c>
      <c r="BB77" s="32"/>
      <c r="BC77" s="32"/>
      <c r="BD77" s="32"/>
      <c r="BE77" s="93"/>
      <c r="BF77" s="2"/>
      <c r="BG77" s="2"/>
      <c r="BH77" s="2"/>
      <c r="BI77" s="2"/>
      <c r="BJ77" s="2"/>
      <c r="BK77" s="32"/>
      <c r="BL77" s="2"/>
      <c r="BM77" s="32"/>
      <c r="BN77" s="32"/>
      <c r="BO77" s="32"/>
      <c r="BP77" s="2"/>
      <c r="BQ77" s="2"/>
      <c r="BR77" s="2"/>
      <c r="BS77" s="96" t="str">
        <f>IF($J$24="English","Diving Catch",(IF($J$24="Español","Echarse a un Lado",(IF($J$24="Deutsch","Ausweichen",(IF($J$24="Français","Équilibre")))))))</f>
        <v>Diving Catch</v>
      </c>
      <c r="BT77" s="32" t="s">
        <v>248</v>
      </c>
      <c r="BU77" s="96" t="str">
        <f>IF($J$24="English","Diving Catch",(IF($J$24="Español","Echarse a un Lado",(IF($J$24="Deutsch","Ausweichen",(IF($J$24="Français","Équilibre")))))))</f>
        <v>Diving Catch</v>
      </c>
      <c r="BV77" s="32" t="s">
        <v>248</v>
      </c>
      <c r="BW77" s="96" t="str">
        <f>IF($J$24="English","Diving Catch",(IF($J$24="Español","Echarse a un Lado",(IF($J$24="Deutsch","Ausweichen",(IF($J$24="Français","Équilibre")))))))</f>
        <v>Diving Catch</v>
      </c>
      <c r="BX77" s="32" t="s">
        <v>248</v>
      </c>
      <c r="BY77" s="96" t="str">
        <f>IF($J$24="English","Diving Catch",(IF($J$24="Español","Echarse a un Lado",(IF($J$24="Deutsch","Ausweichen",(IF($J$24="Français","Équilibre")))))))</f>
        <v>Diving Catch</v>
      </c>
      <c r="BZ77" s="32" t="s">
        <v>248</v>
      </c>
      <c r="CA77" s="33"/>
      <c r="CB77" s="96" t="str">
        <f>IF(J24="English","Diving Tackle",(IF(J24="Español","En Pie de un Salto",(IF(J24="Deutsch","Fangsicher",(IF(J24="Français","Esquive")))))))</f>
        <v>Diving Tackle</v>
      </c>
      <c r="CC77" s="32" t="s">
        <v>248</v>
      </c>
      <c r="CD77" s="2"/>
      <c r="CE77" s="95"/>
      <c r="CF77" s="33"/>
      <c r="CG77" s="87" t="str">
        <f t="shared" si="116"/>
        <v>Diving Catch</v>
      </c>
      <c r="CH77" s="87" t="str">
        <f t="shared" si="117"/>
        <v>Diving Catch</v>
      </c>
      <c r="CI77" s="87" t="str">
        <f t="shared" si="118"/>
        <v>Diving Catch</v>
      </c>
      <c r="CJ77" s="87" t="str">
        <f t="shared" si="119"/>
        <v>Diving Catch</v>
      </c>
      <c r="CK77" s="87" t="str">
        <f t="shared" si="120"/>
        <v>Diving Catch</v>
      </c>
      <c r="CL77" s="87" t="str">
        <f t="shared" si="121"/>
        <v>Diving Catch</v>
      </c>
      <c r="CM77" s="87" t="str">
        <f t="shared" si="122"/>
        <v>Diving Catch</v>
      </c>
      <c r="CN77" s="87" t="str">
        <f t="shared" si="123"/>
        <v>Diving Catch</v>
      </c>
      <c r="CO77" s="87" t="str">
        <f t="shared" si="124"/>
        <v>Diving Catch</v>
      </c>
      <c r="CP77" s="87" t="str">
        <f t="shared" si="125"/>
        <v>Diving Catch</v>
      </c>
      <c r="CQ77" s="87" t="str">
        <f t="shared" si="126"/>
        <v>Diving Catch</v>
      </c>
      <c r="CR77" s="87" t="str">
        <f t="shared" si="127"/>
        <v>Diving Catch</v>
      </c>
      <c r="CS77" s="87" t="b">
        <f t="shared" si="128"/>
        <v>0</v>
      </c>
      <c r="CT77" s="87" t="b">
        <f t="shared" si="129"/>
        <v>0</v>
      </c>
      <c r="CU77" s="87" t="b">
        <f t="shared" si="130"/>
        <v>0</v>
      </c>
      <c r="CV77" s="87" t="b">
        <f t="shared" si="131"/>
        <v>0</v>
      </c>
      <c r="CW77" s="2"/>
      <c r="CX77" s="2"/>
      <c r="CY77" s="2"/>
      <c r="CZ77" s="32"/>
      <c r="DA77" s="2"/>
      <c r="DB77" s="2"/>
    </row>
    <row r="78" spans="1:106" ht="15" hidden="1" customHeight="1">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B78" s="32"/>
      <c r="AC78" s="32"/>
      <c r="AD78" s="32"/>
      <c r="AE78" s="32"/>
      <c r="AF78" s="32"/>
      <c r="AG78" s="32"/>
      <c r="AH78" s="32"/>
      <c r="AI78" s="32"/>
      <c r="AJ78" s="32"/>
      <c r="AK78" s="32"/>
      <c r="AL78" s="32"/>
      <c r="AM78" s="32"/>
      <c r="AN78" s="32"/>
      <c r="AO78" s="32"/>
      <c r="AP78" s="32"/>
      <c r="AQ78" s="32"/>
      <c r="AR78" s="31">
        <v>1090000</v>
      </c>
      <c r="AS78" s="31"/>
      <c r="AT78" s="31"/>
      <c r="AU78" s="31"/>
      <c r="AV78" s="31"/>
      <c r="AW78" s="31"/>
      <c r="AX78" s="32"/>
      <c r="AY78" s="32">
        <v>18</v>
      </c>
      <c r="AZ78" s="31">
        <v>120000</v>
      </c>
      <c r="BA78" s="32" t="str">
        <f>IF(OR(BU2="Favouredof",BU2="FavouredofWorldsEdgeSuperleagueBadlandsBrawl"),(IF($BO$1="Nurgle","",(IF($BO$2="DaemonsofKhorne","","Slaanesh")))),"")</f>
        <v/>
      </c>
      <c r="BB78" s="32"/>
      <c r="BC78" s="32"/>
      <c r="BD78" s="32"/>
      <c r="BE78" s="32"/>
      <c r="BF78" s="2"/>
      <c r="BG78" s="2"/>
      <c r="BH78" s="2"/>
      <c r="BI78" s="2"/>
      <c r="BJ78" s="2"/>
      <c r="BK78" s="32"/>
      <c r="BL78" s="2"/>
      <c r="BM78" s="32"/>
      <c r="BN78" s="32"/>
      <c r="BO78" s="32"/>
      <c r="BP78" s="2"/>
      <c r="BQ78" s="2"/>
      <c r="BR78" s="2"/>
      <c r="BS78" s="96" t="str">
        <f>IF($J$24="English","Diving Tackle",(IF($J$24="Español","En Pie de un Salto",(IF($J$24="Deutsch","Fangsicher",(IF($J$24="Français","Esquive")))))))</f>
        <v>Diving Tackle</v>
      </c>
      <c r="BT78" s="32" t="s">
        <v>248</v>
      </c>
      <c r="BU78" s="96" t="str">
        <f>IF($J$24="English","Diving Tackle",(IF($J$24="Español","En Pie de un Salto",(IF($J$24="Deutsch","Fangsicher",(IF($J$24="Français","Esquive")))))))</f>
        <v>Diving Tackle</v>
      </c>
      <c r="BV78" s="32" t="s">
        <v>248</v>
      </c>
      <c r="BW78" s="96" t="str">
        <f>IF($J$24="English","Diving Tackle",(IF($J$24="Español","En Pie de un Salto",(IF($J$24="Deutsch","Fangsicher",(IF($J$24="Français","Esquive")))))))</f>
        <v>Diving Tackle</v>
      </c>
      <c r="BX78" s="32" t="s">
        <v>248</v>
      </c>
      <c r="BY78" s="96" t="str">
        <f>IF($J$24="English","Diving Tackle",(IF($J$24="Español","En Pie de un Salto",(IF($J$24="Deutsch","Fangsicher",(IF($J$24="Français","Esquive")))))))</f>
        <v>Diving Tackle</v>
      </c>
      <c r="BZ78" s="32" t="s">
        <v>248</v>
      </c>
      <c r="CA78" s="33"/>
      <c r="CB78" s="96" t="str">
        <f>IF(J24="English","Dodge",(IF(J24="Español","Esprintar",(IF(J24="Deutsch","Fliegender Tackle",(IF(J24="Français","Glissade contrôlée")))))))</f>
        <v>Dodge</v>
      </c>
      <c r="CC78" s="32" t="s">
        <v>248</v>
      </c>
      <c r="CD78" s="2"/>
      <c r="CE78" s="95"/>
      <c r="CF78" s="33"/>
      <c r="CG78" s="87" t="str">
        <f t="shared" si="116"/>
        <v>Diving Tackle</v>
      </c>
      <c r="CH78" s="87" t="str">
        <f t="shared" si="117"/>
        <v>Diving Tackle</v>
      </c>
      <c r="CI78" s="87" t="str">
        <f t="shared" si="118"/>
        <v>Diving Tackle</v>
      </c>
      <c r="CJ78" s="87" t="str">
        <f t="shared" si="119"/>
        <v>Diving Tackle</v>
      </c>
      <c r="CK78" s="87" t="str">
        <f t="shared" si="120"/>
        <v>Diving Tackle</v>
      </c>
      <c r="CL78" s="87" t="str">
        <f t="shared" si="121"/>
        <v>Diving Tackle</v>
      </c>
      <c r="CM78" s="87" t="str">
        <f t="shared" si="122"/>
        <v>Diving Tackle</v>
      </c>
      <c r="CN78" s="87" t="str">
        <f t="shared" si="123"/>
        <v>Diving Tackle</v>
      </c>
      <c r="CO78" s="87" t="str">
        <f t="shared" si="124"/>
        <v>Diving Tackle</v>
      </c>
      <c r="CP78" s="87" t="str">
        <f t="shared" si="125"/>
        <v>Diving Tackle</v>
      </c>
      <c r="CQ78" s="87" t="str">
        <f t="shared" si="126"/>
        <v>Diving Tackle</v>
      </c>
      <c r="CR78" s="87" t="str">
        <f t="shared" si="127"/>
        <v>Diving Tackle</v>
      </c>
      <c r="CS78" s="87" t="b">
        <f t="shared" si="128"/>
        <v>0</v>
      </c>
      <c r="CT78" s="87" t="b">
        <f t="shared" si="129"/>
        <v>0</v>
      </c>
      <c r="CU78" s="87" t="b">
        <f t="shared" si="130"/>
        <v>0</v>
      </c>
      <c r="CV78" s="87" t="b">
        <f t="shared" si="131"/>
        <v>0</v>
      </c>
      <c r="CW78" s="2"/>
      <c r="CX78" s="2"/>
      <c r="CY78" s="2"/>
      <c r="CZ78" s="32"/>
      <c r="DA78" s="2"/>
      <c r="DB78" s="2"/>
    </row>
    <row r="79" spans="1:106" ht="15" hidden="1" customHeight="1">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c r="AA79" s="32"/>
      <c r="AB79" s="32"/>
      <c r="AC79" s="32"/>
      <c r="AD79" s="32"/>
      <c r="AE79" s="32"/>
      <c r="AF79" s="32"/>
      <c r="AG79" s="32"/>
      <c r="AH79" s="32"/>
      <c r="AI79" s="32"/>
      <c r="AJ79" s="32"/>
      <c r="AK79" s="32"/>
      <c r="AL79" s="32"/>
      <c r="AM79" s="32"/>
      <c r="AN79" s="32"/>
      <c r="AO79" s="32"/>
      <c r="AP79" s="32"/>
      <c r="AQ79" s="32"/>
      <c r="AR79" s="31">
        <v>1100000</v>
      </c>
      <c r="AS79" s="31"/>
      <c r="AT79" s="31"/>
      <c r="AU79" s="31"/>
      <c r="AV79" s="31"/>
      <c r="AW79" s="31"/>
      <c r="AX79" s="32"/>
      <c r="AY79" s="32">
        <v>19</v>
      </c>
      <c r="AZ79" s="31">
        <v>130000</v>
      </c>
      <c r="BA79" s="32" t="str">
        <f>IF(OR(BU2="Favouredof",BU2="FavouredofWorldsEdgeSuperleagueBadlandsBrawl"),(IF($BO$1="Nurgle","",(IF($BO$2="DaemonsofKhorne","","Tzeentch")))),"")</f>
        <v/>
      </c>
      <c r="BB79" s="32"/>
      <c r="BC79" s="32"/>
      <c r="BD79" s="32"/>
      <c r="BE79" s="32"/>
      <c r="BF79" s="2"/>
      <c r="BG79" s="2"/>
      <c r="BH79" s="2"/>
      <c r="BI79" s="2"/>
      <c r="BJ79" s="2"/>
      <c r="BK79" s="32"/>
      <c r="BL79" s="2"/>
      <c r="BM79" s="32"/>
      <c r="BN79" s="32"/>
      <c r="BO79" s="32"/>
      <c r="BP79" s="2"/>
      <c r="BQ79" s="2"/>
      <c r="BR79" s="2"/>
      <c r="BS79" s="96" t="str">
        <f>IF($J$24="English","Dodge",(IF($J$24="Español","Esprintar",(IF($J$24="Deutsch","Fliegender Tackle",(IF($J$24="Français","Glissade contrôlée")))))))</f>
        <v>Dodge</v>
      </c>
      <c r="BT79" s="32" t="s">
        <v>248</v>
      </c>
      <c r="BU79" s="96" t="str">
        <f>IF($J$24="English","Dodge",(IF($J$24="Español","Esprintar",(IF($J$24="Deutsch","Fliegender Tackle",(IF($J$24="Français","Glissade contrôlée")))))))</f>
        <v>Dodge</v>
      </c>
      <c r="BV79" s="32" t="s">
        <v>248</v>
      </c>
      <c r="BW79" s="96" t="str">
        <f>IF($J$24="English","Dodge",(IF($J$24="Español","Esprintar",(IF($J$24="Deutsch","Fliegender Tackle",(IF($J$24="Français","Glissade contrôlée")))))))</f>
        <v>Dodge</v>
      </c>
      <c r="BX79" s="32" t="s">
        <v>248</v>
      </c>
      <c r="BY79" s="96" t="str">
        <f>IF($J$24="English","Dodge",(IF($J$24="Español","Esprintar",(IF($J$24="Deutsch","Fliegender Tackle",(IF($J$24="Français","Glissade contrôlée")))))))</f>
        <v>Dodge</v>
      </c>
      <c r="BZ79" s="32" t="s">
        <v>248</v>
      </c>
      <c r="CA79" s="33"/>
      <c r="CB79" s="96" t="str">
        <f>IF(J24="English","Defensive",(IF(J24="Español","Esquivar",(IF(J24="Deutsch","Gewandt",(IF(J24="Français","Libération contrôlée")))))))</f>
        <v>Defensive</v>
      </c>
      <c r="CC79" s="32" t="s">
        <v>248</v>
      </c>
      <c r="CD79" s="2"/>
      <c r="CE79" s="95"/>
      <c r="CF79" s="33"/>
      <c r="CG79" s="87" t="str">
        <f t="shared" si="116"/>
        <v>Dodge</v>
      </c>
      <c r="CH79" s="87" t="str">
        <f t="shared" si="117"/>
        <v>Dodge</v>
      </c>
      <c r="CI79" s="87" t="str">
        <f t="shared" si="118"/>
        <v>Dodge</v>
      </c>
      <c r="CJ79" s="87" t="str">
        <f t="shared" si="119"/>
        <v>Dodge</v>
      </c>
      <c r="CK79" s="87" t="str">
        <f t="shared" si="120"/>
        <v>Dodge</v>
      </c>
      <c r="CL79" s="87" t="str">
        <f t="shared" si="121"/>
        <v>Dodge</v>
      </c>
      <c r="CM79" s="87" t="str">
        <f t="shared" si="122"/>
        <v>Dodge</v>
      </c>
      <c r="CN79" s="87" t="str">
        <f t="shared" si="123"/>
        <v>Dodge</v>
      </c>
      <c r="CO79" s="87" t="str">
        <f t="shared" si="124"/>
        <v>Dodge</v>
      </c>
      <c r="CP79" s="87" t="str">
        <f t="shared" si="125"/>
        <v>Dodge</v>
      </c>
      <c r="CQ79" s="87" t="str">
        <f t="shared" si="126"/>
        <v>Dodge</v>
      </c>
      <c r="CR79" s="87" t="str">
        <f t="shared" si="127"/>
        <v>Dodge</v>
      </c>
      <c r="CS79" s="87" t="b">
        <f t="shared" si="128"/>
        <v>0</v>
      </c>
      <c r="CT79" s="87" t="b">
        <f t="shared" si="129"/>
        <v>0</v>
      </c>
      <c r="CU79" s="87" t="b">
        <f t="shared" si="130"/>
        <v>0</v>
      </c>
      <c r="CV79" s="87" t="b">
        <f t="shared" si="131"/>
        <v>0</v>
      </c>
      <c r="CW79" s="2"/>
      <c r="CX79" s="2"/>
      <c r="CY79" s="2"/>
      <c r="CZ79" s="32"/>
      <c r="DA79" s="2"/>
      <c r="DB79" s="2"/>
    </row>
    <row r="80" spans="1:106" ht="15" hidden="1" customHeight="1">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c r="AA80" s="32"/>
      <c r="AB80" s="32"/>
      <c r="AC80" s="32"/>
      <c r="AD80" s="32"/>
      <c r="AE80" s="32"/>
      <c r="AF80" s="32"/>
      <c r="AG80" s="32"/>
      <c r="AH80" s="32"/>
      <c r="AI80" s="32"/>
      <c r="AJ80" s="32"/>
      <c r="AK80" s="32"/>
      <c r="AL80" s="32"/>
      <c r="AM80" s="32"/>
      <c r="AN80" s="32"/>
      <c r="AO80" s="32"/>
      <c r="AP80" s="32"/>
      <c r="AQ80" s="32"/>
      <c r="AR80" s="31">
        <v>1110000</v>
      </c>
      <c r="AS80" s="31"/>
      <c r="AT80" s="31"/>
      <c r="AU80" s="31"/>
      <c r="AV80" s="31"/>
      <c r="AW80" s="31"/>
      <c r="AX80" s="32"/>
      <c r="AY80" s="32">
        <v>20</v>
      </c>
      <c r="AZ80" s="31">
        <v>140000</v>
      </c>
      <c r="BA80" s="32"/>
      <c r="BB80" s="32"/>
      <c r="BC80" s="32"/>
      <c r="BD80" s="32"/>
      <c r="BE80" s="32"/>
      <c r="BF80" s="2"/>
      <c r="BG80" s="2"/>
      <c r="BH80" s="2"/>
      <c r="BI80" s="2"/>
      <c r="BJ80" s="2"/>
      <c r="BK80" s="32"/>
      <c r="BL80" s="2"/>
      <c r="BM80" s="32"/>
      <c r="BN80" s="32"/>
      <c r="BO80" s="32"/>
      <c r="BP80" s="2"/>
      <c r="BQ80" s="2"/>
      <c r="BR80" s="2"/>
      <c r="BS80" s="96" t="str">
        <f>IF($J$24="English","Defensive",(IF($J$24="Español","Esquivar",(IF($J$24="Deutsch","Gewandt",(IF($J$24="Français","Libération contrôlée")))))))</f>
        <v>Defensive</v>
      </c>
      <c r="BT80" s="32" t="s">
        <v>248</v>
      </c>
      <c r="BU80" s="96" t="str">
        <f>IF($J$24="English","Defensive",(IF($J$24="Español","Esquivar",(IF($J$24="Deutsch","Gewandt",(IF($J$24="Français","Libération contrôlée")))))))</f>
        <v>Defensive</v>
      </c>
      <c r="BV80" s="32" t="s">
        <v>248</v>
      </c>
      <c r="BW80" s="96" t="str">
        <f>IF($J$24="English","Defensive",(IF($J$24="Español","Esquivar",(IF($J$24="Deutsch","Gewandt",(IF($J$24="Français","Libération contrôlée")))))))</f>
        <v>Defensive</v>
      </c>
      <c r="BX80" s="32" t="s">
        <v>248</v>
      </c>
      <c r="BY80" s="96" t="str">
        <f>IF($J$24="English","Defensive",(IF($J$24="Español","Esquivar",(IF($J$24="Deutsch","Gewandt",(IF($J$24="Français","Libération contrôlée")))))))</f>
        <v>Defensive</v>
      </c>
      <c r="BZ80" s="32" t="s">
        <v>248</v>
      </c>
      <c r="CA80" s="47"/>
      <c r="CB80" s="96" t="str">
        <f>IF(J24="English","Jump Up",(IF(J24="Español","Furtivo",(IF(J24="Deutsch","Hechtsprung",(IF(J24="Français","Réception ")))))))</f>
        <v>Jump Up</v>
      </c>
      <c r="CC80" s="32" t="s">
        <v>248</v>
      </c>
      <c r="CD80" s="2"/>
      <c r="CE80" s="95"/>
      <c r="CF80" s="33"/>
      <c r="CG80" s="87" t="str">
        <f t="shared" si="116"/>
        <v>Defensive</v>
      </c>
      <c r="CH80" s="87" t="str">
        <f t="shared" si="117"/>
        <v>Defensive</v>
      </c>
      <c r="CI80" s="87" t="str">
        <f t="shared" si="118"/>
        <v>Defensive</v>
      </c>
      <c r="CJ80" s="87" t="str">
        <f t="shared" si="119"/>
        <v>Defensive</v>
      </c>
      <c r="CK80" s="87" t="str">
        <f t="shared" si="120"/>
        <v>Defensive</v>
      </c>
      <c r="CL80" s="87" t="str">
        <f t="shared" si="121"/>
        <v>Defensive</v>
      </c>
      <c r="CM80" s="87" t="str">
        <f t="shared" si="122"/>
        <v>Defensive</v>
      </c>
      <c r="CN80" s="87" t="str">
        <f t="shared" si="123"/>
        <v>Defensive</v>
      </c>
      <c r="CO80" s="87" t="str">
        <f t="shared" si="124"/>
        <v>Defensive</v>
      </c>
      <c r="CP80" s="87" t="str">
        <f t="shared" si="125"/>
        <v>Defensive</v>
      </c>
      <c r="CQ80" s="87" t="str">
        <f t="shared" si="126"/>
        <v>Defensive</v>
      </c>
      <c r="CR80" s="87" t="str">
        <f t="shared" si="127"/>
        <v>Defensive</v>
      </c>
      <c r="CS80" s="87" t="b">
        <f t="shared" si="128"/>
        <v>0</v>
      </c>
      <c r="CT80" s="87" t="b">
        <f t="shared" si="129"/>
        <v>0</v>
      </c>
      <c r="CU80" s="87" t="b">
        <f t="shared" si="130"/>
        <v>0</v>
      </c>
      <c r="CV80" s="87" t="b">
        <f t="shared" si="131"/>
        <v>0</v>
      </c>
      <c r="CW80" s="2"/>
      <c r="CX80" s="2"/>
      <c r="CY80" s="2"/>
      <c r="CZ80" s="32"/>
      <c r="DA80" s="2"/>
      <c r="DB80" s="2"/>
    </row>
    <row r="81" spans="1:106" ht="15" hidden="1" customHeight="1">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1">
        <v>1120000</v>
      </c>
      <c r="AS81" s="31"/>
      <c r="AT81" s="31"/>
      <c r="AU81" s="31"/>
      <c r="AV81" s="31"/>
      <c r="AW81" s="31"/>
      <c r="AX81" s="32"/>
      <c r="AY81" s="32"/>
      <c r="AZ81" s="31">
        <v>150000</v>
      </c>
      <c r="BA81" s="32"/>
      <c r="BB81" s="32"/>
      <c r="BC81" s="32"/>
      <c r="BD81" s="32"/>
      <c r="BE81" s="32"/>
      <c r="BF81" s="2"/>
      <c r="BG81" s="2"/>
      <c r="BH81" s="2"/>
      <c r="BI81" s="2"/>
      <c r="BJ81" s="2"/>
      <c r="BK81" s="32"/>
      <c r="BL81" s="2"/>
      <c r="BM81" s="32"/>
      <c r="BN81" s="32"/>
      <c r="BO81" s="32"/>
      <c r="BP81" s="2"/>
      <c r="BQ81" s="2"/>
      <c r="BR81" s="2"/>
      <c r="BS81" s="96" t="str">
        <f>IF($J$24="English","Jump Up",(IF($J$24="Español","Furtivo",(IF($J$24="Deutsch","Hechtsprung",(IF($J$24="Français","Réception ")))))))</f>
        <v>Jump Up</v>
      </c>
      <c r="BT81" s="32" t="s">
        <v>248</v>
      </c>
      <c r="BU81" s="96" t="str">
        <f>IF($J$24="English","Jump Up",(IF($J$24="Español","Furtivo",(IF($J$24="Deutsch","Hechtsprung",(IF($J$24="Français","Réception ")))))))</f>
        <v>Jump Up</v>
      </c>
      <c r="BV81" s="32" t="s">
        <v>248</v>
      </c>
      <c r="BW81" s="96" t="str">
        <f>IF($J$24="English","Jump Up",(IF($J$24="Español","Furtivo",(IF($J$24="Deutsch","Hechtsprung",(IF($J$24="Français","Réception ")))))))</f>
        <v>Jump Up</v>
      </c>
      <c r="BX81" s="32" t="s">
        <v>248</v>
      </c>
      <c r="BY81" s="96" t="str">
        <f>IF($J$24="English","Jump Up",(IF($J$24="Español","Furtivo",(IF($J$24="Deutsch","Hechtsprung",(IF($J$24="Français","Réception ")))))))</f>
        <v>Jump Up</v>
      </c>
      <c r="BZ81" s="32" t="s">
        <v>248</v>
      </c>
      <c r="CA81" s="47"/>
      <c r="CB81" s="96" t="str">
        <f>IF(J24="English","Leap",(IF(J24="Español","Pies Firmes",(IF(J24="Deutsch","Heimtückisch",(IF(J24="Français","Réception plongeante ")))))))</f>
        <v>Leap</v>
      </c>
      <c r="CC81" s="32" t="s">
        <v>248</v>
      </c>
      <c r="CD81" s="2"/>
      <c r="CE81" s="95"/>
      <c r="CF81" s="33"/>
      <c r="CG81" s="87" t="str">
        <f t="shared" si="116"/>
        <v>Jump Up</v>
      </c>
      <c r="CH81" s="87" t="str">
        <f t="shared" si="117"/>
        <v>Jump Up</v>
      </c>
      <c r="CI81" s="87" t="str">
        <f t="shared" si="118"/>
        <v>Jump Up</v>
      </c>
      <c r="CJ81" s="87" t="str">
        <f t="shared" si="119"/>
        <v>Jump Up</v>
      </c>
      <c r="CK81" s="87" t="str">
        <f t="shared" si="120"/>
        <v>Jump Up</v>
      </c>
      <c r="CL81" s="87" t="str">
        <f t="shared" si="121"/>
        <v>Jump Up</v>
      </c>
      <c r="CM81" s="87" t="str">
        <f t="shared" si="122"/>
        <v>Jump Up</v>
      </c>
      <c r="CN81" s="87" t="str">
        <f t="shared" si="123"/>
        <v>Jump Up</v>
      </c>
      <c r="CO81" s="87" t="str">
        <f t="shared" si="124"/>
        <v>Jump Up</v>
      </c>
      <c r="CP81" s="87" t="str">
        <f t="shared" si="125"/>
        <v>Jump Up</v>
      </c>
      <c r="CQ81" s="87" t="str">
        <f t="shared" si="126"/>
        <v>Jump Up</v>
      </c>
      <c r="CR81" s="87" t="str">
        <f t="shared" si="127"/>
        <v>Jump Up</v>
      </c>
      <c r="CS81" s="87" t="b">
        <f t="shared" si="128"/>
        <v>0</v>
      </c>
      <c r="CT81" s="87" t="b">
        <f t="shared" si="129"/>
        <v>0</v>
      </c>
      <c r="CU81" s="87" t="b">
        <f t="shared" si="130"/>
        <v>0</v>
      </c>
      <c r="CV81" s="87" t="b">
        <f t="shared" si="131"/>
        <v>0</v>
      </c>
      <c r="CW81" s="2"/>
      <c r="CX81" s="2"/>
      <c r="CY81" s="2"/>
      <c r="CZ81" s="32"/>
      <c r="DA81" s="2"/>
      <c r="DB81" s="2"/>
    </row>
    <row r="82" spans="1:106" ht="15" hidden="1" customHeight="1">
      <c r="A82" s="32"/>
      <c r="B82" s="288"/>
      <c r="C82" s="261"/>
      <c r="D82" s="261"/>
      <c r="E82" s="261"/>
      <c r="F82" s="261"/>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1">
        <v>1130000</v>
      </c>
      <c r="AS82" s="31"/>
      <c r="AT82" s="31"/>
      <c r="AU82" s="31"/>
      <c r="AV82" s="31"/>
      <c r="AW82" s="31"/>
      <c r="AX82" s="32"/>
      <c r="AY82" s="32"/>
      <c r="AZ82" s="31">
        <v>160000</v>
      </c>
      <c r="BA82" s="32"/>
      <c r="BB82" s="32"/>
      <c r="BC82" s="32"/>
      <c r="BD82" s="32"/>
      <c r="BE82" s="32"/>
      <c r="BF82" s="2"/>
      <c r="BG82" s="2"/>
      <c r="BH82" s="2"/>
      <c r="BI82" s="2"/>
      <c r="BJ82" s="2"/>
      <c r="BK82" s="32"/>
      <c r="BL82" s="2"/>
      <c r="BM82" s="32"/>
      <c r="BN82" s="32"/>
      <c r="BO82" s="32"/>
      <c r="BP82" s="2"/>
      <c r="BQ82" s="2"/>
      <c r="BR82" s="2"/>
      <c r="BS82" s="96" t="str">
        <f>IF($J$24="English","Leap",(IF($J$24="Español","Pies Firmes",(IF($J$24="Deutsch","Heimtückisch",(IF($J$24="Français","Réception plongeante ")))))))</f>
        <v>Leap</v>
      </c>
      <c r="BT82" s="32" t="s">
        <v>248</v>
      </c>
      <c r="BU82" s="96" t="str">
        <f>IF($J$24="English","Leap",(IF($J$24="Español","Pies Firmes",(IF($J$24="Deutsch","Heimtückisch",(IF($J$24="Français","Réception plongeante ")))))))</f>
        <v>Leap</v>
      </c>
      <c r="BV82" s="32" t="s">
        <v>248</v>
      </c>
      <c r="BW82" s="96" t="str">
        <f>IF($J$24="English","Leap",(IF($J$24="Español","Pies Firmes",(IF($J$24="Deutsch","Heimtückisch",(IF($J$24="Français","Réception plongeante ")))))))</f>
        <v>Leap</v>
      </c>
      <c r="BX82" s="32" t="s">
        <v>248</v>
      </c>
      <c r="BY82" s="96" t="str">
        <f>IF($J$24="English","Leap",(IF($J$24="Español","Pies Firmes",(IF($J$24="Deutsch","Heimtückisch",(IF($J$24="Français","Réception plongeante ")))))))</f>
        <v>Leap</v>
      </c>
      <c r="BZ82" s="32" t="s">
        <v>248</v>
      </c>
      <c r="CA82" s="47"/>
      <c r="CB82" s="96" t="str">
        <f>IF(J24="English","Safe Pair of Hands",(IF(J24="Español","Placaje Heroico",(IF(J24="Deutsch","Sichere Hände",(IF(J24="Français","Rétablissement")))))))</f>
        <v>Safe Pair of Hands</v>
      </c>
      <c r="CC82" s="32" t="s">
        <v>248</v>
      </c>
      <c r="CD82" s="2"/>
      <c r="CE82" s="95" t="s">
        <v>296</v>
      </c>
      <c r="CF82" s="33"/>
      <c r="CG82" s="87" t="str">
        <f t="shared" si="116"/>
        <v>Leap</v>
      </c>
      <c r="CH82" s="87" t="str">
        <f t="shared" si="117"/>
        <v>Leap</v>
      </c>
      <c r="CI82" s="87" t="str">
        <f t="shared" si="118"/>
        <v>Leap</v>
      </c>
      <c r="CJ82" s="87" t="str">
        <f t="shared" si="119"/>
        <v>Leap</v>
      </c>
      <c r="CK82" s="87" t="str">
        <f t="shared" si="120"/>
        <v>Leap</v>
      </c>
      <c r="CL82" s="87" t="str">
        <f t="shared" si="121"/>
        <v>Leap</v>
      </c>
      <c r="CM82" s="87" t="str">
        <f t="shared" si="122"/>
        <v>Leap</v>
      </c>
      <c r="CN82" s="87" t="str">
        <f t="shared" si="123"/>
        <v>Leap</v>
      </c>
      <c r="CO82" s="87" t="str">
        <f t="shared" si="124"/>
        <v>Leap</v>
      </c>
      <c r="CP82" s="87" t="str">
        <f t="shared" si="125"/>
        <v>Leap</v>
      </c>
      <c r="CQ82" s="87" t="str">
        <f t="shared" si="126"/>
        <v>Leap</v>
      </c>
      <c r="CR82" s="87" t="str">
        <f t="shared" si="127"/>
        <v>Leap</v>
      </c>
      <c r="CS82" s="87" t="b">
        <f t="shared" si="128"/>
        <v>0</v>
      </c>
      <c r="CT82" s="87" t="b">
        <f t="shared" si="129"/>
        <v>0</v>
      </c>
      <c r="CU82" s="87" t="b">
        <f t="shared" si="130"/>
        <v>0</v>
      </c>
      <c r="CV82" s="87" t="b">
        <f t="shared" si="131"/>
        <v>0</v>
      </c>
      <c r="CW82" s="2"/>
      <c r="CX82" s="2"/>
      <c r="CY82" s="2"/>
      <c r="CZ82" s="32"/>
      <c r="DA82" s="2"/>
      <c r="DB82" s="2"/>
    </row>
    <row r="83" spans="1:106" ht="15" hidden="1" customHeight="1">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1">
        <v>1140000</v>
      </c>
      <c r="AS83" s="31"/>
      <c r="AT83" s="31"/>
      <c r="AU83" s="31"/>
      <c r="AV83" s="31"/>
      <c r="AW83" s="31"/>
      <c r="AX83" s="32"/>
      <c r="AY83" s="32"/>
      <c r="AZ83" s="31">
        <v>170000</v>
      </c>
      <c r="BA83" s="32"/>
      <c r="BB83" s="32"/>
      <c r="BC83" s="32"/>
      <c r="BD83" s="32"/>
      <c r="BE83" s="32"/>
      <c r="BF83" s="2"/>
      <c r="BG83" s="2"/>
      <c r="BH83" s="2"/>
      <c r="BI83" s="2"/>
      <c r="BJ83" s="2"/>
      <c r="BK83" s="32"/>
      <c r="BL83" s="2"/>
      <c r="BM83" s="32"/>
      <c r="BN83" s="32"/>
      <c r="BO83" s="32"/>
      <c r="BP83" s="2"/>
      <c r="BQ83" s="2"/>
      <c r="BR83" s="2"/>
      <c r="BS83" s="96" t="str">
        <f>IF($J$24="English","Safe Pair of Hands",(IF($J$24="Español","Placaje Heroico",(IF($J$24="Deutsch","Sichere Hände",(IF($J$24="Français","Rétablissement")))))))</f>
        <v>Safe Pair of Hands</v>
      </c>
      <c r="BT83" s="32" t="s">
        <v>248</v>
      </c>
      <c r="BU83" s="96" t="str">
        <f>IF($J$24="English","Safe Pair of Hands",(IF($J$24="Español","Placaje Heroico",(IF($J$24="Deutsch","Sichere Hände",(IF($J$24="Français","Rétablissement")))))))</f>
        <v>Safe Pair of Hands</v>
      </c>
      <c r="BV83" s="32" t="s">
        <v>248</v>
      </c>
      <c r="BW83" s="96" t="str">
        <f>IF($J$24="English","Safe Pair of Hands",(IF($J$24="Español","Placaje Heroico",(IF($J$24="Deutsch","Sichere Hände",(IF($J$24="Français","Rétablissement")))))))</f>
        <v>Safe Pair of Hands</v>
      </c>
      <c r="BX83" s="32" t="s">
        <v>248</v>
      </c>
      <c r="BY83" s="96" t="str">
        <f>IF($J$24="English","Safe Pair of Hands",(IF($J$24="Español","Placaje Heroico",(IF($J$24="Deutsch","Sichere Hände",(IF($J$24="Français","Rétablissement")))))))</f>
        <v>Safe Pair of Hands</v>
      </c>
      <c r="BZ83" s="32" t="s">
        <v>248</v>
      </c>
      <c r="CA83" s="47"/>
      <c r="CB83" s="96" t="str">
        <f>IF(J24="English","Sidestep",(IF(J24="Español","Proteger el Cuero",(IF(J24="Deutsch","Springen",(IF(J24="Français","Saut")))))))</f>
        <v>Sidestep</v>
      </c>
      <c r="CC83" s="32" t="s">
        <v>248</v>
      </c>
      <c r="CD83" s="2"/>
      <c r="CE83" s="95"/>
      <c r="CF83" s="33"/>
      <c r="CG83" s="87" t="str">
        <f t="shared" si="116"/>
        <v>Safe Pair of Hands</v>
      </c>
      <c r="CH83" s="87" t="str">
        <f t="shared" si="117"/>
        <v>Safe Pair of Hands</v>
      </c>
      <c r="CI83" s="87" t="str">
        <f t="shared" si="118"/>
        <v>Safe Pair of Hands</v>
      </c>
      <c r="CJ83" s="87" t="str">
        <f t="shared" si="119"/>
        <v>Safe Pair of Hands</v>
      </c>
      <c r="CK83" s="87" t="str">
        <f t="shared" si="120"/>
        <v>Safe Pair of Hands</v>
      </c>
      <c r="CL83" s="87" t="str">
        <f t="shared" si="121"/>
        <v>Safe Pair of Hands</v>
      </c>
      <c r="CM83" s="87" t="str">
        <f t="shared" si="122"/>
        <v>Safe Pair of Hands</v>
      </c>
      <c r="CN83" s="87" t="str">
        <f t="shared" si="123"/>
        <v>Safe Pair of Hands</v>
      </c>
      <c r="CO83" s="87" t="str">
        <f t="shared" si="124"/>
        <v>Safe Pair of Hands</v>
      </c>
      <c r="CP83" s="87" t="str">
        <f t="shared" si="125"/>
        <v>Safe Pair of Hands</v>
      </c>
      <c r="CQ83" s="87" t="str">
        <f t="shared" si="126"/>
        <v>Safe Pair of Hands</v>
      </c>
      <c r="CR83" s="87" t="str">
        <f t="shared" si="127"/>
        <v>Safe Pair of Hands</v>
      </c>
      <c r="CS83" s="87" t="b">
        <f t="shared" si="128"/>
        <v>0</v>
      </c>
      <c r="CT83" s="87" t="b">
        <f t="shared" si="129"/>
        <v>0</v>
      </c>
      <c r="CU83" s="87" t="b">
        <f t="shared" si="130"/>
        <v>0</v>
      </c>
      <c r="CV83" s="87" t="b">
        <f t="shared" si="131"/>
        <v>0</v>
      </c>
      <c r="CW83" s="2"/>
      <c r="CX83" s="2"/>
      <c r="CY83" s="2"/>
      <c r="CZ83" s="32"/>
      <c r="DA83" s="2"/>
      <c r="DB83" s="2"/>
    </row>
    <row r="84" spans="1:106" ht="15" hidden="1" customHeight="1">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1">
        <v>1150000</v>
      </c>
      <c r="AS84" s="31"/>
      <c r="AT84" s="31"/>
      <c r="AU84" s="31"/>
      <c r="AV84" s="31"/>
      <c r="AW84" s="31"/>
      <c r="AX84" s="32"/>
      <c r="AY84" s="32"/>
      <c r="AZ84" s="31">
        <v>180000</v>
      </c>
      <c r="BA84" s="32"/>
      <c r="BB84" s="32"/>
      <c r="BC84" s="32"/>
      <c r="BD84" s="32"/>
      <c r="BE84" s="32"/>
      <c r="BF84" s="2"/>
      <c r="BG84" s="2"/>
      <c r="BH84" s="2"/>
      <c r="BI84" s="2"/>
      <c r="BJ84" s="2"/>
      <c r="BK84" s="32"/>
      <c r="BL84" s="2"/>
      <c r="BM84" s="32"/>
      <c r="BN84" s="32"/>
      <c r="BO84" s="32"/>
      <c r="BP84" s="2"/>
      <c r="BQ84" s="2"/>
      <c r="BR84" s="2"/>
      <c r="BS84" s="96" t="str">
        <f>IF($J$24="English","Sidestep",(IF($J$24="Español","Proteger el Cuero",(IF($J$24="Deutsch","Springen",(IF($J$24="Français","Saut")))))))</f>
        <v>Sidestep</v>
      </c>
      <c r="BT84" s="32" t="s">
        <v>248</v>
      </c>
      <c r="BU84" s="96" t="str">
        <f>IF($J$24="English","Sidestep",(IF($J$24="Español","Proteger el Cuero",(IF($J$24="Deutsch","Springen",(IF($J$24="Français","Saut")))))))</f>
        <v>Sidestep</v>
      </c>
      <c r="BV84" s="32" t="s">
        <v>248</v>
      </c>
      <c r="BW84" s="96" t="str">
        <f>IF($J$24="English","Sidestep",(IF($J$24="Español","Proteger el Cuero",(IF($J$24="Deutsch","Springen",(IF($J$24="Français","Saut")))))))</f>
        <v>Sidestep</v>
      </c>
      <c r="BX84" s="32" t="s">
        <v>248</v>
      </c>
      <c r="BY84" s="96" t="str">
        <f>IF($J$24="English","Sidestep",(IF($J$24="Español","Proteger el Cuero",(IF($J$24="Deutsch","Springen",(IF($J$24="Français","Saut")))))))</f>
        <v>Sidestep</v>
      </c>
      <c r="BZ84" s="32" t="s">
        <v>248</v>
      </c>
      <c r="CA84" s="33"/>
      <c r="CB84" s="96" t="str">
        <f>IF(J24="English","Sneaky Git",(IF(J24="Español","Recepción Heroica",(IF(J24="Deutsch","Sprinten",(IF(J24="Français","Sprint")))))))</f>
        <v>Sneaky Git</v>
      </c>
      <c r="CC84" s="32" t="s">
        <v>248</v>
      </c>
      <c r="CD84" s="2"/>
      <c r="CE84" s="95"/>
      <c r="CF84" s="33"/>
      <c r="CG84" s="87" t="str">
        <f t="shared" si="116"/>
        <v>Sidestep</v>
      </c>
      <c r="CH84" s="87" t="str">
        <f t="shared" si="117"/>
        <v>Sidestep</v>
      </c>
      <c r="CI84" s="87" t="str">
        <f t="shared" si="118"/>
        <v>Sidestep</v>
      </c>
      <c r="CJ84" s="87" t="str">
        <f t="shared" si="119"/>
        <v>Sidestep</v>
      </c>
      <c r="CK84" s="87" t="str">
        <f t="shared" si="120"/>
        <v>Sidestep</v>
      </c>
      <c r="CL84" s="87" t="str">
        <f t="shared" si="121"/>
        <v>Sidestep</v>
      </c>
      <c r="CM84" s="87" t="str">
        <f t="shared" si="122"/>
        <v>Sidestep</v>
      </c>
      <c r="CN84" s="87" t="str">
        <f t="shared" si="123"/>
        <v>Sidestep</v>
      </c>
      <c r="CO84" s="87" t="str">
        <f t="shared" si="124"/>
        <v>Sidestep</v>
      </c>
      <c r="CP84" s="87" t="str">
        <f t="shared" si="125"/>
        <v>Sidestep</v>
      </c>
      <c r="CQ84" s="87" t="str">
        <f t="shared" si="126"/>
        <v>Sidestep</v>
      </c>
      <c r="CR84" s="87" t="str">
        <f t="shared" si="127"/>
        <v>Sidestep</v>
      </c>
      <c r="CS84" s="87" t="b">
        <f t="shared" si="128"/>
        <v>0</v>
      </c>
      <c r="CT84" s="87" t="b">
        <f t="shared" si="129"/>
        <v>0</v>
      </c>
      <c r="CU84" s="87" t="b">
        <f t="shared" si="130"/>
        <v>0</v>
      </c>
      <c r="CV84" s="87" t="b">
        <f t="shared" si="131"/>
        <v>0</v>
      </c>
      <c r="CW84" s="2"/>
      <c r="CX84" s="2"/>
      <c r="CY84" s="2"/>
      <c r="CZ84" s="32"/>
      <c r="DA84" s="2"/>
      <c r="DB84" s="2"/>
    </row>
    <row r="85" spans="1:106" ht="15" hidden="1" customHeight="1">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1">
        <v>1160000</v>
      </c>
      <c r="AS85" s="31"/>
      <c r="AT85" s="31"/>
      <c r="AU85" s="31"/>
      <c r="AV85" s="31"/>
      <c r="AW85" s="31"/>
      <c r="AX85" s="32"/>
      <c r="AY85" s="32"/>
      <c r="AZ85" s="31">
        <v>190000</v>
      </c>
      <c r="BA85" s="32"/>
      <c r="BB85" s="32"/>
      <c r="BC85" s="32"/>
      <c r="BD85" s="32"/>
      <c r="BE85" s="32"/>
      <c r="BF85" s="2"/>
      <c r="BG85" s="2"/>
      <c r="BH85" s="2"/>
      <c r="BI85" s="2"/>
      <c r="BJ85" s="2"/>
      <c r="BK85" s="32"/>
      <c r="BL85" s="2"/>
      <c r="BM85" s="32"/>
      <c r="BN85" s="32"/>
      <c r="BO85" s="32"/>
      <c r="BP85" s="2"/>
      <c r="BQ85" s="2"/>
      <c r="BR85" s="2"/>
      <c r="BS85" s="96" t="str">
        <f>IF($J$24="English","Sneaky Git",(IF($J$24="Español","Recepción Heroica",(IF($J$24="Deutsch","Sprinten",(IF($J$24="Français","Sprint")))))))</f>
        <v>Sneaky Git</v>
      </c>
      <c r="BT85" s="32" t="s">
        <v>248</v>
      </c>
      <c r="BU85" s="96" t="str">
        <f>IF($J$24="English","Sneaky Git",(IF($J$24="Español","Recepción Heroica",(IF($J$24="Deutsch","Sprinten",(IF($J$24="Français","Sprint")))))))</f>
        <v>Sneaky Git</v>
      </c>
      <c r="BV85" s="32" t="s">
        <v>248</v>
      </c>
      <c r="BW85" s="96" t="str">
        <f>IF($J$24="English","Sneaky Git",(IF($J$24="Español","Recepción Heroica",(IF($J$24="Deutsch","Sprinten",(IF($J$24="Français","Sprint")))))))</f>
        <v>Sneaky Git</v>
      </c>
      <c r="BX85" s="32" t="s">
        <v>248</v>
      </c>
      <c r="BY85" s="96" t="str">
        <f>IF($J$24="English","Sneaky Git",(IF($J$24="Español","Recepción Heroica",(IF($J$24="Deutsch","Sprinten",(IF($J$24="Français","Sprint")))))))</f>
        <v>Sneaky Git</v>
      </c>
      <c r="BZ85" s="32" t="s">
        <v>248</v>
      </c>
      <c r="CA85" s="33"/>
      <c r="CB85" s="96" t="str">
        <f>IF(J24="English","Sprint",(IF(J24="Español","Romper Defensas",(IF(J24="Deutsch","Sprintensicher",(IF(J24="Français","Sournois")))))))</f>
        <v>Sprint</v>
      </c>
      <c r="CC85" s="32" t="s">
        <v>248</v>
      </c>
      <c r="CD85" s="2"/>
      <c r="CE85" s="95"/>
      <c r="CF85" s="33"/>
      <c r="CG85" s="87" t="str">
        <f t="shared" si="116"/>
        <v>Sneaky Git</v>
      </c>
      <c r="CH85" s="87" t="str">
        <f t="shared" si="117"/>
        <v>Sneaky Git</v>
      </c>
      <c r="CI85" s="87" t="str">
        <f t="shared" si="118"/>
        <v>Sneaky Git</v>
      </c>
      <c r="CJ85" s="87" t="str">
        <f t="shared" si="119"/>
        <v>Sneaky Git</v>
      </c>
      <c r="CK85" s="87" t="str">
        <f t="shared" si="120"/>
        <v>Sneaky Git</v>
      </c>
      <c r="CL85" s="87" t="str">
        <f t="shared" si="121"/>
        <v>Sneaky Git</v>
      </c>
      <c r="CM85" s="87" t="str">
        <f t="shared" si="122"/>
        <v>Sneaky Git</v>
      </c>
      <c r="CN85" s="87" t="str">
        <f t="shared" si="123"/>
        <v>Sneaky Git</v>
      </c>
      <c r="CO85" s="87" t="str">
        <f t="shared" si="124"/>
        <v>Sneaky Git</v>
      </c>
      <c r="CP85" s="87" t="str">
        <f t="shared" si="125"/>
        <v>Sneaky Git</v>
      </c>
      <c r="CQ85" s="87" t="str">
        <f t="shared" si="126"/>
        <v>Sneaky Git</v>
      </c>
      <c r="CR85" s="87" t="str">
        <f t="shared" si="127"/>
        <v>Sneaky Git</v>
      </c>
      <c r="CS85" s="87" t="b">
        <f t="shared" si="128"/>
        <v>0</v>
      </c>
      <c r="CT85" s="87" t="b">
        <f t="shared" si="129"/>
        <v>0</v>
      </c>
      <c r="CU85" s="87" t="b">
        <f t="shared" si="130"/>
        <v>0</v>
      </c>
      <c r="CV85" s="87" t="b">
        <f t="shared" si="131"/>
        <v>0</v>
      </c>
      <c r="CW85" s="2"/>
      <c r="CX85" s="2"/>
      <c r="CY85" s="2"/>
      <c r="CZ85" s="32"/>
      <c r="DA85" s="2"/>
      <c r="DB85" s="2"/>
    </row>
    <row r="86" spans="1:106" ht="15" hidden="1" customHeight="1">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1">
        <v>1170000</v>
      </c>
      <c r="AS86" s="31"/>
      <c r="AT86" s="31"/>
      <c r="AU86" s="31"/>
      <c r="AV86" s="31"/>
      <c r="AW86" s="31"/>
      <c r="AX86" s="32"/>
      <c r="AY86" s="32"/>
      <c r="AZ86" s="31">
        <v>200000</v>
      </c>
      <c r="BA86" s="32"/>
      <c r="BB86" s="32"/>
      <c r="BC86" s="32"/>
      <c r="BD86" s="32"/>
      <c r="BE86" s="32"/>
      <c r="BF86" s="2"/>
      <c r="BG86" s="2"/>
      <c r="BH86" s="2"/>
      <c r="BI86" s="2"/>
      <c r="BJ86" s="2"/>
      <c r="BK86" s="32"/>
      <c r="BL86" s="2"/>
      <c r="BM86" s="32"/>
      <c r="BN86" s="32"/>
      <c r="BO86" s="32"/>
      <c r="BP86" s="2"/>
      <c r="BQ86" s="2"/>
      <c r="BR86" s="2"/>
      <c r="BS86" s="96" t="str">
        <f>IF($J$24="English","Sprint",(IF($J$24="Español","Romper Defensas",(IF($J$24="Deutsch","Sprintensicher",(IF($J$24="Français","Sournois")))))))</f>
        <v>Sprint</v>
      </c>
      <c r="BT86" s="32" t="s">
        <v>248</v>
      </c>
      <c r="BU86" s="96" t="str">
        <f>IF($J$24="English","Sprint",(IF($J$24="Español","Romper Defensas",(IF($J$24="Deutsch","Sprintensicher",(IF($J$24="Français","Sournois")))))))</f>
        <v>Sprint</v>
      </c>
      <c r="BV86" s="32" t="s">
        <v>248</v>
      </c>
      <c r="BW86" s="96" t="str">
        <f>IF($J$24="English","Sprint",(IF($J$24="Español","Romper Defensas",(IF($J$24="Deutsch","Sprintensicher",(IF($J$24="Français","Sournois")))))))</f>
        <v>Sprint</v>
      </c>
      <c r="BX86" s="32" t="s">
        <v>248</v>
      </c>
      <c r="BY86" s="96" t="str">
        <f>IF($J$24="English","Sprint",(IF($J$24="Español","Romper Defensas",(IF($J$24="Deutsch","Sprintensicher",(IF($J$24="Français","Sournois")))))))</f>
        <v>Sprint</v>
      </c>
      <c r="BZ86" s="32" t="s">
        <v>248</v>
      </c>
      <c r="CA86" s="33"/>
      <c r="CB86" s="96" t="str">
        <f>IF(J24="English","Sure Feet",(IF(J24="Español","Saltar",(IF(J24="Deutsch","Wehrhaft",(IF(J24="Français","Tacle plongeant ")))))))</f>
        <v>Sure Feet</v>
      </c>
      <c r="CC86" s="32" t="s">
        <v>248</v>
      </c>
      <c r="CD86" s="2"/>
      <c r="CE86" s="95"/>
      <c r="CF86" s="33"/>
      <c r="CG86" s="87" t="str">
        <f t="shared" si="116"/>
        <v>Sprint</v>
      </c>
      <c r="CH86" s="87" t="str">
        <f t="shared" si="117"/>
        <v>Sprint</v>
      </c>
      <c r="CI86" s="87" t="str">
        <f t="shared" si="118"/>
        <v>Sprint</v>
      </c>
      <c r="CJ86" s="87" t="str">
        <f t="shared" si="119"/>
        <v>Sprint</v>
      </c>
      <c r="CK86" s="87" t="str">
        <f t="shared" si="120"/>
        <v>Sprint</v>
      </c>
      <c r="CL86" s="87" t="str">
        <f t="shared" si="121"/>
        <v>Sprint</v>
      </c>
      <c r="CM86" s="87" t="str">
        <f t="shared" si="122"/>
        <v>Sprint</v>
      </c>
      <c r="CN86" s="87" t="str">
        <f t="shared" si="123"/>
        <v>Sprint</v>
      </c>
      <c r="CO86" s="87" t="str">
        <f t="shared" si="124"/>
        <v>Sprint</v>
      </c>
      <c r="CP86" s="87" t="str">
        <f t="shared" si="125"/>
        <v>Sprint</v>
      </c>
      <c r="CQ86" s="87" t="str">
        <f t="shared" si="126"/>
        <v>Sprint</v>
      </c>
      <c r="CR86" s="87" t="str">
        <f t="shared" si="127"/>
        <v>Sprint</v>
      </c>
      <c r="CS86" s="87" t="b">
        <f t="shared" si="128"/>
        <v>0</v>
      </c>
      <c r="CT86" s="87" t="b">
        <f t="shared" si="129"/>
        <v>0</v>
      </c>
      <c r="CU86" s="87" t="b">
        <f t="shared" si="130"/>
        <v>0</v>
      </c>
      <c r="CV86" s="87" t="b">
        <f t="shared" si="131"/>
        <v>0</v>
      </c>
      <c r="CW86" s="2"/>
      <c r="CX86" s="2"/>
      <c r="CY86" s="2"/>
      <c r="CZ86" s="32"/>
      <c r="DA86" s="2"/>
      <c r="DB86" s="2"/>
    </row>
    <row r="87" spans="1:106" ht="15" hidden="1" customHeight="1">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1">
        <v>1180000</v>
      </c>
      <c r="AS87" s="31"/>
      <c r="AT87" s="31"/>
      <c r="AU87" s="31"/>
      <c r="AV87" s="31"/>
      <c r="AW87" s="31"/>
      <c r="AX87" s="32"/>
      <c r="AY87" s="32"/>
      <c r="AZ87" s="31">
        <v>210000</v>
      </c>
      <c r="BA87" s="32"/>
      <c r="BB87" s="32"/>
      <c r="BC87" s="32"/>
      <c r="BD87" s="32"/>
      <c r="BE87" s="32"/>
      <c r="BF87" s="2"/>
      <c r="BG87" s="2"/>
      <c r="BH87" s="2"/>
      <c r="BI87" s="2"/>
      <c r="BJ87" s="2"/>
      <c r="BK87" s="32"/>
      <c r="BL87" s="2"/>
      <c r="BM87" s="32"/>
      <c r="BN87" s="32"/>
      <c r="BO87" s="32"/>
      <c r="BP87" s="2"/>
      <c r="BQ87" s="2"/>
      <c r="BR87" s="2"/>
      <c r="BS87" s="96" t="str">
        <f>IF($J$24="English","Sure Feet",(IF($J$24="Español","Saltar",(IF($J$24="Deutsch","Wehrhaft",(IF($J$24="Français","Tacle plongeant ")))))))</f>
        <v>Sure Feet</v>
      </c>
      <c r="BT87" s="32" t="s">
        <v>248</v>
      </c>
      <c r="BU87" s="96" t="str">
        <f>IF($J$24="English","Sure Feet",(IF($J$24="Español","Saltar",(IF($J$24="Deutsch","Wehrhaft",(IF($J$24="Français","Tacle plongeant ")))))))</f>
        <v>Sure Feet</v>
      </c>
      <c r="BV87" s="32" t="s">
        <v>248</v>
      </c>
      <c r="BW87" s="96" t="str">
        <f>IF($J$24="English","Sure Feet",(IF($J$24="Español","Saltar",(IF($J$24="Deutsch","Wehrhaft",(IF($J$24="Français","Tacle plongeant ")))))))</f>
        <v>Sure Feet</v>
      </c>
      <c r="BX87" s="32" t="s">
        <v>248</v>
      </c>
      <c r="BY87" s="96" t="str">
        <f>IF($J$24="English","Sure Feet",(IF($J$24="Español","Saltar",(IF($J$24="Deutsch","Wehrhaft",(IF($J$24="Français","Tacle plongeant ")))))))</f>
        <v>Sure Feet</v>
      </c>
      <c r="BZ87" s="32" t="s">
        <v>248</v>
      </c>
      <c r="CA87" s="33"/>
      <c r="CB87" s="32" t="str">
        <f>IF(J24="English","Accurate",(IF(J24="Español","Atento al Balón",(IF(J24="Deutsch","Abspiel",(IF(J24="Français","Canonnier")))))))</f>
        <v>Accurate</v>
      </c>
      <c r="CC87" s="32" t="s">
        <v>250</v>
      </c>
      <c r="CD87" s="2"/>
      <c r="CE87" s="95"/>
      <c r="CF87" s="33"/>
      <c r="CG87" s="87" t="str">
        <f t="shared" si="116"/>
        <v>Sure Feet</v>
      </c>
      <c r="CH87" s="87" t="str">
        <f t="shared" si="117"/>
        <v>Sure Feet</v>
      </c>
      <c r="CI87" s="87" t="str">
        <f t="shared" si="118"/>
        <v>Sure Feet</v>
      </c>
      <c r="CJ87" s="87" t="str">
        <f t="shared" si="119"/>
        <v>Sure Feet</v>
      </c>
      <c r="CK87" s="87" t="str">
        <f t="shared" si="120"/>
        <v>Sure Feet</v>
      </c>
      <c r="CL87" s="87" t="str">
        <f t="shared" si="121"/>
        <v>Sure Feet</v>
      </c>
      <c r="CM87" s="87" t="str">
        <f t="shared" si="122"/>
        <v>Sure Feet</v>
      </c>
      <c r="CN87" s="87" t="str">
        <f t="shared" si="123"/>
        <v>Sure Feet</v>
      </c>
      <c r="CO87" s="87" t="str">
        <f t="shared" si="124"/>
        <v>Sure Feet</v>
      </c>
      <c r="CP87" s="87" t="str">
        <f t="shared" si="125"/>
        <v>Sure Feet</v>
      </c>
      <c r="CQ87" s="87" t="str">
        <f t="shared" si="126"/>
        <v>Sure Feet</v>
      </c>
      <c r="CR87" s="87" t="str">
        <f t="shared" si="127"/>
        <v>Sure Feet</v>
      </c>
      <c r="CS87" s="87" t="b">
        <f t="shared" si="128"/>
        <v>0</v>
      </c>
      <c r="CT87" s="87" t="b">
        <f t="shared" si="129"/>
        <v>0</v>
      </c>
      <c r="CU87" s="87" t="b">
        <f t="shared" si="130"/>
        <v>0</v>
      </c>
      <c r="CV87" s="87" t="b">
        <f t="shared" si="131"/>
        <v>0</v>
      </c>
      <c r="CW87" s="2"/>
      <c r="CX87" s="2"/>
      <c r="CY87" s="2"/>
      <c r="CZ87" s="32"/>
      <c r="DA87" s="2"/>
      <c r="DB87" s="2"/>
    </row>
    <row r="88" spans="1:106" ht="15" hidden="1" customHeight="1">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1">
        <v>1190000</v>
      </c>
      <c r="AS88" s="31"/>
      <c r="AT88" s="31"/>
      <c r="AU88" s="31"/>
      <c r="AV88" s="31"/>
      <c r="AW88" s="31"/>
      <c r="AX88" s="32"/>
      <c r="AY88" s="32"/>
      <c r="AZ88" s="31">
        <v>220000</v>
      </c>
      <c r="BA88" s="32"/>
      <c r="BB88" s="32"/>
      <c r="BC88" s="32"/>
      <c r="BD88" s="32"/>
      <c r="BE88" s="32"/>
      <c r="BF88" s="2"/>
      <c r="BG88" s="2"/>
      <c r="BH88" s="2"/>
      <c r="BI88" s="2"/>
      <c r="BJ88" s="2"/>
      <c r="BK88" s="32"/>
      <c r="BL88" s="2"/>
      <c r="BM88" s="32"/>
      <c r="BN88" s="32"/>
      <c r="BO88" s="32"/>
      <c r="BP88" s="2"/>
      <c r="BQ88" s="2"/>
      <c r="BR88" s="2"/>
      <c r="BS88" s="32" t="str">
        <f>IF($J$24="English","Accurate",(IF($J$24="Español","Atento al Balón",(IF($J$24="Deutsch","Abspiel",(IF($J$24="Français","Canonnier")))))))</f>
        <v>Accurate</v>
      </c>
      <c r="BT88" s="32" t="s">
        <v>250</v>
      </c>
      <c r="BU88" s="96" t="str">
        <f>IF($J$24="English","Arm Bar",(IF($J$24="Español","Abrirse Paso",(IF($J$24="Deutsch","Armhebel",(IF($J$24="Français","Bagarre")))))))</f>
        <v>Arm Bar</v>
      </c>
      <c r="BV88" s="32" t="s">
        <v>249</v>
      </c>
      <c r="BW88" s="32" t="str">
        <f>IF($J$24="English","Accurate",(IF($J$24="Español","Atento al Balón",(IF($J$24="Deutsch","Abspiel",(IF($J$24="Français","Canonnier")))))))</f>
        <v>Accurate</v>
      </c>
      <c r="BX88" s="32" t="s">
        <v>250</v>
      </c>
      <c r="BY88" s="96" t="str">
        <f>IF($J$24="English","Arm Bar",(IF($J$24="Español","Abrirse Paso",(IF($J$24="Deutsch","Armhebel",(IF($J$24="Français","Bagarre")))))))</f>
        <v>Arm Bar</v>
      </c>
      <c r="BZ88" s="32" t="s">
        <v>249</v>
      </c>
      <c r="CA88" s="33"/>
      <c r="CB88" s="32" t="str">
        <f>IF(J24="English","Cannoneer",(IF(J24="Español","Cañonero",(IF(J24="Deutsch","Hau wech das Leder",(IF(J24="Français","Chef")))))))</f>
        <v>Cannoneer</v>
      </c>
      <c r="CC88" s="32" t="s">
        <v>250</v>
      </c>
      <c r="CD88" s="2"/>
      <c r="CE88" s="95"/>
      <c r="CF88" s="33"/>
      <c r="CG88" s="87" t="str">
        <f t="shared" si="116"/>
        <v>Arm Bar</v>
      </c>
      <c r="CH88" s="87" t="str">
        <f t="shared" si="117"/>
        <v>Arm Bar</v>
      </c>
      <c r="CI88" s="87" t="str">
        <f t="shared" si="118"/>
        <v>Accurate</v>
      </c>
      <c r="CJ88" s="87" t="str">
        <f t="shared" si="119"/>
        <v>Accurate</v>
      </c>
      <c r="CK88" s="87" t="str">
        <f t="shared" si="120"/>
        <v>Accurate</v>
      </c>
      <c r="CL88" s="87" t="str">
        <f t="shared" si="121"/>
        <v>Arm Bar</v>
      </c>
      <c r="CM88" s="87" t="str">
        <f t="shared" si="122"/>
        <v>Arm Bar</v>
      </c>
      <c r="CN88" s="87" t="str">
        <f t="shared" si="123"/>
        <v>Accurate</v>
      </c>
      <c r="CO88" s="87" t="str">
        <f t="shared" si="124"/>
        <v>Arm Bar</v>
      </c>
      <c r="CP88" s="87" t="str">
        <f t="shared" si="125"/>
        <v>Arm Bar</v>
      </c>
      <c r="CQ88" s="87" t="str">
        <f t="shared" si="126"/>
        <v>Arm Bar</v>
      </c>
      <c r="CR88" s="87" t="str">
        <f t="shared" si="127"/>
        <v>Arm Bar</v>
      </c>
      <c r="CS88" s="87" t="b">
        <f t="shared" si="128"/>
        <v>0</v>
      </c>
      <c r="CT88" s="87" t="b">
        <f t="shared" si="129"/>
        <v>0</v>
      </c>
      <c r="CU88" s="87" t="b">
        <f t="shared" si="130"/>
        <v>0</v>
      </c>
      <c r="CV88" s="87" t="b">
        <f t="shared" si="131"/>
        <v>0</v>
      </c>
      <c r="CW88" s="2"/>
      <c r="CX88" s="2"/>
      <c r="CY88" s="2"/>
      <c r="CZ88" s="32"/>
      <c r="DA88" s="2"/>
      <c r="DB88" s="2"/>
    </row>
    <row r="89" spans="1:106" ht="15" hidden="1" customHeight="1">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1">
        <v>1200000</v>
      </c>
      <c r="AS89" s="31"/>
      <c r="AT89" s="31"/>
      <c r="AU89" s="31"/>
      <c r="AV89" s="31"/>
      <c r="AW89" s="31"/>
      <c r="AX89" s="32"/>
      <c r="AY89" s="32"/>
      <c r="AZ89" s="31">
        <v>230000</v>
      </c>
      <c r="BA89" s="32"/>
      <c r="BB89" s="32"/>
      <c r="BC89" s="32"/>
      <c r="BD89" s="32"/>
      <c r="BE89" s="32"/>
      <c r="BF89" s="2"/>
      <c r="BG89" s="2"/>
      <c r="BH89" s="2"/>
      <c r="BI89" s="2"/>
      <c r="BJ89" s="2"/>
      <c r="BK89" s="32"/>
      <c r="BL89" s="2"/>
      <c r="BM89" s="32"/>
      <c r="BN89" s="32"/>
      <c r="BO89" s="32"/>
      <c r="BP89" s="2"/>
      <c r="BQ89" s="2"/>
      <c r="BR89" s="2"/>
      <c r="BS89" s="32" t="str">
        <f>IF($J$24="English","Cannoneer",(IF($J$24="Español","Cañonero",(IF($J$24="Deutsch","Hau wech das Leder",(IF($J$24="Français","Chef")))))))</f>
        <v>Cannoneer</v>
      </c>
      <c r="BT89" s="32" t="s">
        <v>250</v>
      </c>
      <c r="BU89" s="96" t="str">
        <f>IF($J$24="English","Brawler",(IF($J$24="Español","Apartar",(IF($J$24="Deutsch","Greifer",(IF($J$24="Français","Blocage multiple")))))))</f>
        <v>Brawler</v>
      </c>
      <c r="BV89" s="32" t="s">
        <v>249</v>
      </c>
      <c r="BW89" s="32" t="str">
        <f>IF($J$24="English","Cannoneer",(IF($J$24="Español","Cañonero",(IF($J$24="Deutsch","Hau wech das Leder",(IF($J$24="Français","Chef")))))))</f>
        <v>Cannoneer</v>
      </c>
      <c r="BX89" s="32" t="s">
        <v>250</v>
      </c>
      <c r="BY89" s="96" t="str">
        <f>IF($J$24="English","Brawler",(IF($J$24="Español","Apartar",(IF($J$24="Deutsch","Greifer",(IF($J$24="Français","Blocage multiple")))))))</f>
        <v>Brawler</v>
      </c>
      <c r="BZ89" s="32" t="s">
        <v>249</v>
      </c>
      <c r="CA89" s="33"/>
      <c r="CB89" s="96" t="str">
        <f>IF(J24="English","Cloud Burster",(IF(J24="Español","Dejada",(IF(J24="Deutsch","Im Laufen passen",(IF(J24="Français","Délestage")))))))</f>
        <v>Cloud Burster</v>
      </c>
      <c r="CC89" s="32" t="s">
        <v>250</v>
      </c>
      <c r="CD89" s="2"/>
      <c r="CE89" s="95"/>
      <c r="CF89" s="33"/>
      <c r="CG89" s="87" t="str">
        <f t="shared" si="116"/>
        <v>Brawler</v>
      </c>
      <c r="CH89" s="87" t="str">
        <f t="shared" si="117"/>
        <v>Brawler</v>
      </c>
      <c r="CI89" s="87" t="str">
        <f t="shared" si="118"/>
        <v>Cannoneer</v>
      </c>
      <c r="CJ89" s="87" t="str">
        <f t="shared" si="119"/>
        <v>Cannoneer</v>
      </c>
      <c r="CK89" s="87" t="str">
        <f t="shared" si="120"/>
        <v>Cannoneer</v>
      </c>
      <c r="CL89" s="87" t="str">
        <f t="shared" si="121"/>
        <v>Brawler</v>
      </c>
      <c r="CM89" s="87" t="str">
        <f t="shared" si="122"/>
        <v>Brawler</v>
      </c>
      <c r="CN89" s="87" t="str">
        <f t="shared" si="123"/>
        <v>Cannoneer</v>
      </c>
      <c r="CO89" s="87" t="str">
        <f t="shared" si="124"/>
        <v>Brawler</v>
      </c>
      <c r="CP89" s="87" t="str">
        <f t="shared" si="125"/>
        <v>Brawler</v>
      </c>
      <c r="CQ89" s="87" t="str">
        <f t="shared" si="126"/>
        <v>Brawler</v>
      </c>
      <c r="CR89" s="87" t="str">
        <f t="shared" si="127"/>
        <v>Brawler</v>
      </c>
      <c r="CS89" s="87" t="b">
        <f t="shared" si="128"/>
        <v>0</v>
      </c>
      <c r="CT89" s="87" t="b">
        <f t="shared" si="129"/>
        <v>0</v>
      </c>
      <c r="CU89" s="87" t="b">
        <f t="shared" si="130"/>
        <v>0</v>
      </c>
      <c r="CV89" s="87" t="b">
        <f t="shared" si="131"/>
        <v>0</v>
      </c>
      <c r="CW89" s="2"/>
      <c r="CX89" s="2"/>
      <c r="CY89" s="2"/>
      <c r="CZ89" s="32"/>
      <c r="DA89" s="2"/>
      <c r="DB89" s="2"/>
    </row>
    <row r="90" spans="1:106" ht="15" hidden="1" customHeight="1">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1">
        <v>1210000</v>
      </c>
      <c r="AS90" s="31"/>
      <c r="AT90" s="31"/>
      <c r="AU90" s="31"/>
      <c r="AV90" s="31"/>
      <c r="AW90" s="31"/>
      <c r="AX90" s="32"/>
      <c r="AY90" s="32"/>
      <c r="AZ90" s="31">
        <v>240000</v>
      </c>
      <c r="BA90" s="32"/>
      <c r="BB90" s="32"/>
      <c r="BC90" s="32"/>
      <c r="BD90" s="32"/>
      <c r="BE90" s="32"/>
      <c r="BF90" s="2"/>
      <c r="BG90" s="2"/>
      <c r="BH90" s="2"/>
      <c r="BI90" s="2"/>
      <c r="BJ90" s="2"/>
      <c r="BK90" s="32"/>
      <c r="BL90" s="2"/>
      <c r="BM90" s="32"/>
      <c r="BN90" s="32"/>
      <c r="BO90" s="32"/>
      <c r="BP90" s="2"/>
      <c r="BQ90" s="2"/>
      <c r="BR90" s="2"/>
      <c r="BS90" s="96" t="str">
        <f>IF($J$24="English","Cloud Burster",(IF($J$24="Español","Dejada",(IF($J$24="Deutsch","Im Laufen passen",(IF($J$24="Français","Délestage")))))))</f>
        <v>Cloud Burster</v>
      </c>
      <c r="BT90" s="32" t="s">
        <v>250</v>
      </c>
      <c r="BU90" s="96" t="str">
        <f>IF($J$24="English","Break Tackle",(IF($J$24="Español","Brazo Fuerte",(IF($J$24="Deutsch","Knochenbrecher (+1)",(IF($J$24="Français","Bras musclé")))))))</f>
        <v>Break Tackle</v>
      </c>
      <c r="BV90" s="32" t="s">
        <v>249</v>
      </c>
      <c r="BW90" s="96" t="str">
        <f>IF($J$24="English","Cloud Burster",(IF($J$24="Español","Dejada",(IF($J$24="Deutsch","Im Laufen passen",(IF($J$24="Français","Délestage")))))))</f>
        <v>Cloud Burster</v>
      </c>
      <c r="BX90" s="32" t="s">
        <v>250</v>
      </c>
      <c r="BY90" s="96" t="str">
        <f>IF($J$24="English","Break Tackle",(IF($J$24="Español","Brazo Fuerte",(IF($J$24="Deutsch","Knochenbrecher (+1)",(IF($J$24="Français","Bras musclé")))))))</f>
        <v>Break Tackle</v>
      </c>
      <c r="BZ90" s="32" t="s">
        <v>249</v>
      </c>
      <c r="CA90" s="33"/>
      <c r="CB90" s="96" t="str">
        <f>IF(J24="English","Dump-Off",(IF(J24="Español","Líder",(IF(J24="Deutsch","In die Wolken",(IF(J24="Français","Fumblerooskie")))))))</f>
        <v>Dump-Off</v>
      </c>
      <c r="CC90" s="32" t="s">
        <v>250</v>
      </c>
      <c r="CD90" s="2"/>
      <c r="CE90" s="95"/>
      <c r="CF90" s="33"/>
      <c r="CG90" s="87" t="str">
        <f t="shared" si="116"/>
        <v>Break Tackle</v>
      </c>
      <c r="CH90" s="87" t="str">
        <f t="shared" si="117"/>
        <v>Break Tackle</v>
      </c>
      <c r="CI90" s="87" t="str">
        <f t="shared" si="118"/>
        <v>Cloud Burster</v>
      </c>
      <c r="CJ90" s="87" t="str">
        <f t="shared" si="119"/>
        <v>Cloud Burster</v>
      </c>
      <c r="CK90" s="87" t="str">
        <f t="shared" si="120"/>
        <v>Cloud Burster</v>
      </c>
      <c r="CL90" s="87" t="str">
        <f t="shared" si="121"/>
        <v>Break Tackle</v>
      </c>
      <c r="CM90" s="87" t="str">
        <f t="shared" si="122"/>
        <v>Break Tackle</v>
      </c>
      <c r="CN90" s="87" t="str">
        <f t="shared" si="123"/>
        <v>Cloud Burster</v>
      </c>
      <c r="CO90" s="87" t="str">
        <f t="shared" si="124"/>
        <v>Break Tackle</v>
      </c>
      <c r="CP90" s="87" t="str">
        <f t="shared" si="125"/>
        <v>Break Tackle</v>
      </c>
      <c r="CQ90" s="87" t="str">
        <f t="shared" si="126"/>
        <v>Break Tackle</v>
      </c>
      <c r="CR90" s="87" t="str">
        <f t="shared" si="127"/>
        <v>Break Tackle</v>
      </c>
      <c r="CS90" s="87" t="b">
        <f t="shared" si="128"/>
        <v>0</v>
      </c>
      <c r="CT90" s="87" t="b">
        <f t="shared" si="129"/>
        <v>0</v>
      </c>
      <c r="CU90" s="87" t="b">
        <f t="shared" si="130"/>
        <v>0</v>
      </c>
      <c r="CV90" s="87" t="b">
        <f t="shared" si="131"/>
        <v>0</v>
      </c>
      <c r="CW90" s="2"/>
      <c r="CX90" s="2"/>
      <c r="CY90" s="2"/>
      <c r="CZ90" s="32"/>
      <c r="DA90" s="2"/>
      <c r="DB90" s="2"/>
    </row>
    <row r="91" spans="1:106" ht="15" hidden="1" customHeight="1">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1">
        <v>1220000</v>
      </c>
      <c r="AS91" s="31"/>
      <c r="AT91" s="31"/>
      <c r="AU91" s="31"/>
      <c r="AV91" s="31"/>
      <c r="AW91" s="31"/>
      <c r="AX91" s="32"/>
      <c r="AY91" s="32"/>
      <c r="AZ91" s="31">
        <v>250000</v>
      </c>
      <c r="BA91" s="32"/>
      <c r="BB91" s="32"/>
      <c r="BC91" s="32"/>
      <c r="BD91" s="32"/>
      <c r="BE91" s="32"/>
      <c r="BF91" s="2"/>
      <c r="BG91" s="2"/>
      <c r="BH91" s="2"/>
      <c r="BI91" s="2"/>
      <c r="BJ91" s="2"/>
      <c r="BK91" s="32"/>
      <c r="BL91" s="2"/>
      <c r="BM91" s="32"/>
      <c r="BN91" s="32"/>
      <c r="BO91" s="32"/>
      <c r="BP91" s="2"/>
      <c r="BQ91" s="2"/>
      <c r="BR91" s="2"/>
      <c r="BS91" s="96" t="str">
        <f>IF($J$24="English","Dump-Off",(IF($J$24="Español","Líder",(IF($J$24="Deutsch","In die Wolken",(IF($J$24="Français","Fumblerooskie")))))))</f>
        <v>Dump-Off</v>
      </c>
      <c r="BT91" s="32" t="s">
        <v>250</v>
      </c>
      <c r="BU91" s="96" t="str">
        <f>IF($J$24="English","Grab",(IF($J$24="Español","Cabeza Dura",(IF($J$24="Deutsch","Mehrfachblock",(IF($J$24="Français","Châtaigne (+1)")))))))</f>
        <v>Grab</v>
      </c>
      <c r="BV91" s="32" t="s">
        <v>249</v>
      </c>
      <c r="BW91" s="96" t="str">
        <f>IF($J$24="English","Dump-Off",(IF($J$24="Español","Líder",(IF($J$24="Deutsch","In die Wolken",(IF($J$24="Français","Fumblerooskie")))))))</f>
        <v>Dump-Off</v>
      </c>
      <c r="BX91" s="32" t="s">
        <v>250</v>
      </c>
      <c r="BY91" s="96" t="str">
        <f>IF($J$24="English","Grab",(IF($J$24="Español","Cabeza Dura",(IF($J$24="Deutsch","Mehrfachblock",(IF($J$24="Français","Châtaigne (+1)")))))))</f>
        <v>Grab</v>
      </c>
      <c r="BZ91" s="32" t="s">
        <v>249</v>
      </c>
      <c r="CA91" s="47"/>
      <c r="CB91" s="96" t="str">
        <f>IF(J24="English","Fumblerooskie",(IF(J24="Español","Nervios de Acero",(IF(J24="Deutsch","Immer am Ball",(IF(J24="Français","Nerfs d’acier")))))))</f>
        <v>Fumblerooskie</v>
      </c>
      <c r="CC91" s="32" t="s">
        <v>250</v>
      </c>
      <c r="CD91" s="2"/>
      <c r="CE91" s="95"/>
      <c r="CF91" s="33"/>
      <c r="CG91" s="87" t="str">
        <f t="shared" si="116"/>
        <v>Grab</v>
      </c>
      <c r="CH91" s="87" t="str">
        <f t="shared" si="117"/>
        <v>Grab</v>
      </c>
      <c r="CI91" s="87" t="str">
        <f t="shared" si="118"/>
        <v>Dump-Off</v>
      </c>
      <c r="CJ91" s="87" t="str">
        <f t="shared" si="119"/>
        <v>Dump-Off</v>
      </c>
      <c r="CK91" s="87" t="str">
        <f t="shared" si="120"/>
        <v>Dump-Off</v>
      </c>
      <c r="CL91" s="87" t="str">
        <f t="shared" si="121"/>
        <v>Grab</v>
      </c>
      <c r="CM91" s="87" t="str">
        <f t="shared" si="122"/>
        <v>Grab</v>
      </c>
      <c r="CN91" s="87" t="str">
        <f t="shared" si="123"/>
        <v>Dump-Off</v>
      </c>
      <c r="CO91" s="87" t="str">
        <f t="shared" si="124"/>
        <v>Grab</v>
      </c>
      <c r="CP91" s="87" t="str">
        <f t="shared" si="125"/>
        <v>Grab</v>
      </c>
      <c r="CQ91" s="87" t="str">
        <f t="shared" si="126"/>
        <v>Grab</v>
      </c>
      <c r="CR91" s="87" t="str">
        <f t="shared" si="127"/>
        <v>Grab</v>
      </c>
      <c r="CS91" s="87" t="b">
        <f t="shared" si="128"/>
        <v>0</v>
      </c>
      <c r="CT91" s="87" t="b">
        <f t="shared" si="129"/>
        <v>0</v>
      </c>
      <c r="CU91" s="87" t="b">
        <f t="shared" si="130"/>
        <v>0</v>
      </c>
      <c r="CV91" s="87" t="b">
        <f t="shared" si="131"/>
        <v>0</v>
      </c>
      <c r="CW91" s="2"/>
      <c r="CX91" s="2"/>
      <c r="CY91" s="2"/>
      <c r="CZ91" s="32"/>
      <c r="DA91" s="2"/>
      <c r="DB91" s="2"/>
    </row>
    <row r="92" spans="1:106" ht="15" hidden="1" customHeight="1">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1">
        <v>1230000</v>
      </c>
      <c r="AS92" s="31"/>
      <c r="AT92" s="31"/>
      <c r="AU92" s="31"/>
      <c r="AV92" s="31"/>
      <c r="AW92" s="31"/>
      <c r="AX92" s="32"/>
      <c r="AY92" s="32"/>
      <c r="AZ92" s="31">
        <v>260000</v>
      </c>
      <c r="BA92" s="32"/>
      <c r="BB92" s="32"/>
      <c r="BC92" s="32"/>
      <c r="BD92" s="32"/>
      <c r="BE92" s="32"/>
      <c r="BF92" s="2"/>
      <c r="BG92" s="2"/>
      <c r="BH92" s="2"/>
      <c r="BI92" s="2"/>
      <c r="BJ92" s="2"/>
      <c r="BK92" s="32"/>
      <c r="BL92" s="2"/>
      <c r="BM92" s="32"/>
      <c r="BN92" s="32"/>
      <c r="BO92" s="32"/>
      <c r="BP92" s="2"/>
      <c r="BQ92" s="2"/>
      <c r="BR92" s="2"/>
      <c r="BS92" s="96" t="str">
        <f>IF($J$24="English","Fumblerooskie",(IF($J$24="Español","Nervios de Acero",(IF($J$24="Deutsch","Immer am Ball",(IF($J$24="Français","Nerfs d’acier")))))))</f>
        <v>Fumblerooskie</v>
      </c>
      <c r="BT92" s="32" t="s">
        <v>250</v>
      </c>
      <c r="BU92" s="96" t="str">
        <f>IF($J$24="English","Guard",(IF($J$24="Español","Crujir",(IF($J$24="Deutsch","Ramme",(IF($J$24="Français","Clé de bras")))))))</f>
        <v>Guard</v>
      </c>
      <c r="BV92" s="32" t="s">
        <v>249</v>
      </c>
      <c r="BW92" s="96" t="str">
        <f>IF($J$24="English","Fumblerooskie",(IF($J$24="Español","Nervios de Acero",(IF($J$24="Deutsch","Immer am Ball",(IF($J$24="Français","Nerfs d’acier")))))))</f>
        <v>Fumblerooskie</v>
      </c>
      <c r="BX92" s="32" t="s">
        <v>250</v>
      </c>
      <c r="BY92" s="96" t="str">
        <f>IF($J$24="English","Guard",(IF($J$24="Español","Crujir",(IF($J$24="Deutsch","Ramme",(IF($J$24="Français","Clé de bras")))))))</f>
        <v>Guard</v>
      </c>
      <c r="BZ92" s="32" t="s">
        <v>249</v>
      </c>
      <c r="CA92" s="47"/>
      <c r="CB92" s="96" t="str">
        <f>IF(J24="English","Hail Mary Pass",(IF(J24="Español","Partenubes",(IF(J24="Deutsch","Kanonier",(IF(J24="Français","Passe")))))))</f>
        <v>Hail Mary Pass</v>
      </c>
      <c r="CC92" s="32" t="s">
        <v>250</v>
      </c>
      <c r="CD92" s="2"/>
      <c r="CE92" s="95"/>
      <c r="CF92" s="33"/>
      <c r="CG92" s="87" t="str">
        <f t="shared" si="116"/>
        <v>Guard</v>
      </c>
      <c r="CH92" s="87" t="str">
        <f t="shared" si="117"/>
        <v>Guard</v>
      </c>
      <c r="CI92" s="87" t="str">
        <f t="shared" si="118"/>
        <v>Fumblerooskie</v>
      </c>
      <c r="CJ92" s="87" t="str">
        <f t="shared" si="119"/>
        <v>Fumblerooskie</v>
      </c>
      <c r="CK92" s="87" t="str">
        <f t="shared" si="120"/>
        <v>Fumblerooskie</v>
      </c>
      <c r="CL92" s="87" t="str">
        <f t="shared" si="121"/>
        <v>Guard</v>
      </c>
      <c r="CM92" s="87" t="str">
        <f t="shared" si="122"/>
        <v>Guard</v>
      </c>
      <c r="CN92" s="87" t="str">
        <f t="shared" si="123"/>
        <v>Fumblerooskie</v>
      </c>
      <c r="CO92" s="87" t="str">
        <f t="shared" si="124"/>
        <v>Guard</v>
      </c>
      <c r="CP92" s="87" t="str">
        <f t="shared" si="125"/>
        <v>Guard</v>
      </c>
      <c r="CQ92" s="87" t="str">
        <f t="shared" si="126"/>
        <v>Guard</v>
      </c>
      <c r="CR92" s="87" t="str">
        <f t="shared" si="127"/>
        <v>Guard</v>
      </c>
      <c r="CS92" s="87" t="b">
        <f t="shared" si="128"/>
        <v>0</v>
      </c>
      <c r="CT92" s="87" t="b">
        <f t="shared" si="129"/>
        <v>0</v>
      </c>
      <c r="CU92" s="87" t="b">
        <f t="shared" si="130"/>
        <v>0</v>
      </c>
      <c r="CV92" s="87" t="b">
        <f t="shared" si="131"/>
        <v>0</v>
      </c>
      <c r="CW92" s="2"/>
      <c r="CX92" s="2"/>
      <c r="CY92" s="2"/>
      <c r="CZ92" s="32"/>
      <c r="DA92" s="2"/>
      <c r="DB92" s="2"/>
    </row>
    <row r="93" spans="1:106" ht="15" hidden="1" customHeight="1">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1">
        <v>1240000</v>
      </c>
      <c r="AS93" s="31"/>
      <c r="AT93" s="31"/>
      <c r="AU93" s="31"/>
      <c r="AV93" s="31"/>
      <c r="AW93" s="31"/>
      <c r="AX93" s="32"/>
      <c r="AY93" s="32"/>
      <c r="AZ93" s="31">
        <v>270000</v>
      </c>
      <c r="BA93" s="32"/>
      <c r="BB93" s="32"/>
      <c r="BC93" s="32"/>
      <c r="BD93" s="32"/>
      <c r="BE93" s="32"/>
      <c r="BF93" s="2"/>
      <c r="BG93" s="2"/>
      <c r="BH93" s="2"/>
      <c r="BI93" s="2"/>
      <c r="BJ93" s="2"/>
      <c r="BK93" s="32"/>
      <c r="BL93" s="2"/>
      <c r="BM93" s="32"/>
      <c r="BN93" s="32"/>
      <c r="BO93" s="32"/>
      <c r="BP93" s="2"/>
      <c r="BQ93" s="2"/>
      <c r="BR93" s="2"/>
      <c r="BS93" s="96" t="str">
        <f>IF($J$24="English","Hail Mary Pass",(IF($J$24="Español","Partenubes",(IF($J$24="Deutsch","Kanonier",(IF($J$24="Français","Passe")))))))</f>
        <v>Hail Mary Pass</v>
      </c>
      <c r="BT93" s="32" t="s">
        <v>250</v>
      </c>
      <c r="BU93" s="32" t="str">
        <f>IF($J$24="English","Juggernaut",(IF($J$24="Español","Defensa",(IF($J$24="Deutsch","Raufbold",(IF($J$24="Français","Crâne épais")))))))</f>
        <v>Juggernaut</v>
      </c>
      <c r="BV93" s="32" t="s">
        <v>249</v>
      </c>
      <c r="BW93" s="96" t="str">
        <f>IF($J$24="English","Hail Mary Pass",(IF($J$24="Español","Partenubes",(IF($J$24="Deutsch","Kanonier",(IF($J$24="Français","Passe")))))))</f>
        <v>Hail Mary Pass</v>
      </c>
      <c r="BX93" s="32" t="s">
        <v>250</v>
      </c>
      <c r="BY93" s="32" t="str">
        <f>IF($J$24="English","Juggernaut",(IF($J$24="Español","Defensa",(IF($J$24="Deutsch","Raufbold",(IF($J$24="Français","Crâne épais")))))))</f>
        <v>Juggernaut</v>
      </c>
      <c r="BZ93" s="32" t="s">
        <v>249</v>
      </c>
      <c r="CA93" s="47"/>
      <c r="CB93" s="96" t="str">
        <f>IF(J24="English","Leader",(IF(J24="Español","Pasar",(IF(J24="Deutsch","Nerven aus Stahl",(IF(J24="Français","Passe assurée")))))))</f>
        <v>Leader</v>
      </c>
      <c r="CC93" s="32" t="s">
        <v>250</v>
      </c>
      <c r="CD93" s="2"/>
      <c r="CE93" s="95"/>
      <c r="CF93" s="33"/>
      <c r="CG93" s="87" t="str">
        <f t="shared" si="116"/>
        <v>Juggernaut</v>
      </c>
      <c r="CH93" s="87" t="str">
        <f t="shared" si="117"/>
        <v>Juggernaut</v>
      </c>
      <c r="CI93" s="87" t="str">
        <f t="shared" si="118"/>
        <v>Hail Mary Pass</v>
      </c>
      <c r="CJ93" s="87" t="str">
        <f t="shared" si="119"/>
        <v>Hail Mary Pass</v>
      </c>
      <c r="CK93" s="87" t="str">
        <f t="shared" si="120"/>
        <v>Hail Mary Pass</v>
      </c>
      <c r="CL93" s="87" t="str">
        <f t="shared" si="121"/>
        <v>Juggernaut</v>
      </c>
      <c r="CM93" s="87" t="str">
        <f t="shared" si="122"/>
        <v>Juggernaut</v>
      </c>
      <c r="CN93" s="87" t="str">
        <f t="shared" si="123"/>
        <v>Hail Mary Pass</v>
      </c>
      <c r="CO93" s="87" t="str">
        <f t="shared" si="124"/>
        <v>Juggernaut</v>
      </c>
      <c r="CP93" s="87" t="str">
        <f t="shared" si="125"/>
        <v>Juggernaut</v>
      </c>
      <c r="CQ93" s="87" t="str">
        <f t="shared" si="126"/>
        <v>Juggernaut</v>
      </c>
      <c r="CR93" s="87" t="str">
        <f t="shared" si="127"/>
        <v>Juggernaut</v>
      </c>
      <c r="CS93" s="87" t="b">
        <f t="shared" si="128"/>
        <v>0</v>
      </c>
      <c r="CT93" s="87" t="b">
        <f t="shared" si="129"/>
        <v>0</v>
      </c>
      <c r="CU93" s="87" t="b">
        <f t="shared" si="130"/>
        <v>0</v>
      </c>
      <c r="CV93" s="87" t="b">
        <f t="shared" si="131"/>
        <v>0</v>
      </c>
      <c r="CW93" s="2"/>
      <c r="CX93" s="2"/>
      <c r="CY93" s="2"/>
      <c r="CZ93" s="32"/>
      <c r="DA93" s="2"/>
      <c r="DB93" s="2"/>
    </row>
    <row r="94" spans="1:106" ht="15" hidden="1" customHeight="1">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1">
        <v>1250000</v>
      </c>
      <c r="AS94" s="31"/>
      <c r="AT94" s="31"/>
      <c r="AU94" s="31"/>
      <c r="AV94" s="31"/>
      <c r="AW94" s="31"/>
      <c r="AX94" s="32"/>
      <c r="AY94" s="32"/>
      <c r="AZ94" s="31">
        <v>280000</v>
      </c>
      <c r="BA94" s="32"/>
      <c r="BB94" s="32"/>
      <c r="BC94" s="32"/>
      <c r="BD94" s="32"/>
      <c r="BE94" s="32"/>
      <c r="BF94" s="2"/>
      <c r="BG94" s="2"/>
      <c r="BH94" s="2"/>
      <c r="BI94" s="2"/>
      <c r="BJ94" s="2"/>
      <c r="BK94" s="32"/>
      <c r="BL94" s="2"/>
      <c r="BM94" s="32"/>
      <c r="BN94" s="32"/>
      <c r="BO94" s="32"/>
      <c r="BP94" s="2"/>
      <c r="BQ94" s="2"/>
      <c r="BR94" s="2"/>
      <c r="BS94" s="96" t="str">
        <f>IF($J$24="English","Leader",(IF($J$24="Español","Pasar",(IF($J$24="Deutsch","Nerven aus Stahl",(IF($J$24="Français","Passe assurée")))))))</f>
        <v>Leader</v>
      </c>
      <c r="BT94" s="32" t="s">
        <v>250</v>
      </c>
      <c r="BU94" s="32" t="str">
        <f>IF($J$24="English","Mighty Blow (+1)",(IF($J$24="Español","Golpe Mortífero (+1)",(IF($J$24="Deutsch","Schweres Gerät",(IF($J$24="Français","Esquive en force")))))))</f>
        <v>Mighty Blow (+1)</v>
      </c>
      <c r="BV94" s="32" t="s">
        <v>249</v>
      </c>
      <c r="BW94" s="96" t="str">
        <f>IF($J$24="English","Leader",(IF($J$24="Español","Pasar",(IF($J$24="Deutsch","Nerven aus Stahl",(IF($J$24="Français","Passe assurée")))))))</f>
        <v>Leader</v>
      </c>
      <c r="BX94" s="32" t="s">
        <v>250</v>
      </c>
      <c r="BY94" s="32" t="str">
        <f>IF($J$24="English","Mighty Blow (+1)",(IF($J$24="Español","Golpe Mortífero (+1)",(IF($J$24="Deutsch","Schweres Gerät",(IF($J$24="Français","Esquive en force")))))))</f>
        <v>Mighty Blow (+1)</v>
      </c>
      <c r="BZ94" s="32" t="s">
        <v>249</v>
      </c>
      <c r="CA94" s="47"/>
      <c r="CB94" s="96" t="str">
        <f>IF(J24="English","Nerves of Steel",(IF(J24="Español","Pase a la Carrera",(IF(J24="Deutsch","Scheinpatzer",(IF(J24="Français","Passe dans la course")))))))</f>
        <v>Nerves of Steel</v>
      </c>
      <c r="CC94" s="32" t="s">
        <v>250</v>
      </c>
      <c r="CD94" s="2"/>
      <c r="CE94" s="95"/>
      <c r="CF94" s="33"/>
      <c r="CG94" s="87" t="str">
        <f t="shared" si="116"/>
        <v>Mighty Blow (+1)</v>
      </c>
      <c r="CH94" s="87" t="str">
        <f t="shared" si="117"/>
        <v>Mighty Blow (+1)</v>
      </c>
      <c r="CI94" s="87" t="str">
        <f t="shared" si="118"/>
        <v>Leader</v>
      </c>
      <c r="CJ94" s="87" t="str">
        <f t="shared" si="119"/>
        <v>Leader</v>
      </c>
      <c r="CK94" s="87" t="str">
        <f t="shared" si="120"/>
        <v>Leader</v>
      </c>
      <c r="CL94" s="87" t="str">
        <f t="shared" si="121"/>
        <v>Mighty Blow (+1)</v>
      </c>
      <c r="CM94" s="87" t="str">
        <f t="shared" si="122"/>
        <v>Mighty Blow (+1)</v>
      </c>
      <c r="CN94" s="87" t="str">
        <f t="shared" si="123"/>
        <v>Leader</v>
      </c>
      <c r="CO94" s="87" t="str">
        <f t="shared" si="124"/>
        <v>Mighty Blow (+1)</v>
      </c>
      <c r="CP94" s="87" t="str">
        <f t="shared" si="125"/>
        <v>Mighty Blow (+1)</v>
      </c>
      <c r="CQ94" s="87" t="str">
        <f t="shared" si="126"/>
        <v>Mighty Blow (+1)</v>
      </c>
      <c r="CR94" s="87" t="str">
        <f t="shared" si="127"/>
        <v>Mighty Blow (+1)</v>
      </c>
      <c r="CS94" s="87" t="b">
        <f t="shared" si="128"/>
        <v>0</v>
      </c>
      <c r="CT94" s="87" t="b">
        <f t="shared" si="129"/>
        <v>0</v>
      </c>
      <c r="CU94" s="87" t="b">
        <f t="shared" si="130"/>
        <v>0</v>
      </c>
      <c r="CV94" s="87" t="b">
        <f t="shared" si="131"/>
        <v>0</v>
      </c>
      <c r="CW94" s="2"/>
      <c r="CX94" s="2"/>
      <c r="CY94" s="2"/>
      <c r="CZ94" s="32"/>
      <c r="DA94" s="2"/>
      <c r="DB94" s="2"/>
    </row>
    <row r="95" spans="1:106" ht="15" hidden="1" customHeight="1">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1">
        <v>1260000</v>
      </c>
      <c r="AS95" s="31"/>
      <c r="AT95" s="31"/>
      <c r="AU95" s="31"/>
      <c r="AV95" s="31"/>
      <c r="AW95" s="31"/>
      <c r="AX95" s="32"/>
      <c r="AY95" s="89"/>
      <c r="AZ95" s="31">
        <v>290000</v>
      </c>
      <c r="BA95" s="89"/>
      <c r="BB95" s="89"/>
      <c r="BC95" s="32"/>
      <c r="BD95" s="89"/>
      <c r="BE95" s="32"/>
      <c r="BF95" s="2"/>
      <c r="BG95" s="2"/>
      <c r="BH95" s="45"/>
      <c r="BI95" s="45"/>
      <c r="BJ95" s="45"/>
      <c r="BK95" s="32"/>
      <c r="BL95" s="2"/>
      <c r="BM95" s="32"/>
      <c r="BN95" s="32"/>
      <c r="BO95" s="32"/>
      <c r="BP95" s="2"/>
      <c r="BQ95" s="2"/>
      <c r="BR95" s="2"/>
      <c r="BS95" s="96" t="str">
        <f>IF($J$24="English","Nerves of Steel",(IF($J$24="Español","Pase a la Carrera",(IF($J$24="Deutsch","Scheinpatzer",(IF($J$24="Français","Passe dans la course")))))))</f>
        <v>Nerves of Steel</v>
      </c>
      <c r="BT95" s="32" t="s">
        <v>250</v>
      </c>
      <c r="BU95" s="32" t="str">
        <f>IF($J$24="English","Multiple Blocks",(IF($J$24="Español","Imparable",(IF($J$24="Deutsch","Standfest",(IF($J$24="Français","Garde")))))))</f>
        <v>Multiple Blocks</v>
      </c>
      <c r="BV95" s="32" t="s">
        <v>249</v>
      </c>
      <c r="BW95" s="96" t="str">
        <f>IF($J$24="English","Nerves of Steel",(IF($J$24="Español","Pase a la Carrera",(IF($J$24="Deutsch","Scheinpatzer",(IF($J$24="Français","Passe dans la course")))))))</f>
        <v>Nerves of Steel</v>
      </c>
      <c r="BX95" s="32" t="s">
        <v>250</v>
      </c>
      <c r="BY95" s="32" t="str">
        <f>IF($J$24="English","Multiple Blocks",(IF($J$24="Español","Imparable",(IF($J$24="Deutsch","Standfest",(IF($J$24="Français","Garde")))))))</f>
        <v>Multiple Blocks</v>
      </c>
      <c r="BZ95" s="32" t="s">
        <v>249</v>
      </c>
      <c r="CA95" s="47"/>
      <c r="CB95" s="96" t="str">
        <f>IF(J24="English","On the Ball",(IF(J24="Español","Pase a lo Loco",(IF(J24="Deutsch","Sicherer Pass",(IF(J24="Français","Passe désespérée")))))))</f>
        <v>On the Ball</v>
      </c>
      <c r="CC95" s="32" t="s">
        <v>250</v>
      </c>
      <c r="CD95" s="2"/>
      <c r="CE95" s="95"/>
      <c r="CF95" s="33"/>
      <c r="CG95" s="87" t="str">
        <f t="shared" si="116"/>
        <v>Multiple Blocks</v>
      </c>
      <c r="CH95" s="87" t="str">
        <f t="shared" si="117"/>
        <v>Multiple Blocks</v>
      </c>
      <c r="CI95" s="87" t="str">
        <f t="shared" si="118"/>
        <v>Nerves of Steel</v>
      </c>
      <c r="CJ95" s="87" t="str">
        <f t="shared" si="119"/>
        <v>Nerves of Steel</v>
      </c>
      <c r="CK95" s="87" t="str">
        <f t="shared" si="120"/>
        <v>Nerves of Steel</v>
      </c>
      <c r="CL95" s="87" t="str">
        <f t="shared" si="121"/>
        <v>Multiple Blocks</v>
      </c>
      <c r="CM95" s="87" t="str">
        <f t="shared" si="122"/>
        <v>Multiple Blocks</v>
      </c>
      <c r="CN95" s="87" t="str">
        <f t="shared" si="123"/>
        <v>Nerves of Steel</v>
      </c>
      <c r="CO95" s="87" t="str">
        <f t="shared" si="124"/>
        <v>Multiple Blocks</v>
      </c>
      <c r="CP95" s="87" t="str">
        <f t="shared" si="125"/>
        <v>Multiple Blocks</v>
      </c>
      <c r="CQ95" s="87" t="str">
        <f t="shared" si="126"/>
        <v>Multiple Blocks</v>
      </c>
      <c r="CR95" s="87" t="str">
        <f t="shared" si="127"/>
        <v>Multiple Blocks</v>
      </c>
      <c r="CS95" s="87" t="b">
        <f t="shared" si="128"/>
        <v>0</v>
      </c>
      <c r="CT95" s="87" t="b">
        <f t="shared" si="129"/>
        <v>0</v>
      </c>
      <c r="CU95" s="87" t="b">
        <f t="shared" si="130"/>
        <v>0</v>
      </c>
      <c r="CV95" s="87" t="b">
        <f t="shared" si="131"/>
        <v>0</v>
      </c>
      <c r="CW95" s="2"/>
      <c r="CX95" s="2"/>
      <c r="CY95" s="2"/>
      <c r="CZ95" s="32"/>
      <c r="DA95" s="2"/>
      <c r="DB95" s="2"/>
    </row>
    <row r="96" spans="1:106" ht="15" hidden="1" customHeight="1">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1">
        <v>1270000</v>
      </c>
      <c r="AS96" s="31"/>
      <c r="AT96" s="31"/>
      <c r="AU96" s="31"/>
      <c r="AV96" s="31"/>
      <c r="AW96" s="31"/>
      <c r="AX96" s="32"/>
      <c r="AY96" s="93"/>
      <c r="AZ96" s="31">
        <v>300000</v>
      </c>
      <c r="BA96" s="93"/>
      <c r="BB96" s="93"/>
      <c r="BC96" s="32"/>
      <c r="BD96" s="93"/>
      <c r="BE96" s="32"/>
      <c r="BF96" s="2"/>
      <c r="BG96" s="32"/>
      <c r="BH96" s="32"/>
      <c r="BI96" s="32"/>
      <c r="BJ96" s="32"/>
      <c r="BK96" s="32"/>
      <c r="BL96" s="2"/>
      <c r="BM96" s="32"/>
      <c r="BN96" s="32"/>
      <c r="BO96" s="32"/>
      <c r="BP96" s="2"/>
      <c r="BQ96" s="2"/>
      <c r="BR96" s="2"/>
      <c r="BS96" s="96" t="str">
        <f>IF($J$24="English","On the Ball",(IF($J$24="Español","Pase a lo Loco",(IF($J$24="Deutsch","Sicherer Pass",(IF($J$24="Français","Passe désespérée")))))))</f>
        <v>On the Ball</v>
      </c>
      <c r="BT96" s="32" t="s">
        <v>250</v>
      </c>
      <c r="BU96" s="32" t="str">
        <f>IF($J$24="English","Pile Diver",(IF($J$24="Español","Llave de Brazo",(IF($J$24="Deutsch","Starker Wurfarm",(IF($J$24="Français","Juggernaut")))))))</f>
        <v>Pile Diver</v>
      </c>
      <c r="BV96" s="32" t="s">
        <v>249</v>
      </c>
      <c r="BW96" s="96" t="str">
        <f>IF($J$24="English","On the Ball",(IF($J$24="Español","Pase a lo Loco",(IF($J$24="Deutsch","Sicherer Pass",(IF($J$24="Français","Passe désespérée")))))))</f>
        <v>On the Ball</v>
      </c>
      <c r="BX96" s="32" t="s">
        <v>250</v>
      </c>
      <c r="BY96" s="32" t="str">
        <f>IF($J$24="English","Pile Diver",(IF($J$24="Español","Llave de Brazo",(IF($J$24="Deutsch","Starker Wurfarm",(IF($J$24="Français","Juggernaut")))))))</f>
        <v>Pile Diver</v>
      </c>
      <c r="BZ96" s="32" t="s">
        <v>249</v>
      </c>
      <c r="CA96" s="33"/>
      <c r="CB96" s="96" t="str">
        <f>IF(J24="English","Pass",(IF(J24="Español","Pase Precipitado",(IF(J24="Deutsch","Teamkapitän",(IF(J24="Français","Perce-nuage")))))))</f>
        <v>Pass</v>
      </c>
      <c r="CC96" s="32" t="s">
        <v>250</v>
      </c>
      <c r="CD96" s="2"/>
      <c r="CE96" s="95"/>
      <c r="CF96" s="33"/>
      <c r="CG96" s="87" t="str">
        <f t="shared" si="116"/>
        <v>Pile Diver</v>
      </c>
      <c r="CH96" s="87" t="str">
        <f t="shared" si="117"/>
        <v>Pile Diver</v>
      </c>
      <c r="CI96" s="87" t="str">
        <f t="shared" si="118"/>
        <v>On the Ball</v>
      </c>
      <c r="CJ96" s="87" t="str">
        <f t="shared" si="119"/>
        <v>On the Ball</v>
      </c>
      <c r="CK96" s="87" t="str">
        <f t="shared" si="120"/>
        <v>On the Ball</v>
      </c>
      <c r="CL96" s="87" t="str">
        <f t="shared" si="121"/>
        <v>Pile Diver</v>
      </c>
      <c r="CM96" s="87" t="str">
        <f t="shared" si="122"/>
        <v>Pile Diver</v>
      </c>
      <c r="CN96" s="87" t="str">
        <f t="shared" si="123"/>
        <v>On the Ball</v>
      </c>
      <c r="CO96" s="87" t="str">
        <f t="shared" si="124"/>
        <v>Pile Diver</v>
      </c>
      <c r="CP96" s="87" t="str">
        <f t="shared" si="125"/>
        <v>Pile Diver</v>
      </c>
      <c r="CQ96" s="87" t="str">
        <f t="shared" si="126"/>
        <v>Pile Diver</v>
      </c>
      <c r="CR96" s="87" t="str">
        <f t="shared" si="127"/>
        <v>Pile Diver</v>
      </c>
      <c r="CS96" s="87" t="b">
        <f t="shared" si="128"/>
        <v>0</v>
      </c>
      <c r="CT96" s="87" t="b">
        <f t="shared" si="129"/>
        <v>0</v>
      </c>
      <c r="CU96" s="87" t="b">
        <f t="shared" si="130"/>
        <v>0</v>
      </c>
      <c r="CV96" s="87" t="b">
        <f t="shared" si="131"/>
        <v>0</v>
      </c>
      <c r="CW96" s="2"/>
      <c r="CX96" s="2"/>
      <c r="CY96" s="2"/>
      <c r="CZ96" s="32"/>
      <c r="DA96" s="2"/>
      <c r="DB96" s="2"/>
    </row>
    <row r="97" spans="1:106" ht="15" hidden="1" customHeight="1">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1">
        <v>1280000</v>
      </c>
      <c r="AS97" s="31"/>
      <c r="AT97" s="31"/>
      <c r="AU97" s="31"/>
      <c r="AV97" s="31"/>
      <c r="AW97" s="31"/>
      <c r="AX97" s="32"/>
      <c r="AY97" s="93"/>
      <c r="AZ97" s="31">
        <v>310000</v>
      </c>
      <c r="BA97" s="93"/>
      <c r="BB97" s="93"/>
      <c r="BC97" s="32"/>
      <c r="BD97" s="93"/>
      <c r="BE97" s="32"/>
      <c r="BF97" s="2"/>
      <c r="BG97" s="32"/>
      <c r="BH97" s="2"/>
      <c r="BI97" s="45"/>
      <c r="BJ97" s="2"/>
      <c r="BK97" s="32"/>
      <c r="BL97" s="2"/>
      <c r="BM97" s="32"/>
      <c r="BN97" s="32"/>
      <c r="BO97" s="32"/>
      <c r="BP97" s="2"/>
      <c r="BQ97" s="2"/>
      <c r="BR97" s="2"/>
      <c r="BS97" s="96" t="str">
        <f>IF($J$24="English","Pass",(IF($J$24="Español","Pase Precipitado",(IF($J$24="Deutsch","Teamkapitän",(IF($J$24="Français","Perce-nuage")))))))</f>
        <v>Pass</v>
      </c>
      <c r="BT97" s="32" t="s">
        <v>250</v>
      </c>
      <c r="BU97" s="32" t="str">
        <f>IF($J$24="English","Stand Firm",(IF($J$24="Español","Luchador",(IF($J$24="Deutsch","Tackle durchbrechen",(IF($J$24="Français","Mateau-pilon")))))))</f>
        <v>Stand Firm</v>
      </c>
      <c r="BV97" s="32" t="s">
        <v>249</v>
      </c>
      <c r="BW97" s="96" t="str">
        <f>IF($J$24="English","Pass",(IF($J$24="Español","Pase Precipitado",(IF($J$24="Deutsch","Teamkapitän",(IF($J$24="Français","Perce-nuage")))))))</f>
        <v>Pass</v>
      </c>
      <c r="BX97" s="32" t="s">
        <v>250</v>
      </c>
      <c r="BY97" s="32" t="str">
        <f>IF($J$24="English","Stand Firm",(IF($J$24="Español","Luchador",(IF($J$24="Deutsch","Tackle durchbrechen",(IF($J$24="Français","Mateau-pilon")))))))</f>
        <v>Stand Firm</v>
      </c>
      <c r="BZ97" s="32" t="s">
        <v>249</v>
      </c>
      <c r="CA97" s="33"/>
      <c r="CB97" s="96" t="str">
        <f>IF(J24="English","Running Pass",(IF(J24="Español","Pase Seguro",(IF(J24="Deutsch","Wurfsicher",(IF(J24="Français","Précision")))))))</f>
        <v>Running Pass</v>
      </c>
      <c r="CC97" s="32" t="s">
        <v>250</v>
      </c>
      <c r="CD97" s="2"/>
      <c r="CE97" s="95"/>
      <c r="CF97" s="33"/>
      <c r="CG97" s="87" t="str">
        <f t="shared" si="116"/>
        <v>Stand Firm</v>
      </c>
      <c r="CH97" s="87" t="str">
        <f t="shared" si="117"/>
        <v>Stand Firm</v>
      </c>
      <c r="CI97" s="87" t="str">
        <f t="shared" si="118"/>
        <v>Pass</v>
      </c>
      <c r="CJ97" s="87" t="str">
        <f t="shared" si="119"/>
        <v>Pass</v>
      </c>
      <c r="CK97" s="87" t="str">
        <f t="shared" si="120"/>
        <v>Pass</v>
      </c>
      <c r="CL97" s="87" t="str">
        <f t="shared" si="121"/>
        <v>Stand Firm</v>
      </c>
      <c r="CM97" s="87" t="str">
        <f t="shared" si="122"/>
        <v>Stand Firm</v>
      </c>
      <c r="CN97" s="87" t="str">
        <f t="shared" si="123"/>
        <v>Pass</v>
      </c>
      <c r="CO97" s="87" t="str">
        <f t="shared" si="124"/>
        <v>Stand Firm</v>
      </c>
      <c r="CP97" s="87" t="str">
        <f t="shared" si="125"/>
        <v>Stand Firm</v>
      </c>
      <c r="CQ97" s="87" t="str">
        <f t="shared" si="126"/>
        <v>Stand Firm</v>
      </c>
      <c r="CR97" s="87" t="str">
        <f t="shared" si="127"/>
        <v>Stand Firm</v>
      </c>
      <c r="CS97" s="87" t="b">
        <f t="shared" si="128"/>
        <v>0</v>
      </c>
      <c r="CT97" s="87" t="b">
        <f t="shared" si="129"/>
        <v>0</v>
      </c>
      <c r="CU97" s="87" t="b">
        <f t="shared" si="130"/>
        <v>0</v>
      </c>
      <c r="CV97" s="87" t="b">
        <f t="shared" si="131"/>
        <v>0</v>
      </c>
      <c r="CW97" s="2"/>
      <c r="CX97" s="2"/>
      <c r="CY97" s="2"/>
      <c r="CZ97" s="32"/>
      <c r="DA97" s="2"/>
      <c r="DB97" s="2"/>
    </row>
    <row r="98" spans="1:106" ht="15" hidden="1" customHeight="1">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1">
        <v>1290000</v>
      </c>
      <c r="AS98" s="31"/>
      <c r="AT98" s="31"/>
      <c r="AU98" s="31"/>
      <c r="AV98" s="31"/>
      <c r="AW98" s="31"/>
      <c r="AX98" s="32"/>
      <c r="AY98" s="93"/>
      <c r="AZ98" s="31">
        <v>320000</v>
      </c>
      <c r="BA98" s="93"/>
      <c r="BB98" s="93"/>
      <c r="BC98" s="32"/>
      <c r="BD98" s="93"/>
      <c r="BE98" s="32"/>
      <c r="BF98" s="32"/>
      <c r="BG98" s="32"/>
      <c r="BH98" s="2"/>
      <c r="BI98" s="32"/>
      <c r="BJ98" s="2"/>
      <c r="BK98" s="32"/>
      <c r="BL98" s="2"/>
      <c r="BM98" s="32"/>
      <c r="BN98" s="32"/>
      <c r="BO98" s="32"/>
      <c r="BP98" s="2"/>
      <c r="BQ98" s="2"/>
      <c r="BR98" s="2"/>
      <c r="BS98" s="96" t="str">
        <f>IF($J$24="English","Running Pass",(IF($J$24="Español","Pase Seguro",(IF($J$24="Deutsch","Wurfsicher",(IF($J$24="Français","Précision")))))))</f>
        <v>Running Pass</v>
      </c>
      <c r="BT98" s="32" t="s">
        <v>250</v>
      </c>
      <c r="BU98" s="32" t="str">
        <f>IF($J$24="English","Strong Arm",(IF($J$24="Español","Mantenerse Firme",(IF($J$24="Deutsch","Robust",(IF($J$24="Français","Projection")))))))</f>
        <v>Strong Arm</v>
      </c>
      <c r="BV98" s="32" t="s">
        <v>249</v>
      </c>
      <c r="BW98" s="96" t="str">
        <f>IF($J$24="English","Running Pass",(IF($J$24="Español","Pase Seguro",(IF($J$24="Deutsch","Wurfsicher",(IF($J$24="Français","Précision")))))))</f>
        <v>Running Pass</v>
      </c>
      <c r="BX98" s="32" t="s">
        <v>250</v>
      </c>
      <c r="BY98" s="32" t="str">
        <f>IF($J$24="English","Strong Arm",(IF($J$24="Español","Mantenerse Firme",(IF($J$24="Deutsch","Robust",(IF($J$24="Français","Projection")))))))</f>
        <v>Strong Arm</v>
      </c>
      <c r="BZ98" s="32" t="s">
        <v>249</v>
      </c>
      <c r="CA98" s="33"/>
      <c r="CB98" s="96" t="str">
        <f>IF(J24="English","Safe Pass",(IF(J24="Español","Precisión",(IF(J24="Deutsch","Zielsicher",(IF(J24="Français","Sur le ballon")))))))</f>
        <v>Safe Pass</v>
      </c>
      <c r="CC98" s="32" t="s">
        <v>250</v>
      </c>
      <c r="CD98" s="2"/>
      <c r="CE98" s="95"/>
      <c r="CF98" s="33"/>
      <c r="CG98" s="87" t="str">
        <f t="shared" si="116"/>
        <v>Strong Arm</v>
      </c>
      <c r="CH98" s="87" t="str">
        <f t="shared" si="117"/>
        <v>Strong Arm</v>
      </c>
      <c r="CI98" s="87" t="str">
        <f t="shared" si="118"/>
        <v>Running Pass</v>
      </c>
      <c r="CJ98" s="87" t="str">
        <f t="shared" si="119"/>
        <v>Running Pass</v>
      </c>
      <c r="CK98" s="87" t="str">
        <f t="shared" si="120"/>
        <v>Running Pass</v>
      </c>
      <c r="CL98" s="87" t="str">
        <f t="shared" si="121"/>
        <v>Strong Arm</v>
      </c>
      <c r="CM98" s="87" t="str">
        <f t="shared" si="122"/>
        <v>Strong Arm</v>
      </c>
      <c r="CN98" s="87" t="str">
        <f t="shared" si="123"/>
        <v>Running Pass</v>
      </c>
      <c r="CO98" s="87" t="str">
        <f t="shared" si="124"/>
        <v>Strong Arm</v>
      </c>
      <c r="CP98" s="87" t="str">
        <f t="shared" si="125"/>
        <v>Strong Arm</v>
      </c>
      <c r="CQ98" s="87" t="str">
        <f t="shared" si="126"/>
        <v>Strong Arm</v>
      </c>
      <c r="CR98" s="87" t="str">
        <f t="shared" si="127"/>
        <v>Strong Arm</v>
      </c>
      <c r="CS98" s="87" t="b">
        <f t="shared" si="128"/>
        <v>0</v>
      </c>
      <c r="CT98" s="87" t="b">
        <f t="shared" si="129"/>
        <v>0</v>
      </c>
      <c r="CU98" s="87" t="b">
        <f t="shared" si="130"/>
        <v>0</v>
      </c>
      <c r="CV98" s="87" t="b">
        <f t="shared" si="131"/>
        <v>0</v>
      </c>
      <c r="CW98" s="2"/>
      <c r="CX98" s="2"/>
      <c r="CY98" s="2"/>
      <c r="CZ98" s="32"/>
      <c r="DA98" s="2"/>
      <c r="DB98" s="2"/>
    </row>
    <row r="99" spans="1:106" ht="15" hidden="1" customHeight="1">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1">
        <v>1300000</v>
      </c>
      <c r="AS99" s="31"/>
      <c r="AT99" s="31"/>
      <c r="AU99" s="31"/>
      <c r="AV99" s="31"/>
      <c r="AW99" s="31"/>
      <c r="AX99" s="32"/>
      <c r="AY99" s="93"/>
      <c r="AZ99" s="31">
        <v>330000</v>
      </c>
      <c r="BA99" s="93"/>
      <c r="BB99" s="93"/>
      <c r="BC99" s="32"/>
      <c r="BD99" s="93"/>
      <c r="BE99" s="32"/>
      <c r="BF99" s="32"/>
      <c r="BG99" s="32"/>
      <c r="BH99" s="2"/>
      <c r="BI99" s="2"/>
      <c r="BJ99" s="2"/>
      <c r="BK99" s="32"/>
      <c r="BL99" s="2"/>
      <c r="BM99" s="32"/>
      <c r="BN99" s="32"/>
      <c r="BO99" s="32"/>
      <c r="BP99" s="2"/>
      <c r="BQ99" s="2"/>
      <c r="BR99" s="2"/>
      <c r="BS99" s="96" t="str">
        <f>IF($J$24="English","Safe Pass",(IF($J$24="Español","Precisión",(IF($J$24="Deutsch","Zielsicher",(IF($J$24="Français","Sur le ballon")))))))</f>
        <v>Safe Pass</v>
      </c>
      <c r="BT99" s="32" t="s">
        <v>250</v>
      </c>
      <c r="BU99" s="32" t="str">
        <f>IF($J$24="English","Thick Skull",(IF($J$24="Español","Placaje Múltiple",(IF($J$24="Deutsch","Unterstützen",(IF($J$24="Français","Stabilité")))))))</f>
        <v>Thick Skull</v>
      </c>
      <c r="BV99" s="32" t="s">
        <v>249</v>
      </c>
      <c r="BW99" s="96" t="str">
        <f>IF($J$24="English","Safe Pass",(IF($J$24="Español","Precisión",(IF($J$24="Deutsch","Zielsicher",(IF($J$24="Français","Sur le ballon")))))))</f>
        <v>Safe Pass</v>
      </c>
      <c r="BX99" s="32" t="s">
        <v>250</v>
      </c>
      <c r="BY99" s="32" t="str">
        <f>IF($J$24="English","Thick Skull",(IF($J$24="Español","Placaje Múltiple",(IF($J$24="Deutsch","Unterstützen",(IF($J$24="Français","Stabilité")))))))</f>
        <v>Thick Skull</v>
      </c>
      <c r="BZ99" s="32" t="s">
        <v>249</v>
      </c>
      <c r="CA99" s="33"/>
      <c r="CB99" s="96" t="str">
        <f>IF(J24="English","Arm Bar",(IF(J24="Español","Abrirse Paso",(IF(J24="Deutsch","Armhebel",(IF(J24="Français","Bagarre")))))))</f>
        <v>Arm Bar</v>
      </c>
      <c r="CC99" s="32" t="s">
        <v>249</v>
      </c>
      <c r="CD99" s="2"/>
      <c r="CE99" s="95"/>
      <c r="CF99" s="33"/>
      <c r="CG99" s="87" t="str">
        <f t="shared" si="116"/>
        <v>Thick Skull</v>
      </c>
      <c r="CH99" s="87" t="str">
        <f t="shared" si="117"/>
        <v>Thick Skull</v>
      </c>
      <c r="CI99" s="87" t="str">
        <f t="shared" si="118"/>
        <v>Safe Pass</v>
      </c>
      <c r="CJ99" s="87" t="str">
        <f t="shared" si="119"/>
        <v>Safe Pass</v>
      </c>
      <c r="CK99" s="87" t="str">
        <f t="shared" si="120"/>
        <v>Safe Pass</v>
      </c>
      <c r="CL99" s="87" t="str">
        <f t="shared" si="121"/>
        <v>Thick Skull</v>
      </c>
      <c r="CM99" s="87" t="str">
        <f t="shared" si="122"/>
        <v>Thick Skull</v>
      </c>
      <c r="CN99" s="87" t="str">
        <f t="shared" si="123"/>
        <v>Safe Pass</v>
      </c>
      <c r="CO99" s="87" t="str">
        <f t="shared" si="124"/>
        <v>Thick Skull</v>
      </c>
      <c r="CP99" s="87" t="str">
        <f t="shared" si="125"/>
        <v>Thick Skull</v>
      </c>
      <c r="CQ99" s="87" t="str">
        <f t="shared" si="126"/>
        <v>Thick Skull</v>
      </c>
      <c r="CR99" s="87" t="str">
        <f t="shared" si="127"/>
        <v>Thick Skull</v>
      </c>
      <c r="CS99" s="87" t="b">
        <f t="shared" si="128"/>
        <v>0</v>
      </c>
      <c r="CT99" s="87" t="b">
        <f t="shared" si="129"/>
        <v>0</v>
      </c>
      <c r="CU99" s="87" t="b">
        <f t="shared" si="130"/>
        <v>0</v>
      </c>
      <c r="CV99" s="87" t="b">
        <f t="shared" si="131"/>
        <v>0</v>
      </c>
      <c r="CW99" s="2"/>
      <c r="CX99" s="2"/>
      <c r="CY99" s="2"/>
      <c r="CZ99" s="32"/>
      <c r="DA99" s="2"/>
      <c r="DB99" s="2"/>
    </row>
    <row r="100" spans="1:106" ht="15" hidden="1" customHeight="1">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1">
        <v>1310000</v>
      </c>
      <c r="AS100" s="31"/>
      <c r="AT100" s="31"/>
      <c r="AU100" s="31"/>
      <c r="AV100" s="31"/>
      <c r="AW100" s="31"/>
      <c r="AX100" s="32"/>
      <c r="AY100" s="93"/>
      <c r="AZ100" s="31">
        <v>340000</v>
      </c>
      <c r="BA100" s="93"/>
      <c r="BB100" s="93"/>
      <c r="BC100" s="32"/>
      <c r="BD100" s="93"/>
      <c r="BE100" s="32"/>
      <c r="BF100" s="32"/>
      <c r="BG100" s="32"/>
      <c r="BH100" s="2"/>
      <c r="BI100" s="2"/>
      <c r="BJ100" s="2"/>
      <c r="BK100" s="32"/>
      <c r="BL100" s="2"/>
      <c r="BM100" s="32"/>
      <c r="BN100" s="32"/>
      <c r="BO100" s="32"/>
      <c r="BP100" s="2"/>
      <c r="BQ100" s="2"/>
      <c r="BR100" s="2"/>
      <c r="BS100" s="96" t="str">
        <f>IF($J$24="English","Arm Bar",(IF($J$24="Español","Abrirse Paso",(IF($J$24="Deutsch","Armhebel",(IF($J$24="Français","Bagarre")))))))</f>
        <v>Arm Bar</v>
      </c>
      <c r="BT100" s="32" t="s">
        <v>249</v>
      </c>
      <c r="BU100" s="96" t="str">
        <f>IF($J$24="English","Big Hand",(IF($J$24="Español","Apariencia Asquerosa",(IF($J$24="Deutsch","Abstoßendes Aussehen",(IF($J$24="Français","Bras supplémentaire")))))))</f>
        <v>Big Hand</v>
      </c>
      <c r="BV100" s="32" t="s">
        <v>251</v>
      </c>
      <c r="BW100" s="96" t="str">
        <f>IF($J$24="English","Arm Bar",(IF($J$24="Español","Abrirse Paso",(IF($J$24="Deutsch","Armhebel",(IF($J$24="Français","Bagarre")))))))</f>
        <v>Arm Bar</v>
      </c>
      <c r="BX100" s="32" t="s">
        <v>249</v>
      </c>
      <c r="BY100" s="32" t="str">
        <f t="shared" ref="BY100:BZ100" si="175">""</f>
        <v/>
      </c>
      <c r="BZ100" s="32" t="str">
        <f t="shared" si="175"/>
        <v/>
      </c>
      <c r="CA100" s="33"/>
      <c r="CB100" s="96" t="str">
        <f>IF(J24="English","Brawler",(IF(J24="Español","Apartar",(IF(J24="Deutsch","Greifer",(IF(J24="Français","Blocage multiple")))))))</f>
        <v>Brawler</v>
      </c>
      <c r="CC100" s="32" t="s">
        <v>249</v>
      </c>
      <c r="CD100" s="2"/>
      <c r="CE100" s="95"/>
      <c r="CF100" s="33"/>
      <c r="CG100" s="87" t="str">
        <f t="shared" si="116"/>
        <v/>
      </c>
      <c r="CH100" s="87" t="str">
        <f t="shared" si="117"/>
        <v/>
      </c>
      <c r="CI100" s="87" t="str">
        <f t="shared" si="118"/>
        <v>Arm Bar</v>
      </c>
      <c r="CJ100" s="87" t="str">
        <f t="shared" si="119"/>
        <v>Arm Bar</v>
      </c>
      <c r="CK100" s="87" t="str">
        <f t="shared" si="120"/>
        <v>Arm Bar</v>
      </c>
      <c r="CL100" s="87" t="str">
        <f t="shared" si="121"/>
        <v/>
      </c>
      <c r="CM100" s="87" t="str">
        <f t="shared" si="122"/>
        <v/>
      </c>
      <c r="CN100" s="87" t="str">
        <f t="shared" si="123"/>
        <v>Arm Bar</v>
      </c>
      <c r="CO100" s="87" t="str">
        <f t="shared" si="124"/>
        <v/>
      </c>
      <c r="CP100" s="87" t="str">
        <f t="shared" si="125"/>
        <v/>
      </c>
      <c r="CQ100" s="87" t="str">
        <f t="shared" si="126"/>
        <v/>
      </c>
      <c r="CR100" s="87" t="str">
        <f t="shared" si="127"/>
        <v/>
      </c>
      <c r="CS100" s="87" t="b">
        <f t="shared" si="128"/>
        <v>0</v>
      </c>
      <c r="CT100" s="87" t="b">
        <f t="shared" si="129"/>
        <v>0</v>
      </c>
      <c r="CU100" s="87" t="b">
        <f t="shared" si="130"/>
        <v>0</v>
      </c>
      <c r="CV100" s="87" t="b">
        <f t="shared" si="131"/>
        <v>0</v>
      </c>
      <c r="CW100" s="2"/>
      <c r="CX100" s="2"/>
      <c r="CY100" s="2"/>
      <c r="CZ100" s="32"/>
      <c r="DA100" s="2"/>
      <c r="DB100" s="2"/>
    </row>
    <row r="101" spans="1:106" ht="15" hidden="1" customHeight="1">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c r="AE101" s="32"/>
      <c r="AF101" s="32"/>
      <c r="AG101" s="32"/>
      <c r="AH101" s="32"/>
      <c r="AI101" s="32"/>
      <c r="AJ101" s="32"/>
      <c r="AK101" s="32"/>
      <c r="AL101" s="32"/>
      <c r="AM101" s="32"/>
      <c r="AN101" s="32"/>
      <c r="AO101" s="32"/>
      <c r="AP101" s="32"/>
      <c r="AQ101" s="32"/>
      <c r="AR101" s="31">
        <v>1320000</v>
      </c>
      <c r="AS101" s="31"/>
      <c r="AT101" s="31"/>
      <c r="AU101" s="31"/>
      <c r="AV101" s="31"/>
      <c r="AW101" s="31"/>
      <c r="AX101" s="32"/>
      <c r="AY101" s="93"/>
      <c r="AZ101" s="31">
        <v>350000</v>
      </c>
      <c r="BA101" s="93"/>
      <c r="BB101" s="93"/>
      <c r="BC101" s="32"/>
      <c r="BD101" s="93"/>
      <c r="BE101" s="32"/>
      <c r="BF101" s="2"/>
      <c r="BG101" s="2"/>
      <c r="BH101" s="2"/>
      <c r="BI101" s="2"/>
      <c r="BJ101" s="2"/>
      <c r="BK101" s="32"/>
      <c r="BL101" s="2"/>
      <c r="BM101" s="32"/>
      <c r="BN101" s="32"/>
      <c r="BO101" s="32"/>
      <c r="BP101" s="2"/>
      <c r="BQ101" s="2"/>
      <c r="BR101" s="2"/>
      <c r="BS101" s="96" t="str">
        <f>IF($J$24="English","Brawler",(IF($J$24="Español","Apartar",(IF($J$24="Deutsch","Greifer",(IF($J$24="Français","Blocage multiple")))))))</f>
        <v>Brawler</v>
      </c>
      <c r="BT101" s="32" t="s">
        <v>249</v>
      </c>
      <c r="BU101" s="96" t="str">
        <f>IF($J$24="English","Claw / Claws",(IF($J$24="Español","Boca Monstruosa",(IF($J$24="Deutsch","Eisenharte Haut",(IF($J$24="Français","Cornes")))))))</f>
        <v>Claw / Claws</v>
      </c>
      <c r="BV101" s="32" t="s">
        <v>251</v>
      </c>
      <c r="BW101" s="96" t="str">
        <f>IF($J$24="English","Brawler",(IF($J$24="Español","Apartar",(IF($J$24="Deutsch","Greifer",(IF($J$24="Français","Blocage multiple")))))))</f>
        <v>Brawler</v>
      </c>
      <c r="BX101" s="32" t="s">
        <v>249</v>
      </c>
      <c r="BY101" s="32" t="str">
        <f t="shared" ref="BY101:BZ101" si="176">""</f>
        <v/>
      </c>
      <c r="BZ101" s="32" t="str">
        <f t="shared" si="176"/>
        <v/>
      </c>
      <c r="CA101" s="47"/>
      <c r="CB101" s="96" t="str">
        <f>IF(J24="English","Break Tackle",(IF(J24="Español","Brazo Fuerte",(IF(J24="Deutsch","Knochenbrecher (+1)",(IF(J24="Français","Bras musclé")))))))</f>
        <v>Break Tackle</v>
      </c>
      <c r="CC101" s="32" t="s">
        <v>249</v>
      </c>
      <c r="CD101" s="2"/>
      <c r="CE101" s="95"/>
      <c r="CF101" s="33"/>
      <c r="CG101" s="87" t="str">
        <f t="shared" si="116"/>
        <v/>
      </c>
      <c r="CH101" s="87" t="str">
        <f t="shared" si="117"/>
        <v/>
      </c>
      <c r="CI101" s="87" t="str">
        <f t="shared" si="118"/>
        <v>Brawler</v>
      </c>
      <c r="CJ101" s="87" t="str">
        <f t="shared" si="119"/>
        <v>Brawler</v>
      </c>
      <c r="CK101" s="87" t="str">
        <f t="shared" si="120"/>
        <v>Brawler</v>
      </c>
      <c r="CL101" s="87" t="str">
        <f t="shared" si="121"/>
        <v/>
      </c>
      <c r="CM101" s="87" t="str">
        <f t="shared" si="122"/>
        <v/>
      </c>
      <c r="CN101" s="87" t="str">
        <f t="shared" si="123"/>
        <v>Brawler</v>
      </c>
      <c r="CO101" s="87" t="str">
        <f t="shared" si="124"/>
        <v/>
      </c>
      <c r="CP101" s="87" t="str">
        <f t="shared" si="125"/>
        <v/>
      </c>
      <c r="CQ101" s="87" t="str">
        <f t="shared" si="126"/>
        <v/>
      </c>
      <c r="CR101" s="87" t="str">
        <f t="shared" si="127"/>
        <v/>
      </c>
      <c r="CS101" s="87" t="b">
        <f t="shared" si="128"/>
        <v>0</v>
      </c>
      <c r="CT101" s="87" t="b">
        <f t="shared" si="129"/>
        <v>0</v>
      </c>
      <c r="CU101" s="87" t="b">
        <f t="shared" si="130"/>
        <v>0</v>
      </c>
      <c r="CV101" s="87" t="b">
        <f t="shared" si="131"/>
        <v>0</v>
      </c>
      <c r="CW101" s="2"/>
      <c r="CX101" s="2"/>
      <c r="CY101" s="2"/>
      <c r="CZ101" s="32"/>
      <c r="DA101" s="2"/>
      <c r="DB101" s="2"/>
    </row>
    <row r="102" spans="1:106" ht="15" hidden="1" customHeight="1">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c r="AE102" s="32"/>
      <c r="AF102" s="32"/>
      <c r="AG102" s="32"/>
      <c r="AH102" s="32"/>
      <c r="AI102" s="32"/>
      <c r="AJ102" s="32"/>
      <c r="AK102" s="32"/>
      <c r="AL102" s="32"/>
      <c r="AM102" s="32"/>
      <c r="AN102" s="32"/>
      <c r="AO102" s="32"/>
      <c r="AP102" s="32"/>
      <c r="AQ102" s="32"/>
      <c r="AR102" s="31">
        <v>1330000</v>
      </c>
      <c r="AS102" s="31"/>
      <c r="AT102" s="31"/>
      <c r="AU102" s="31"/>
      <c r="AV102" s="31"/>
      <c r="AW102" s="31"/>
      <c r="AX102" s="32"/>
      <c r="AY102" s="89"/>
      <c r="AZ102" s="31">
        <v>360000</v>
      </c>
      <c r="BA102" s="89"/>
      <c r="BB102" s="89"/>
      <c r="BC102" s="32"/>
      <c r="BD102" s="89"/>
      <c r="BE102" s="32"/>
      <c r="BF102" s="2"/>
      <c r="BG102" s="2"/>
      <c r="BH102" s="2"/>
      <c r="BI102" s="2"/>
      <c r="BJ102" s="2"/>
      <c r="BK102" s="32"/>
      <c r="BL102" s="2"/>
      <c r="BM102" s="32"/>
      <c r="BN102" s="32"/>
      <c r="BO102" s="32"/>
      <c r="BP102" s="2"/>
      <c r="BQ102" s="2"/>
      <c r="BR102" s="2"/>
      <c r="BS102" s="96" t="str">
        <f>IF($J$24="English","Break Tackle",(IF($J$24="Español","Brazo Fuerte",(IF($J$24="Deutsch","Knochenbrecher (+1)",(IF($J$24="Français","Bras musclé")))))))</f>
        <v>Break Tackle</v>
      </c>
      <c r="BT102" s="32" t="s">
        <v>249</v>
      </c>
      <c r="BU102" s="96" t="str">
        <f>IF($J$24="English","Disturbing Presence",(IF($J$24="Español","Brazos Adicionales",(IF($J$24="Deutsch","Große Hand",(IF($J$24="Français","Deux tête")))))))</f>
        <v>Disturbing Presence</v>
      </c>
      <c r="BV102" s="32" t="s">
        <v>251</v>
      </c>
      <c r="BW102" s="96" t="str">
        <f>IF($J$24="English","Break Tackle",(IF($J$24="Español","Brazo Fuerte",(IF($J$24="Deutsch","Knochenbrecher (+1)",(IF($J$24="Français","Bras musclé")))))))</f>
        <v>Break Tackle</v>
      </c>
      <c r="BX102" s="32" t="s">
        <v>249</v>
      </c>
      <c r="BY102" s="32" t="str">
        <f t="shared" ref="BY102:BZ102" si="177">""</f>
        <v/>
      </c>
      <c r="BZ102" s="32" t="str">
        <f t="shared" si="177"/>
        <v/>
      </c>
      <c r="CA102" s="47"/>
      <c r="CB102" s="96" t="str">
        <f>IF(J24="English","Grab",(IF(J24="Español","Cabeza Dura",(IF(J24="Deutsch","Mehrfachblock",(IF(J24="Français","Châtaigne (+1)")))))))</f>
        <v>Grab</v>
      </c>
      <c r="CC102" s="32" t="s">
        <v>249</v>
      </c>
      <c r="CD102" s="2"/>
      <c r="CE102" s="95"/>
      <c r="CF102" s="33"/>
      <c r="CG102" s="87" t="str">
        <f t="shared" si="116"/>
        <v/>
      </c>
      <c r="CH102" s="87" t="str">
        <f t="shared" si="117"/>
        <v/>
      </c>
      <c r="CI102" s="87" t="str">
        <f t="shared" si="118"/>
        <v>Break Tackle</v>
      </c>
      <c r="CJ102" s="87" t="str">
        <f t="shared" si="119"/>
        <v>Break Tackle</v>
      </c>
      <c r="CK102" s="87" t="str">
        <f t="shared" si="120"/>
        <v>Break Tackle</v>
      </c>
      <c r="CL102" s="87" t="str">
        <f t="shared" si="121"/>
        <v/>
      </c>
      <c r="CM102" s="87" t="str">
        <f t="shared" si="122"/>
        <v/>
      </c>
      <c r="CN102" s="87" t="str">
        <f t="shared" si="123"/>
        <v>Break Tackle</v>
      </c>
      <c r="CO102" s="87" t="str">
        <f t="shared" si="124"/>
        <v/>
      </c>
      <c r="CP102" s="87" t="str">
        <f t="shared" si="125"/>
        <v/>
      </c>
      <c r="CQ102" s="87" t="str">
        <f t="shared" si="126"/>
        <v/>
      </c>
      <c r="CR102" s="87" t="str">
        <f t="shared" si="127"/>
        <v/>
      </c>
      <c r="CS102" s="87" t="b">
        <f t="shared" si="128"/>
        <v>0</v>
      </c>
      <c r="CT102" s="87" t="b">
        <f t="shared" si="129"/>
        <v>0</v>
      </c>
      <c r="CU102" s="87" t="b">
        <f t="shared" si="130"/>
        <v>0</v>
      </c>
      <c r="CV102" s="87" t="b">
        <f t="shared" si="131"/>
        <v>0</v>
      </c>
      <c r="CW102" s="2"/>
      <c r="CX102" s="2"/>
      <c r="CY102" s="2"/>
      <c r="CZ102" s="32"/>
      <c r="DA102" s="2"/>
      <c r="DB102" s="2"/>
    </row>
    <row r="103" spans="1:106" ht="15" hidden="1" customHeight="1">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c r="AE103" s="32"/>
      <c r="AF103" s="32"/>
      <c r="AG103" s="32"/>
      <c r="AH103" s="32"/>
      <c r="AI103" s="32"/>
      <c r="AJ103" s="32"/>
      <c r="AK103" s="32"/>
      <c r="AL103" s="32"/>
      <c r="AM103" s="32"/>
      <c r="AN103" s="32"/>
      <c r="AO103" s="32"/>
      <c r="AP103" s="32"/>
      <c r="AQ103" s="32"/>
      <c r="AR103" s="31">
        <v>1340000</v>
      </c>
      <c r="AS103" s="31"/>
      <c r="AT103" s="31"/>
      <c r="AU103" s="31"/>
      <c r="AV103" s="31"/>
      <c r="AW103" s="31"/>
      <c r="AX103" s="32"/>
      <c r="AY103" s="93"/>
      <c r="AZ103" s="31">
        <v>370000</v>
      </c>
      <c r="BA103" s="93"/>
      <c r="BB103" s="93"/>
      <c r="BC103" s="32"/>
      <c r="BD103" s="93"/>
      <c r="BE103" s="32"/>
      <c r="BF103" s="2"/>
      <c r="BG103" s="2"/>
      <c r="BH103" s="2"/>
      <c r="BI103" s="2"/>
      <c r="BJ103" s="2"/>
      <c r="BK103" s="32"/>
      <c r="BL103" s="2"/>
      <c r="BM103" s="32"/>
      <c r="BN103" s="32"/>
      <c r="BO103" s="32"/>
      <c r="BP103" s="2"/>
      <c r="BQ103" s="2"/>
      <c r="BR103" s="2"/>
      <c r="BS103" s="96" t="str">
        <f>IF($J$24="English","Grab",(IF($J$24="Español","Cabeza Dura",(IF($J$24="Deutsch","Mehrfachblock",(IF($J$24="Français","Châtaigne (+1)")))))))</f>
        <v>Grab</v>
      </c>
      <c r="BT103" s="32" t="s">
        <v>249</v>
      </c>
      <c r="BU103" s="96" t="str">
        <f>IF($J$24="English","Extra Arms",(IF($J$24="Español","Cola Prensil",(IF($J$24="Deutsch","Hörner",(IF($J$24="Français","Grande gueule")))))))</f>
        <v>Extra Arms</v>
      </c>
      <c r="BV103" s="32" t="s">
        <v>251</v>
      </c>
      <c r="BW103" s="96" t="str">
        <f>IF($J$24="English","Grab",(IF($J$24="Español","Cabeza Dura",(IF($J$24="Deutsch","Mehrfachblock",(IF($J$24="Français","Châtaigne (+1)")))))))</f>
        <v>Grab</v>
      </c>
      <c r="BX103" s="32" t="s">
        <v>249</v>
      </c>
      <c r="BY103" s="32" t="str">
        <f t="shared" ref="BY103:BZ103" si="178">""</f>
        <v/>
      </c>
      <c r="BZ103" s="32" t="str">
        <f t="shared" si="178"/>
        <v/>
      </c>
      <c r="CA103" s="47"/>
      <c r="CB103" s="96" t="str">
        <f>IF(J24="English","Guard",(IF(J24="Español","Crujir",(IF(J24="Deutsch","Ramme",(IF(J24="Français","Clé de bras")))))))</f>
        <v>Guard</v>
      </c>
      <c r="CC103" s="32" t="s">
        <v>249</v>
      </c>
      <c r="CD103" s="2"/>
      <c r="CE103" s="95"/>
      <c r="CF103" s="33"/>
      <c r="CG103" s="87" t="str">
        <f t="shared" si="116"/>
        <v/>
      </c>
      <c r="CH103" s="87" t="str">
        <f t="shared" si="117"/>
        <v/>
      </c>
      <c r="CI103" s="87" t="str">
        <f t="shared" si="118"/>
        <v>Grab</v>
      </c>
      <c r="CJ103" s="87" t="str">
        <f t="shared" si="119"/>
        <v>Grab</v>
      </c>
      <c r="CK103" s="87" t="str">
        <f t="shared" si="120"/>
        <v>Grab</v>
      </c>
      <c r="CL103" s="87" t="str">
        <f t="shared" si="121"/>
        <v/>
      </c>
      <c r="CM103" s="87" t="str">
        <f t="shared" si="122"/>
        <v/>
      </c>
      <c r="CN103" s="87" t="str">
        <f t="shared" si="123"/>
        <v>Grab</v>
      </c>
      <c r="CO103" s="87" t="str">
        <f t="shared" si="124"/>
        <v/>
      </c>
      <c r="CP103" s="87" t="str">
        <f t="shared" si="125"/>
        <v/>
      </c>
      <c r="CQ103" s="87" t="str">
        <f t="shared" si="126"/>
        <v/>
      </c>
      <c r="CR103" s="87" t="str">
        <f t="shared" si="127"/>
        <v/>
      </c>
      <c r="CS103" s="87" t="b">
        <f t="shared" si="128"/>
        <v>0</v>
      </c>
      <c r="CT103" s="87" t="b">
        <f t="shared" si="129"/>
        <v>0</v>
      </c>
      <c r="CU103" s="87" t="b">
        <f t="shared" si="130"/>
        <v>0</v>
      </c>
      <c r="CV103" s="87" t="b">
        <f t="shared" si="131"/>
        <v>0</v>
      </c>
      <c r="CW103" s="2"/>
      <c r="CX103" s="2"/>
      <c r="CY103" s="2"/>
      <c r="CZ103" s="32"/>
      <c r="DA103" s="2"/>
      <c r="DB103" s="2"/>
    </row>
    <row r="104" spans="1:106" ht="15" hidden="1" customHeight="1">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c r="AE104" s="32"/>
      <c r="AF104" s="32"/>
      <c r="AG104" s="32"/>
      <c r="AH104" s="32"/>
      <c r="AI104" s="32"/>
      <c r="AJ104" s="32"/>
      <c r="AK104" s="32"/>
      <c r="AL104" s="32"/>
      <c r="AM104" s="32"/>
      <c r="AN104" s="32"/>
      <c r="AO104" s="32"/>
      <c r="AP104" s="32"/>
      <c r="AQ104" s="32"/>
      <c r="AR104" s="31">
        <v>1350000</v>
      </c>
      <c r="AS104" s="31"/>
      <c r="AT104" s="31"/>
      <c r="AU104" s="31"/>
      <c r="AV104" s="31"/>
      <c r="AW104" s="31"/>
      <c r="AX104" s="32"/>
      <c r="AY104" s="93"/>
      <c r="AZ104" s="31">
        <v>380000</v>
      </c>
      <c r="BA104" s="93"/>
      <c r="BB104" s="93"/>
      <c r="BC104" s="32"/>
      <c r="BD104" s="93"/>
      <c r="BE104" s="32"/>
      <c r="BF104" s="2"/>
      <c r="BG104" s="2"/>
      <c r="BH104" s="2"/>
      <c r="BI104" s="2"/>
      <c r="BJ104" s="2"/>
      <c r="BK104" s="32"/>
      <c r="BL104" s="2"/>
      <c r="BM104" s="32"/>
      <c r="BN104" s="32"/>
      <c r="BO104" s="32"/>
      <c r="BP104" s="2"/>
      <c r="BQ104" s="2"/>
      <c r="BR104" s="2"/>
      <c r="BS104" s="96" t="str">
        <f>IF($J$24="English","Guard",(IF($J$24="Español","Crujir",(IF($J$24="Deutsch","Ramme",(IF($J$24="Français","Clé de bras")))))))</f>
        <v>Guard</v>
      </c>
      <c r="BT104" s="32" t="s">
        <v>249</v>
      </c>
      <c r="BU104" s="96" t="str">
        <f>IF($J$24="English","Foul Appearance",(IF($J$24="Español","Cuernos",(IF($J$24="Deutsch","Klammerschwanz",(IF($J$24="Français","Griffes")))))))</f>
        <v>Foul Appearance</v>
      </c>
      <c r="BV104" s="32" t="s">
        <v>251</v>
      </c>
      <c r="BW104" s="96" t="str">
        <f>IF($J$24="English","Guard",(IF($J$24="Español","Crujir",(IF($J$24="Deutsch","Ramme",(IF($J$24="Français","Clé de bras")))))))</f>
        <v>Guard</v>
      </c>
      <c r="BX104" s="32" t="s">
        <v>249</v>
      </c>
      <c r="BY104" s="32" t="str">
        <f t="shared" ref="BY104:BZ104" si="179">""</f>
        <v/>
      </c>
      <c r="BZ104" s="32" t="str">
        <f t="shared" si="179"/>
        <v/>
      </c>
      <c r="CA104" s="47"/>
      <c r="CB104" s="32" t="str">
        <f>IF(J24="English","Juggernaut",(IF(J24="Español","Defensa",(IF(J24="Deutsch","Raufbold",(IF(J24="Français","Crâne épais")))))))</f>
        <v>Juggernaut</v>
      </c>
      <c r="CC104" s="32" t="s">
        <v>249</v>
      </c>
      <c r="CD104" s="2"/>
      <c r="CE104" s="95"/>
      <c r="CF104" s="33"/>
      <c r="CG104" s="87" t="str">
        <f t="shared" si="116"/>
        <v/>
      </c>
      <c r="CH104" s="87" t="str">
        <f t="shared" si="117"/>
        <v/>
      </c>
      <c r="CI104" s="87" t="str">
        <f t="shared" si="118"/>
        <v>Guard</v>
      </c>
      <c r="CJ104" s="87" t="str">
        <f t="shared" si="119"/>
        <v>Guard</v>
      </c>
      <c r="CK104" s="87" t="str">
        <f t="shared" si="120"/>
        <v>Guard</v>
      </c>
      <c r="CL104" s="87" t="str">
        <f t="shared" si="121"/>
        <v/>
      </c>
      <c r="CM104" s="87" t="str">
        <f t="shared" si="122"/>
        <v/>
      </c>
      <c r="CN104" s="87" t="str">
        <f t="shared" si="123"/>
        <v>Guard</v>
      </c>
      <c r="CO104" s="87" t="str">
        <f t="shared" si="124"/>
        <v/>
      </c>
      <c r="CP104" s="87" t="str">
        <f t="shared" si="125"/>
        <v/>
      </c>
      <c r="CQ104" s="87" t="str">
        <f t="shared" si="126"/>
        <v/>
      </c>
      <c r="CR104" s="87" t="str">
        <f t="shared" si="127"/>
        <v/>
      </c>
      <c r="CS104" s="87" t="b">
        <f t="shared" si="128"/>
        <v>0</v>
      </c>
      <c r="CT104" s="87" t="b">
        <f t="shared" si="129"/>
        <v>0</v>
      </c>
      <c r="CU104" s="87" t="b">
        <f t="shared" si="130"/>
        <v>0</v>
      </c>
      <c r="CV104" s="87" t="b">
        <f t="shared" si="131"/>
        <v>0</v>
      </c>
      <c r="CW104" s="2"/>
      <c r="CX104" s="2"/>
      <c r="CY104" s="2"/>
      <c r="CZ104" s="32"/>
      <c r="DA104" s="2"/>
      <c r="DB104" s="2"/>
    </row>
    <row r="105" spans="1:106" ht="15" hidden="1" customHeight="1">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c r="AE105" s="32"/>
      <c r="AF105" s="32"/>
      <c r="AG105" s="32"/>
      <c r="AH105" s="32"/>
      <c r="AI105" s="32"/>
      <c r="AJ105" s="32"/>
      <c r="AK105" s="32"/>
      <c r="AL105" s="32"/>
      <c r="AM105" s="32"/>
      <c r="AN105" s="32"/>
      <c r="AO105" s="32"/>
      <c r="AP105" s="32"/>
      <c r="AQ105" s="32"/>
      <c r="AR105" s="31">
        <v>1360000</v>
      </c>
      <c r="AS105" s="31"/>
      <c r="AT105" s="31"/>
      <c r="AU105" s="31"/>
      <c r="AV105" s="31"/>
      <c r="AW105" s="31"/>
      <c r="AX105" s="32"/>
      <c r="AY105" s="93"/>
      <c r="AZ105" s="31">
        <v>390000</v>
      </c>
      <c r="BA105" s="93"/>
      <c r="BB105" s="93"/>
      <c r="BC105" s="32"/>
      <c r="BD105" s="93"/>
      <c r="BE105" s="32"/>
      <c r="BF105" s="2"/>
      <c r="BG105" s="2"/>
      <c r="BH105" s="2"/>
      <c r="BI105" s="2"/>
      <c r="BJ105" s="2"/>
      <c r="BK105" s="32"/>
      <c r="BL105" s="2"/>
      <c r="BM105" s="32"/>
      <c r="BN105" s="32"/>
      <c r="BO105" s="32"/>
      <c r="BP105" s="2"/>
      <c r="BQ105" s="2"/>
      <c r="BR105" s="2"/>
      <c r="BS105" s="32" t="str">
        <f>IF($J$24="English","Juggernaut",(IF($J$24="Español","Defensa",(IF($J$24="Deutsch","Raufbold",(IF($J$24="Français","Crâne épais")))))))</f>
        <v>Juggernaut</v>
      </c>
      <c r="BT105" s="32" t="s">
        <v>249</v>
      </c>
      <c r="BU105" s="96" t="str">
        <f>IF($J$24="English","Horns",(IF($J$24="Español","Dos Cabezas",(IF($J$24="Deutsch","Klauen",(IF($J$24="Français","Main démesurée")))))))</f>
        <v>Horns</v>
      </c>
      <c r="BV105" s="32" t="s">
        <v>251</v>
      </c>
      <c r="BW105" s="32" t="str">
        <f>IF($J$24="English","Juggernaut",(IF($J$24="Español","Defensa",(IF($J$24="Deutsch","Raufbold",(IF($J$24="Français","Crâne épais")))))))</f>
        <v>Juggernaut</v>
      </c>
      <c r="BX105" s="32" t="s">
        <v>249</v>
      </c>
      <c r="BY105" s="32" t="str">
        <f t="shared" ref="BY105:BZ105" si="180">""</f>
        <v/>
      </c>
      <c r="BZ105" s="32" t="str">
        <f t="shared" si="180"/>
        <v/>
      </c>
      <c r="CA105" s="47"/>
      <c r="CB105" s="32" t="str">
        <f>IF(J24="English","Mighty Blow (+1)",(IF(J24="Español","Golpe Mortífero (+1)",(IF(J24="Deutsch","Schweres Gerät",(IF(J24="Français","Esquive en force")))))))</f>
        <v>Mighty Blow (+1)</v>
      </c>
      <c r="CC105" s="32" t="s">
        <v>249</v>
      </c>
      <c r="CD105" s="2"/>
      <c r="CE105" s="95"/>
      <c r="CF105" s="33"/>
      <c r="CG105" s="87" t="str">
        <f t="shared" si="116"/>
        <v/>
      </c>
      <c r="CH105" s="87" t="str">
        <f t="shared" si="117"/>
        <v/>
      </c>
      <c r="CI105" s="87" t="str">
        <f t="shared" si="118"/>
        <v>Juggernaut</v>
      </c>
      <c r="CJ105" s="87" t="str">
        <f t="shared" si="119"/>
        <v>Juggernaut</v>
      </c>
      <c r="CK105" s="87" t="str">
        <f t="shared" si="120"/>
        <v>Juggernaut</v>
      </c>
      <c r="CL105" s="87" t="str">
        <f t="shared" si="121"/>
        <v/>
      </c>
      <c r="CM105" s="87" t="str">
        <f t="shared" si="122"/>
        <v/>
      </c>
      <c r="CN105" s="87" t="str">
        <f t="shared" si="123"/>
        <v>Juggernaut</v>
      </c>
      <c r="CO105" s="87" t="str">
        <f t="shared" si="124"/>
        <v/>
      </c>
      <c r="CP105" s="87" t="str">
        <f t="shared" si="125"/>
        <v/>
      </c>
      <c r="CQ105" s="87" t="str">
        <f t="shared" si="126"/>
        <v/>
      </c>
      <c r="CR105" s="87" t="str">
        <f t="shared" si="127"/>
        <v/>
      </c>
      <c r="CS105" s="87" t="b">
        <f t="shared" si="128"/>
        <v>0</v>
      </c>
      <c r="CT105" s="87" t="b">
        <f t="shared" si="129"/>
        <v>0</v>
      </c>
      <c r="CU105" s="87" t="b">
        <f t="shared" si="130"/>
        <v>0</v>
      </c>
      <c r="CV105" s="87" t="b">
        <f t="shared" si="131"/>
        <v>0</v>
      </c>
      <c r="CW105" s="2"/>
      <c r="CX105" s="2"/>
      <c r="CY105" s="2"/>
      <c r="CZ105" s="32"/>
      <c r="DA105" s="2"/>
      <c r="DB105" s="2"/>
    </row>
    <row r="106" spans="1:106" ht="15" hidden="1" customHeight="1">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c r="AE106" s="32"/>
      <c r="AF106" s="32"/>
      <c r="AG106" s="32"/>
      <c r="AH106" s="32"/>
      <c r="AI106" s="32"/>
      <c r="AJ106" s="32"/>
      <c r="AK106" s="32"/>
      <c r="AL106" s="32"/>
      <c r="AM106" s="32"/>
      <c r="AN106" s="32"/>
      <c r="AO106" s="32"/>
      <c r="AP106" s="32"/>
      <c r="AQ106" s="32"/>
      <c r="AR106" s="31">
        <v>1370000</v>
      </c>
      <c r="AS106" s="31"/>
      <c r="AT106" s="31"/>
      <c r="AU106" s="31"/>
      <c r="AV106" s="31"/>
      <c r="AW106" s="31"/>
      <c r="AX106" s="32"/>
      <c r="AY106" s="93"/>
      <c r="AZ106" s="31">
        <v>400000</v>
      </c>
      <c r="BA106" s="93"/>
      <c r="BB106" s="93"/>
      <c r="BC106" s="32"/>
      <c r="BD106" s="93"/>
      <c r="BE106" s="32"/>
      <c r="BF106" s="2"/>
      <c r="BG106" s="2"/>
      <c r="BH106" s="2"/>
      <c r="BI106" s="2"/>
      <c r="BJ106" s="2"/>
      <c r="BK106" s="32"/>
      <c r="BL106" s="2"/>
      <c r="BM106" s="32"/>
      <c r="BN106" s="32"/>
      <c r="BO106" s="32"/>
      <c r="BP106" s="2"/>
      <c r="BQ106" s="2"/>
      <c r="BR106" s="2"/>
      <c r="BS106" s="32" t="str">
        <f>IF($J$24="English","Mighty Blow (+1)",(IF($J$24="Español","Golpe Mortífero (+1)",(IF($J$24="Deutsch","Schweres Gerät",(IF($J$24="Français","Esquive en force")))))))</f>
        <v>Mighty Blow (+1)</v>
      </c>
      <c r="BT106" s="32" t="s">
        <v>249</v>
      </c>
      <c r="BU106" s="32" t="str">
        <f>IF($J$24="English","Iron Hard Skin",(IF($J$24="Español","Garra / Garras",(IF($J$24="Deutsch","Monströses Maul",(IF($J$24="Français","Queue préhensile")))))))</f>
        <v>Iron Hard Skin</v>
      </c>
      <c r="BV106" s="32" t="s">
        <v>251</v>
      </c>
      <c r="BW106" s="32" t="str">
        <f>IF($J$24="English","Mighty Blow (+1)",(IF($J$24="Español","Golpe Mortífero (+1)",(IF($J$24="Deutsch","Schweres Gerät",(IF($J$24="Français","Esquive en force")))))))</f>
        <v>Mighty Blow (+1)</v>
      </c>
      <c r="BX106" s="32" t="s">
        <v>249</v>
      </c>
      <c r="BY106" s="32" t="str">
        <f t="shared" ref="BY106:BZ106" si="181">""</f>
        <v/>
      </c>
      <c r="BZ106" s="32" t="str">
        <f t="shared" si="181"/>
        <v/>
      </c>
      <c r="CA106" s="47"/>
      <c r="CB106" s="32" t="str">
        <f>IF(J24="English","Multiple Blocks",(IF(J24="Español","Imparable",(IF(J24="Deutsch","Standfest",(IF(J24="Français","Garde")))))))</f>
        <v>Multiple Blocks</v>
      </c>
      <c r="CC106" s="32" t="s">
        <v>249</v>
      </c>
      <c r="CD106" s="2"/>
      <c r="CE106" s="95"/>
      <c r="CF106" s="33"/>
      <c r="CG106" s="87" t="str">
        <f t="shared" si="116"/>
        <v/>
      </c>
      <c r="CH106" s="87" t="str">
        <f t="shared" si="117"/>
        <v/>
      </c>
      <c r="CI106" s="87" t="str">
        <f t="shared" si="118"/>
        <v>Mighty Blow (+1)</v>
      </c>
      <c r="CJ106" s="87" t="str">
        <f t="shared" si="119"/>
        <v>Mighty Blow (+1)</v>
      </c>
      <c r="CK106" s="87" t="str">
        <f t="shared" si="120"/>
        <v>Mighty Blow (+1)</v>
      </c>
      <c r="CL106" s="87" t="str">
        <f t="shared" si="121"/>
        <v/>
      </c>
      <c r="CM106" s="87" t="str">
        <f t="shared" si="122"/>
        <v/>
      </c>
      <c r="CN106" s="87" t="str">
        <f t="shared" si="123"/>
        <v>Mighty Blow (+1)</v>
      </c>
      <c r="CO106" s="87" t="str">
        <f t="shared" si="124"/>
        <v/>
      </c>
      <c r="CP106" s="87" t="str">
        <f t="shared" si="125"/>
        <v/>
      </c>
      <c r="CQ106" s="87" t="str">
        <f t="shared" si="126"/>
        <v/>
      </c>
      <c r="CR106" s="87" t="str">
        <f t="shared" si="127"/>
        <v/>
      </c>
      <c r="CS106" s="87" t="b">
        <f t="shared" si="128"/>
        <v>0</v>
      </c>
      <c r="CT106" s="87" t="b">
        <f t="shared" si="129"/>
        <v>0</v>
      </c>
      <c r="CU106" s="87" t="b">
        <f t="shared" si="130"/>
        <v>0</v>
      </c>
      <c r="CV106" s="87" t="b">
        <f t="shared" si="131"/>
        <v>0</v>
      </c>
      <c r="CW106" s="2"/>
      <c r="CX106" s="2"/>
      <c r="CY106" s="2"/>
      <c r="CZ106" s="32"/>
      <c r="DA106" s="2"/>
      <c r="DB106" s="2"/>
    </row>
    <row r="107" spans="1:106" ht="15" hidden="1" customHeight="1">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c r="AE107" s="32"/>
      <c r="AF107" s="32"/>
      <c r="AG107" s="32"/>
      <c r="AH107" s="32"/>
      <c r="AI107" s="32"/>
      <c r="AJ107" s="32"/>
      <c r="AK107" s="32"/>
      <c r="AL107" s="32"/>
      <c r="AM107" s="32"/>
      <c r="AN107" s="32"/>
      <c r="AO107" s="32"/>
      <c r="AP107" s="32"/>
      <c r="AQ107" s="32"/>
      <c r="AR107" s="31">
        <v>1380000</v>
      </c>
      <c r="AS107" s="31"/>
      <c r="AT107" s="31"/>
      <c r="AU107" s="31"/>
      <c r="AV107" s="31"/>
      <c r="AW107" s="31"/>
      <c r="AX107" s="32"/>
      <c r="AY107" s="93"/>
      <c r="AZ107" s="31">
        <v>410000</v>
      </c>
      <c r="BA107" s="93"/>
      <c r="BB107" s="93"/>
      <c r="BC107" s="32"/>
      <c r="BD107" s="93"/>
      <c r="BE107" s="32"/>
      <c r="BF107" s="2"/>
      <c r="BG107" s="2"/>
      <c r="BH107" s="2"/>
      <c r="BI107" s="2"/>
      <c r="BJ107" s="2"/>
      <c r="BK107" s="32"/>
      <c r="BL107" s="2"/>
      <c r="BM107" s="32"/>
      <c r="BN107" s="32"/>
      <c r="BO107" s="32"/>
      <c r="BP107" s="2"/>
      <c r="BQ107" s="2"/>
      <c r="BR107" s="2"/>
      <c r="BS107" s="32" t="str">
        <f>IF($J$24="English","Multiple Blocks",(IF($J$24="Español","Imparable",(IF($J$24="Deutsch","Standfest",(IF($J$24="Français","Garde")))))))</f>
        <v>Multiple Blocks</v>
      </c>
      <c r="BT107" s="32" t="s">
        <v>249</v>
      </c>
      <c r="BU107" s="32" t="str">
        <f>IF($J$24="English","Monstrous Mouth",(IF($J$24="Español","Mano Grande",(IF($J$24="Deutsch","Sehr lange Beine",(IF($J$24="Français","Peau de fer")))))))</f>
        <v>Monstrous Mouth</v>
      </c>
      <c r="BV107" s="32" t="s">
        <v>251</v>
      </c>
      <c r="BW107" s="32" t="str">
        <f>IF($J$24="English","Multiple Blocks",(IF($J$24="Español","Imparable",(IF($J$24="Deutsch","Standfest",(IF($J$24="Français","Garde")))))))</f>
        <v>Multiple Blocks</v>
      </c>
      <c r="BX107" s="32" t="s">
        <v>249</v>
      </c>
      <c r="BY107" s="32" t="str">
        <f t="shared" ref="BY107:BZ107" si="182">""</f>
        <v/>
      </c>
      <c r="BZ107" s="32" t="str">
        <f t="shared" si="182"/>
        <v/>
      </c>
      <c r="CA107" s="47"/>
      <c r="CB107" s="32" t="str">
        <f>IF(J24="English","Pile Diver",(IF(J24="Español","Llave de Brazo",(IF(J24="Deutsch","Starker Wurfarm",(IF(J24="Français","Juggernaut")))))))</f>
        <v>Pile Diver</v>
      </c>
      <c r="CC107" s="32" t="s">
        <v>249</v>
      </c>
      <c r="CD107" s="2"/>
      <c r="CE107" s="95"/>
      <c r="CF107" s="33"/>
      <c r="CG107" s="87" t="str">
        <f t="shared" si="116"/>
        <v/>
      </c>
      <c r="CH107" s="87" t="str">
        <f t="shared" si="117"/>
        <v/>
      </c>
      <c r="CI107" s="87" t="str">
        <f t="shared" si="118"/>
        <v>Multiple Blocks</v>
      </c>
      <c r="CJ107" s="87" t="str">
        <f t="shared" si="119"/>
        <v>Multiple Blocks</v>
      </c>
      <c r="CK107" s="87" t="str">
        <f t="shared" si="120"/>
        <v>Multiple Blocks</v>
      </c>
      <c r="CL107" s="87" t="str">
        <f t="shared" si="121"/>
        <v/>
      </c>
      <c r="CM107" s="87" t="str">
        <f t="shared" si="122"/>
        <v/>
      </c>
      <c r="CN107" s="87" t="str">
        <f t="shared" si="123"/>
        <v>Multiple Blocks</v>
      </c>
      <c r="CO107" s="87" t="str">
        <f t="shared" si="124"/>
        <v/>
      </c>
      <c r="CP107" s="87" t="str">
        <f t="shared" si="125"/>
        <v/>
      </c>
      <c r="CQ107" s="87" t="str">
        <f t="shared" si="126"/>
        <v/>
      </c>
      <c r="CR107" s="87" t="str">
        <f t="shared" si="127"/>
        <v/>
      </c>
      <c r="CS107" s="87" t="b">
        <f t="shared" si="128"/>
        <v>0</v>
      </c>
      <c r="CT107" s="87" t="b">
        <f t="shared" si="129"/>
        <v>0</v>
      </c>
      <c r="CU107" s="87" t="b">
        <f t="shared" si="130"/>
        <v>0</v>
      </c>
      <c r="CV107" s="87" t="b">
        <f t="shared" si="131"/>
        <v>0</v>
      </c>
      <c r="CW107" s="2"/>
      <c r="CX107" s="2"/>
      <c r="CY107" s="2"/>
      <c r="CZ107" s="32"/>
      <c r="DA107" s="2"/>
      <c r="DB107" s="2"/>
    </row>
    <row r="108" spans="1:106" ht="15" hidden="1" customHeight="1">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2"/>
      <c r="AL108" s="32"/>
      <c r="AM108" s="32"/>
      <c r="AN108" s="32"/>
      <c r="AO108" s="32"/>
      <c r="AP108" s="32"/>
      <c r="AQ108" s="32"/>
      <c r="AR108" s="31">
        <v>1390000</v>
      </c>
      <c r="AS108" s="31"/>
      <c r="AT108" s="31"/>
      <c r="AU108" s="31"/>
      <c r="AV108" s="31"/>
      <c r="AW108" s="31"/>
      <c r="AX108" s="32"/>
      <c r="AY108" s="93"/>
      <c r="AZ108" s="31">
        <v>420000</v>
      </c>
      <c r="BA108" s="93"/>
      <c r="BB108" s="93"/>
      <c r="BC108" s="32"/>
      <c r="BD108" s="93"/>
      <c r="BE108" s="32"/>
      <c r="BF108" s="2"/>
      <c r="BG108" s="2"/>
      <c r="BH108" s="2"/>
      <c r="BI108" s="2"/>
      <c r="BJ108" s="2"/>
      <c r="BK108" s="32"/>
      <c r="BL108" s="2"/>
      <c r="BM108" s="32"/>
      <c r="BN108" s="32"/>
      <c r="BO108" s="32"/>
      <c r="BP108" s="2"/>
      <c r="BQ108" s="2"/>
      <c r="BR108" s="2"/>
      <c r="BS108" s="32" t="str">
        <f>IF($J$24="English","Pile Diver",(IF($J$24="Español","Llave de Brazo",(IF($J$24="Deutsch","Starker Wurfarm",(IF($J$24="Français","Juggernaut")))))))</f>
        <v>Pile Diver</v>
      </c>
      <c r="BT108" s="32" t="s">
        <v>249</v>
      </c>
      <c r="BU108" s="96" t="str">
        <f>IF($J$24="English","Prehensile Tail",(IF($J$24="Español","Piel Ferrea",(IF($J$24="Deutsch","Tentakel",(IF($J$24="Français","Présence perturbante")))))))</f>
        <v>Prehensile Tail</v>
      </c>
      <c r="BV108" s="32" t="s">
        <v>251</v>
      </c>
      <c r="BW108" s="32" t="str">
        <f>IF($J$24="English","Pile Diver",(IF($J$24="Español","Llave de Brazo",(IF($J$24="Deutsch","Starker Wurfarm",(IF($J$24="Français","Juggernaut")))))))</f>
        <v>Pile Diver</v>
      </c>
      <c r="BX108" s="32" t="s">
        <v>249</v>
      </c>
      <c r="BY108" s="32" t="str">
        <f t="shared" ref="BY108:BZ108" si="183">""</f>
        <v/>
      </c>
      <c r="BZ108" s="32" t="str">
        <f t="shared" si="183"/>
        <v/>
      </c>
      <c r="CA108" s="33"/>
      <c r="CB108" s="32" t="str">
        <f>IF(J24="English","Stand Firm",(IF(J24="Español","Luchador",(IF(J24="Deutsch","Tackle durchbrechen",(IF(J24="Français","Mateau-pilon")))))))</f>
        <v>Stand Firm</v>
      </c>
      <c r="CC108" s="32" t="s">
        <v>249</v>
      </c>
      <c r="CD108" s="2"/>
      <c r="CE108" s="95"/>
      <c r="CF108" s="33"/>
      <c r="CG108" s="87" t="str">
        <f t="shared" si="116"/>
        <v/>
      </c>
      <c r="CH108" s="87" t="str">
        <f t="shared" si="117"/>
        <v/>
      </c>
      <c r="CI108" s="87" t="str">
        <f t="shared" si="118"/>
        <v>Pile Diver</v>
      </c>
      <c r="CJ108" s="87" t="str">
        <f t="shared" si="119"/>
        <v>Pile Diver</v>
      </c>
      <c r="CK108" s="87" t="str">
        <f t="shared" si="120"/>
        <v>Pile Diver</v>
      </c>
      <c r="CL108" s="87" t="str">
        <f t="shared" si="121"/>
        <v/>
      </c>
      <c r="CM108" s="87" t="str">
        <f t="shared" si="122"/>
        <v/>
      </c>
      <c r="CN108" s="87" t="str">
        <f t="shared" si="123"/>
        <v>Pile Diver</v>
      </c>
      <c r="CO108" s="87" t="str">
        <f t="shared" si="124"/>
        <v/>
      </c>
      <c r="CP108" s="87" t="str">
        <f t="shared" si="125"/>
        <v/>
      </c>
      <c r="CQ108" s="87" t="str">
        <f t="shared" si="126"/>
        <v/>
      </c>
      <c r="CR108" s="87" t="str">
        <f t="shared" si="127"/>
        <v/>
      </c>
      <c r="CS108" s="87" t="b">
        <f t="shared" si="128"/>
        <v>0</v>
      </c>
      <c r="CT108" s="87" t="b">
        <f t="shared" si="129"/>
        <v>0</v>
      </c>
      <c r="CU108" s="87" t="b">
        <f t="shared" si="130"/>
        <v>0</v>
      </c>
      <c r="CV108" s="87" t="b">
        <f t="shared" si="131"/>
        <v>0</v>
      </c>
      <c r="CW108" s="2"/>
      <c r="CX108" s="2"/>
      <c r="CY108" s="2"/>
      <c r="CZ108" s="32"/>
      <c r="DA108" s="2"/>
      <c r="DB108" s="2"/>
    </row>
    <row r="109" spans="1:106" ht="15" hidden="1" customHeight="1">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1">
        <v>1400000</v>
      </c>
      <c r="AS109" s="31"/>
      <c r="AT109" s="31"/>
      <c r="AU109" s="31"/>
      <c r="AV109" s="31"/>
      <c r="AW109" s="31"/>
      <c r="AX109" s="32"/>
      <c r="AY109" s="32"/>
      <c r="AZ109" s="31">
        <v>430000</v>
      </c>
      <c r="BA109" s="32"/>
      <c r="BB109" s="32"/>
      <c r="BC109" s="32"/>
      <c r="BD109" s="32"/>
      <c r="BE109" s="32"/>
      <c r="BF109" s="2"/>
      <c r="BG109" s="2"/>
      <c r="BH109" s="2"/>
      <c r="BI109" s="2"/>
      <c r="BJ109" s="2"/>
      <c r="BK109" s="32"/>
      <c r="BL109" s="2"/>
      <c r="BM109" s="32"/>
      <c r="BN109" s="32"/>
      <c r="BO109" s="32"/>
      <c r="BP109" s="2"/>
      <c r="BQ109" s="2"/>
      <c r="BR109" s="2"/>
      <c r="BS109" s="32" t="str">
        <f>IF($J$24="English","Stand Firm",(IF($J$24="Español","Luchador",(IF($J$24="Deutsch","Tackle durchbrechen",(IF($J$24="Français","Mateau-pilon")))))))</f>
        <v>Stand Firm</v>
      </c>
      <c r="BT109" s="32" t="s">
        <v>249</v>
      </c>
      <c r="BU109" s="96" t="str">
        <f>IF($J$24="English","Tentacles",(IF($J$24="Español","Piernas muy Largas",(IF($J$24="Deutsch","Verstörende Präsenz",(IF($J$24="Français","Répulsion")))))))</f>
        <v>Tentacles</v>
      </c>
      <c r="BV109" s="32" t="s">
        <v>251</v>
      </c>
      <c r="BW109" s="32" t="str">
        <f>IF($J$24="English","Stand Firm",(IF($J$24="Español","Luchador",(IF($J$24="Deutsch","Tackle durchbrechen",(IF($J$24="Français","Mateau-pilon")))))))</f>
        <v>Stand Firm</v>
      </c>
      <c r="BX109" s="32" t="s">
        <v>249</v>
      </c>
      <c r="BY109" s="32" t="str">
        <f t="shared" ref="BY109:BZ109" si="184">""</f>
        <v/>
      </c>
      <c r="BZ109" s="32" t="str">
        <f t="shared" si="184"/>
        <v/>
      </c>
      <c r="CA109" s="33"/>
      <c r="CB109" s="32" t="str">
        <f>IF(J24="English","Strong Arm",(IF(J24="Español","Mantenerse Firme",(IF(J24="Deutsch","Robust",(IF(J24="Français","Projection")))))))</f>
        <v>Strong Arm</v>
      </c>
      <c r="CC109" s="32" t="s">
        <v>249</v>
      </c>
      <c r="CD109" s="2"/>
      <c r="CE109" s="95"/>
      <c r="CF109" s="33"/>
      <c r="CG109" s="87" t="str">
        <f t="shared" si="116"/>
        <v/>
      </c>
      <c r="CH109" s="87" t="str">
        <f t="shared" si="117"/>
        <v/>
      </c>
      <c r="CI109" s="87" t="str">
        <f t="shared" si="118"/>
        <v>Stand Firm</v>
      </c>
      <c r="CJ109" s="87" t="str">
        <f t="shared" si="119"/>
        <v>Stand Firm</v>
      </c>
      <c r="CK109" s="87" t="str">
        <f t="shared" si="120"/>
        <v>Stand Firm</v>
      </c>
      <c r="CL109" s="87" t="str">
        <f t="shared" si="121"/>
        <v/>
      </c>
      <c r="CM109" s="87" t="str">
        <f t="shared" si="122"/>
        <v/>
      </c>
      <c r="CN109" s="87" t="str">
        <f t="shared" si="123"/>
        <v>Stand Firm</v>
      </c>
      <c r="CO109" s="87" t="str">
        <f t="shared" si="124"/>
        <v/>
      </c>
      <c r="CP109" s="87" t="str">
        <f t="shared" si="125"/>
        <v/>
      </c>
      <c r="CQ109" s="87" t="str">
        <f t="shared" si="126"/>
        <v/>
      </c>
      <c r="CR109" s="87" t="str">
        <f t="shared" si="127"/>
        <v/>
      </c>
      <c r="CS109" s="87" t="b">
        <f t="shared" si="128"/>
        <v>0</v>
      </c>
      <c r="CT109" s="87" t="b">
        <f t="shared" si="129"/>
        <v>0</v>
      </c>
      <c r="CU109" s="87" t="b">
        <f t="shared" si="130"/>
        <v>0</v>
      </c>
      <c r="CV109" s="87" t="b">
        <f t="shared" si="131"/>
        <v>0</v>
      </c>
      <c r="CW109" s="2"/>
      <c r="CX109" s="2"/>
      <c r="CY109" s="2"/>
      <c r="CZ109" s="32"/>
      <c r="DA109" s="2"/>
      <c r="DB109" s="2"/>
    </row>
    <row r="110" spans="1:106" ht="15" hidden="1" customHeight="1">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c r="AP110" s="32"/>
      <c r="AQ110" s="32"/>
      <c r="AR110" s="31">
        <v>1410000</v>
      </c>
      <c r="AS110" s="31"/>
      <c r="AT110" s="31"/>
      <c r="AU110" s="31"/>
      <c r="AV110" s="31"/>
      <c r="AW110" s="31"/>
      <c r="AX110" s="32"/>
      <c r="AY110" s="32"/>
      <c r="AZ110" s="31">
        <v>440000</v>
      </c>
      <c r="BA110" s="32"/>
      <c r="BB110" s="32"/>
      <c r="BC110" s="32"/>
      <c r="BD110" s="32"/>
      <c r="BE110" s="32"/>
      <c r="BF110" s="2"/>
      <c r="BG110" s="2"/>
      <c r="BH110" s="2"/>
      <c r="BI110" s="2"/>
      <c r="BJ110" s="2"/>
      <c r="BK110" s="32"/>
      <c r="BL110" s="2"/>
      <c r="BM110" s="32"/>
      <c r="BN110" s="32"/>
      <c r="BO110" s="32"/>
      <c r="BP110" s="2"/>
      <c r="BQ110" s="2"/>
      <c r="BR110" s="2"/>
      <c r="BS110" s="32" t="str">
        <f>IF($J$24="English","Strong Arm",(IF($J$24="Español","Mantenerse Firme",(IF($J$24="Deutsch","Robust",(IF($J$24="Français","Projection")))))))</f>
        <v>Strong Arm</v>
      </c>
      <c r="BT110" s="32" t="s">
        <v>249</v>
      </c>
      <c r="BU110" s="96" t="str">
        <f>IF($J$24="English","Two Heads",(IF($J$24="Español","Presencia Perturbadora",(IF($J$24="Deutsch","Zwei Köpfe",(IF($J$24="Français","Tentacule")))))))</f>
        <v>Two Heads</v>
      </c>
      <c r="BV110" s="32" t="s">
        <v>251</v>
      </c>
      <c r="BW110" s="32" t="str">
        <f>IF($J$24="English","Strong Arm",(IF($J$24="Español","Mantenerse Firme",(IF($J$24="Deutsch","Robust",(IF($J$24="Français","Projection")))))))</f>
        <v>Strong Arm</v>
      </c>
      <c r="BX110" s="32" t="s">
        <v>249</v>
      </c>
      <c r="BY110" s="32" t="str">
        <f t="shared" ref="BY110:BZ110" si="185">""</f>
        <v/>
      </c>
      <c r="BZ110" s="32" t="str">
        <f t="shared" si="185"/>
        <v/>
      </c>
      <c r="CA110" s="33"/>
      <c r="CB110" s="32" t="str">
        <f>IF(J24="English","Thick Skull",(IF(J24="Español","Placaje Múltiple",(IF(J24="Deutsch","Unterstützen",(IF(J24="Français","Stabilité")))))))</f>
        <v>Thick Skull</v>
      </c>
      <c r="CC110" s="32" t="s">
        <v>249</v>
      </c>
      <c r="CD110" s="2"/>
      <c r="CE110" s="95"/>
      <c r="CF110" s="33"/>
      <c r="CG110" s="87" t="str">
        <f t="shared" si="116"/>
        <v/>
      </c>
      <c r="CH110" s="87" t="str">
        <f t="shared" si="117"/>
        <v/>
      </c>
      <c r="CI110" s="87" t="str">
        <f t="shared" si="118"/>
        <v>Strong Arm</v>
      </c>
      <c r="CJ110" s="87" t="str">
        <f t="shared" si="119"/>
        <v>Strong Arm</v>
      </c>
      <c r="CK110" s="87" t="str">
        <f t="shared" si="120"/>
        <v>Strong Arm</v>
      </c>
      <c r="CL110" s="87" t="str">
        <f t="shared" si="121"/>
        <v/>
      </c>
      <c r="CM110" s="87" t="str">
        <f t="shared" si="122"/>
        <v/>
      </c>
      <c r="CN110" s="87" t="str">
        <f t="shared" si="123"/>
        <v>Strong Arm</v>
      </c>
      <c r="CO110" s="87" t="str">
        <f t="shared" si="124"/>
        <v/>
      </c>
      <c r="CP110" s="87" t="str">
        <f t="shared" si="125"/>
        <v/>
      </c>
      <c r="CQ110" s="87" t="str">
        <f t="shared" si="126"/>
        <v/>
      </c>
      <c r="CR110" s="87" t="str">
        <f t="shared" si="127"/>
        <v/>
      </c>
      <c r="CS110" s="87" t="b">
        <f t="shared" si="128"/>
        <v>0</v>
      </c>
      <c r="CT110" s="87" t="b">
        <f t="shared" si="129"/>
        <v>0</v>
      </c>
      <c r="CU110" s="87" t="b">
        <f t="shared" si="130"/>
        <v>0</v>
      </c>
      <c r="CV110" s="87" t="b">
        <f t="shared" si="131"/>
        <v>0</v>
      </c>
      <c r="CW110" s="2"/>
      <c r="CX110" s="2"/>
      <c r="CY110" s="2"/>
      <c r="CZ110" s="32"/>
      <c r="DA110" s="2"/>
      <c r="DB110" s="2"/>
    </row>
    <row r="111" spans="1:106" ht="15" hidden="1" customHeight="1">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c r="AE111" s="32"/>
      <c r="AF111" s="32"/>
      <c r="AG111" s="32"/>
      <c r="AH111" s="32"/>
      <c r="AI111" s="32"/>
      <c r="AJ111" s="32"/>
      <c r="AK111" s="32"/>
      <c r="AL111" s="32"/>
      <c r="AM111" s="32"/>
      <c r="AN111" s="32"/>
      <c r="AO111" s="32"/>
      <c r="AP111" s="32"/>
      <c r="AQ111" s="32"/>
      <c r="AR111" s="31">
        <v>1420000</v>
      </c>
      <c r="AS111" s="31"/>
      <c r="AT111" s="31"/>
      <c r="AU111" s="31"/>
      <c r="AV111" s="31"/>
      <c r="AW111" s="31"/>
      <c r="AX111" s="32"/>
      <c r="AY111" s="32"/>
      <c r="AZ111" s="31">
        <v>450000</v>
      </c>
      <c r="BA111" s="32"/>
      <c r="BB111" s="32"/>
      <c r="BC111" s="32"/>
      <c r="BD111" s="32"/>
      <c r="BE111" s="32"/>
      <c r="BF111" s="2"/>
      <c r="BG111" s="2"/>
      <c r="BH111" s="2"/>
      <c r="BI111" s="2"/>
      <c r="BJ111" s="2"/>
      <c r="BK111" s="32"/>
      <c r="BL111" s="2"/>
      <c r="BM111" s="32"/>
      <c r="BN111" s="32"/>
      <c r="BO111" s="32"/>
      <c r="BP111" s="2"/>
      <c r="BQ111" s="2"/>
      <c r="BR111" s="2"/>
      <c r="BS111" s="32" t="str">
        <f>IF($J$24="English","Thick Skull",(IF($J$24="Español","Placaje Múltiple",(IF($J$24="Deutsch","Unterstützen",(IF($J$24="Français","Stabilité")))))))</f>
        <v>Thick Skull</v>
      </c>
      <c r="BT111" s="32" t="s">
        <v>249</v>
      </c>
      <c r="BU111" s="96" t="str">
        <f>IF($J$24="English","Very Long Legs",(IF($J$24="Español","Tentáculos",(IF($J$24="Deutsch","Zusätzliche Arme",(IF($J$24="Français","Très longues jambes")))))))</f>
        <v>Very Long Legs</v>
      </c>
      <c r="BV111" s="32" t="s">
        <v>251</v>
      </c>
      <c r="BW111" s="32" t="str">
        <f>IF($J$24="English","Thick Skull",(IF($J$24="Español","Placaje Múltiple",(IF($J$24="Deutsch","Unterstützen",(IF($J$24="Français","Stabilité")))))))</f>
        <v>Thick Skull</v>
      </c>
      <c r="BX111" s="32" t="s">
        <v>249</v>
      </c>
      <c r="BY111" s="32" t="str">
        <f t="shared" ref="BY111:BZ111" si="186">""</f>
        <v/>
      </c>
      <c r="BZ111" s="32" t="str">
        <f t="shared" si="186"/>
        <v/>
      </c>
      <c r="CA111" s="33"/>
      <c r="CB111" s="96" t="str">
        <f>IF(J24="English","Big Hand",(IF(J24="Español","Apariencia Asquerosa",(IF(J24="Deutsch","Abstoßendes Aussehen",(IF(J24="Français","Bras supplémentaire")))))))</f>
        <v>Big Hand</v>
      </c>
      <c r="CC111" s="32" t="s">
        <v>251</v>
      </c>
      <c r="CD111" s="2"/>
      <c r="CE111" s="95"/>
      <c r="CF111" s="33"/>
      <c r="CG111" s="87" t="str">
        <f t="shared" si="116"/>
        <v/>
      </c>
      <c r="CH111" s="87" t="str">
        <f t="shared" si="117"/>
        <v/>
      </c>
      <c r="CI111" s="87" t="str">
        <f t="shared" si="118"/>
        <v>Thick Skull</v>
      </c>
      <c r="CJ111" s="87" t="str">
        <f t="shared" si="119"/>
        <v>Thick Skull</v>
      </c>
      <c r="CK111" s="87" t="str">
        <f t="shared" si="120"/>
        <v>Thick Skull</v>
      </c>
      <c r="CL111" s="87" t="str">
        <f t="shared" si="121"/>
        <v/>
      </c>
      <c r="CM111" s="87" t="str">
        <f t="shared" si="122"/>
        <v/>
      </c>
      <c r="CN111" s="87" t="str">
        <f t="shared" si="123"/>
        <v>Thick Skull</v>
      </c>
      <c r="CO111" s="87" t="str">
        <f t="shared" si="124"/>
        <v/>
      </c>
      <c r="CP111" s="87" t="str">
        <f t="shared" si="125"/>
        <v/>
      </c>
      <c r="CQ111" s="87" t="str">
        <f t="shared" si="126"/>
        <v/>
      </c>
      <c r="CR111" s="87" t="str">
        <f t="shared" si="127"/>
        <v/>
      </c>
      <c r="CS111" s="87" t="b">
        <f t="shared" si="128"/>
        <v>0</v>
      </c>
      <c r="CT111" s="87" t="b">
        <f t="shared" si="129"/>
        <v>0</v>
      </c>
      <c r="CU111" s="87" t="b">
        <f t="shared" si="130"/>
        <v>0</v>
      </c>
      <c r="CV111" s="87" t="b">
        <f t="shared" si="131"/>
        <v>0</v>
      </c>
      <c r="CW111" s="2"/>
      <c r="CX111" s="2"/>
      <c r="CY111" s="2"/>
      <c r="CZ111" s="32"/>
      <c r="DA111" s="2"/>
      <c r="DB111" s="2"/>
    </row>
    <row r="112" spans="1:106" ht="15" hidden="1" customHeight="1">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c r="AE112" s="32"/>
      <c r="AF112" s="32"/>
      <c r="AG112" s="32"/>
      <c r="AH112" s="32"/>
      <c r="AI112" s="32"/>
      <c r="AJ112" s="32"/>
      <c r="AK112" s="32"/>
      <c r="AL112" s="32"/>
      <c r="AM112" s="32"/>
      <c r="AN112" s="32"/>
      <c r="AO112" s="32"/>
      <c r="AP112" s="32"/>
      <c r="AQ112" s="32"/>
      <c r="AR112" s="31">
        <v>1430000</v>
      </c>
      <c r="AS112" s="31"/>
      <c r="AT112" s="31"/>
      <c r="AU112" s="31"/>
      <c r="AV112" s="31"/>
      <c r="AW112" s="31"/>
      <c r="AX112" s="32"/>
      <c r="AY112" s="32"/>
      <c r="AZ112" s="31">
        <v>460000</v>
      </c>
      <c r="BA112" s="32"/>
      <c r="BB112" s="32"/>
      <c r="BC112" s="32"/>
      <c r="BD112" s="32"/>
      <c r="BE112" s="32"/>
      <c r="BF112" s="2"/>
      <c r="BG112" s="2"/>
      <c r="BH112" s="2"/>
      <c r="BI112" s="2"/>
      <c r="BJ112" s="2"/>
      <c r="BK112" s="32"/>
      <c r="BL112" s="2"/>
      <c r="BM112" s="32"/>
      <c r="BN112" s="32"/>
      <c r="BO112" s="32"/>
      <c r="BP112" s="2"/>
      <c r="BQ112" s="2"/>
      <c r="BR112" s="2"/>
      <c r="BS112" s="96" t="str">
        <f>IF($J$24="English","Big Hand",(IF($J$24="Español","Apariencia Asquerosa",(IF($J$24="Deutsch","Abstoßendes Aussehen",(IF($J$24="Français","Bras supplémentaire")))))))</f>
        <v>Big Hand</v>
      </c>
      <c r="BT112" s="32" t="s">
        <v>251</v>
      </c>
      <c r="BU112" s="32" t="str">
        <f t="shared" ref="BU112:BZ112" si="187">""</f>
        <v/>
      </c>
      <c r="BV112" s="32" t="str">
        <f t="shared" si="187"/>
        <v/>
      </c>
      <c r="BW112" s="32" t="str">
        <f t="shared" si="187"/>
        <v/>
      </c>
      <c r="BX112" s="32" t="str">
        <f t="shared" si="187"/>
        <v/>
      </c>
      <c r="BY112" s="32" t="str">
        <f t="shared" si="187"/>
        <v/>
      </c>
      <c r="BZ112" s="32" t="str">
        <f t="shared" si="187"/>
        <v/>
      </c>
      <c r="CA112" s="33"/>
      <c r="CB112" s="96" t="str">
        <f>IF(J24="English","Claw / Claws",(IF(J24="Español","Boca Monstruosa",(IF(J24="Deutsch","Eisenharte Haut",(IF(J24="Français","Cornes")))))))</f>
        <v>Claw / Claws</v>
      </c>
      <c r="CC112" s="32" t="s">
        <v>251</v>
      </c>
      <c r="CD112" s="2"/>
      <c r="CE112" s="95"/>
      <c r="CF112" s="33"/>
      <c r="CG112" s="87" t="str">
        <f t="shared" si="116"/>
        <v/>
      </c>
      <c r="CH112" s="87" t="str">
        <f t="shared" si="117"/>
        <v/>
      </c>
      <c r="CI112" s="87" t="str">
        <f t="shared" si="118"/>
        <v/>
      </c>
      <c r="CJ112" s="87" t="str">
        <f t="shared" si="119"/>
        <v/>
      </c>
      <c r="CK112" s="87" t="str">
        <f t="shared" si="120"/>
        <v/>
      </c>
      <c r="CL112" s="87" t="str">
        <f t="shared" si="121"/>
        <v/>
      </c>
      <c r="CM112" s="87" t="str">
        <f t="shared" si="122"/>
        <v/>
      </c>
      <c r="CN112" s="87" t="str">
        <f t="shared" si="123"/>
        <v/>
      </c>
      <c r="CO112" s="87" t="str">
        <f t="shared" si="124"/>
        <v/>
      </c>
      <c r="CP112" s="87" t="str">
        <f t="shared" si="125"/>
        <v/>
      </c>
      <c r="CQ112" s="87" t="str">
        <f t="shared" si="126"/>
        <v/>
      </c>
      <c r="CR112" s="87" t="str">
        <f t="shared" si="127"/>
        <v/>
      </c>
      <c r="CS112" s="87" t="b">
        <f t="shared" si="128"/>
        <v>0</v>
      </c>
      <c r="CT112" s="87" t="b">
        <f t="shared" si="129"/>
        <v>0</v>
      </c>
      <c r="CU112" s="87" t="b">
        <f t="shared" si="130"/>
        <v>0</v>
      </c>
      <c r="CV112" s="87" t="b">
        <f t="shared" si="131"/>
        <v>0</v>
      </c>
      <c r="CW112" s="2"/>
      <c r="CX112" s="2"/>
      <c r="CY112" s="2"/>
      <c r="CZ112" s="32"/>
      <c r="DA112" s="2"/>
      <c r="DB112" s="2"/>
    </row>
    <row r="113" spans="1:106" ht="15" hidden="1" customHeight="1">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c r="AE113" s="32"/>
      <c r="AF113" s="32"/>
      <c r="AG113" s="32"/>
      <c r="AH113" s="32"/>
      <c r="AI113" s="32"/>
      <c r="AJ113" s="32"/>
      <c r="AK113" s="32"/>
      <c r="AL113" s="32"/>
      <c r="AM113" s="32"/>
      <c r="AN113" s="32"/>
      <c r="AO113" s="32"/>
      <c r="AP113" s="32"/>
      <c r="AQ113" s="32"/>
      <c r="AR113" s="31">
        <v>1440000</v>
      </c>
      <c r="AS113" s="31"/>
      <c r="AT113" s="31"/>
      <c r="AU113" s="31"/>
      <c r="AV113" s="31"/>
      <c r="AW113" s="31"/>
      <c r="AX113" s="32"/>
      <c r="AY113" s="32"/>
      <c r="AZ113" s="31">
        <v>470000</v>
      </c>
      <c r="BA113" s="32"/>
      <c r="BB113" s="32"/>
      <c r="BC113" s="32"/>
      <c r="BD113" s="32"/>
      <c r="BE113" s="32"/>
      <c r="BF113" s="2"/>
      <c r="BG113" s="2"/>
      <c r="BH113" s="2"/>
      <c r="BI113" s="2"/>
      <c r="BJ113" s="2"/>
      <c r="BK113" s="32"/>
      <c r="BL113" s="2"/>
      <c r="BM113" s="32"/>
      <c r="BN113" s="32"/>
      <c r="BO113" s="32"/>
      <c r="BP113" s="2"/>
      <c r="BQ113" s="2"/>
      <c r="BR113" s="2"/>
      <c r="BS113" s="96" t="str">
        <f>IF($J$24="English","Claw / Claws",(IF($J$24="Español","Boca Monstruosa",(IF($J$24="Deutsch","Eisenharte Haut",(IF($J$24="Français","Cornes")))))))</f>
        <v>Claw / Claws</v>
      </c>
      <c r="BT113" s="32" t="s">
        <v>251</v>
      </c>
      <c r="BU113" s="32" t="str">
        <f t="shared" ref="BU113:BZ113" si="188">""</f>
        <v/>
      </c>
      <c r="BV113" s="32" t="str">
        <f t="shared" si="188"/>
        <v/>
      </c>
      <c r="BW113" s="32" t="str">
        <f t="shared" si="188"/>
        <v/>
      </c>
      <c r="BX113" s="32" t="str">
        <f t="shared" si="188"/>
        <v/>
      </c>
      <c r="BY113" s="32" t="str">
        <f t="shared" si="188"/>
        <v/>
      </c>
      <c r="BZ113" s="32" t="str">
        <f t="shared" si="188"/>
        <v/>
      </c>
      <c r="CA113" s="33"/>
      <c r="CB113" s="96" t="str">
        <f>IF(J24="English","Disturbing Presence",(IF(J24="Español","Brazos Adicionales",(IF(J24="Deutsch","Große Hand",(IF(J24="Français","Deux tête")))))))</f>
        <v>Disturbing Presence</v>
      </c>
      <c r="CC113" s="32" t="s">
        <v>251</v>
      </c>
      <c r="CD113" s="2"/>
      <c r="CE113" s="95"/>
      <c r="CF113" s="33"/>
      <c r="CG113" s="87" t="str">
        <f t="shared" si="116"/>
        <v/>
      </c>
      <c r="CH113" s="87" t="str">
        <f t="shared" si="117"/>
        <v/>
      </c>
      <c r="CI113" s="87" t="str">
        <f t="shared" si="118"/>
        <v/>
      </c>
      <c r="CJ113" s="87" t="str">
        <f t="shared" si="119"/>
        <v/>
      </c>
      <c r="CK113" s="87" t="str">
        <f t="shared" si="120"/>
        <v/>
      </c>
      <c r="CL113" s="87" t="str">
        <f t="shared" si="121"/>
        <v/>
      </c>
      <c r="CM113" s="87" t="str">
        <f t="shared" si="122"/>
        <v/>
      </c>
      <c r="CN113" s="87" t="str">
        <f t="shared" si="123"/>
        <v/>
      </c>
      <c r="CO113" s="87" t="str">
        <f t="shared" si="124"/>
        <v/>
      </c>
      <c r="CP113" s="87" t="str">
        <f t="shared" si="125"/>
        <v/>
      </c>
      <c r="CQ113" s="87" t="str">
        <f t="shared" si="126"/>
        <v/>
      </c>
      <c r="CR113" s="87" t="str">
        <f t="shared" si="127"/>
        <v/>
      </c>
      <c r="CS113" s="87" t="b">
        <f t="shared" si="128"/>
        <v>0</v>
      </c>
      <c r="CT113" s="87" t="b">
        <f t="shared" si="129"/>
        <v>0</v>
      </c>
      <c r="CU113" s="87" t="b">
        <f t="shared" si="130"/>
        <v>0</v>
      </c>
      <c r="CV113" s="87" t="b">
        <f t="shared" si="131"/>
        <v>0</v>
      </c>
      <c r="CW113" s="2"/>
      <c r="CX113" s="2"/>
      <c r="CY113" s="2"/>
      <c r="CZ113" s="32"/>
      <c r="DA113" s="2"/>
      <c r="DB113" s="2"/>
    </row>
    <row r="114" spans="1:106" ht="15" hidden="1" customHeight="1">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c r="AG114" s="32"/>
      <c r="AH114" s="32"/>
      <c r="AI114" s="32"/>
      <c r="AJ114" s="32"/>
      <c r="AK114" s="32"/>
      <c r="AL114" s="32"/>
      <c r="AM114" s="32"/>
      <c r="AN114" s="32"/>
      <c r="AO114" s="32"/>
      <c r="AP114" s="32"/>
      <c r="AQ114" s="32"/>
      <c r="AR114" s="31">
        <v>1450000</v>
      </c>
      <c r="AS114" s="31"/>
      <c r="AT114" s="31"/>
      <c r="AU114" s="31"/>
      <c r="AV114" s="31"/>
      <c r="AW114" s="31"/>
      <c r="AX114" s="32"/>
      <c r="AY114" s="32"/>
      <c r="AZ114" s="31">
        <v>480000</v>
      </c>
      <c r="BA114" s="32"/>
      <c r="BB114" s="32"/>
      <c r="BC114" s="32"/>
      <c r="BD114" s="32"/>
      <c r="BE114" s="32"/>
      <c r="BF114" s="2"/>
      <c r="BG114" s="2"/>
      <c r="BH114" s="2"/>
      <c r="BI114" s="2"/>
      <c r="BJ114" s="2"/>
      <c r="BK114" s="32"/>
      <c r="BL114" s="2"/>
      <c r="BM114" s="32"/>
      <c r="BN114" s="32"/>
      <c r="BO114" s="32"/>
      <c r="BP114" s="2"/>
      <c r="BQ114" s="2"/>
      <c r="BR114" s="2"/>
      <c r="BS114" s="96" t="str">
        <f>IF($J$24="English","Disturbing Presence",(IF($J$24="Español","Brazos Adicionales",(IF($J$24="Deutsch","Große Hand",(IF($J$24="Français","Deux tête")))))))</f>
        <v>Disturbing Presence</v>
      </c>
      <c r="BT114" s="32" t="s">
        <v>251</v>
      </c>
      <c r="BU114" s="32" t="str">
        <f t="shared" ref="BU114:BZ114" si="189">""</f>
        <v/>
      </c>
      <c r="BV114" s="32" t="str">
        <f t="shared" si="189"/>
        <v/>
      </c>
      <c r="BW114" s="32" t="str">
        <f t="shared" si="189"/>
        <v/>
      </c>
      <c r="BX114" s="32" t="str">
        <f t="shared" si="189"/>
        <v/>
      </c>
      <c r="BY114" s="32" t="str">
        <f t="shared" si="189"/>
        <v/>
      </c>
      <c r="BZ114" s="32" t="str">
        <f t="shared" si="189"/>
        <v/>
      </c>
      <c r="CA114" s="33"/>
      <c r="CB114" s="96" t="str">
        <f>IF(J24="English","Extra Arms",(IF(J24="Español","Cola Prensil",(IF(J24="Deutsch","Hörner",(IF(J24="Français","Grande gueule")))))))</f>
        <v>Extra Arms</v>
      </c>
      <c r="CC114" s="32" t="s">
        <v>251</v>
      </c>
      <c r="CD114" s="2"/>
      <c r="CE114" s="95"/>
      <c r="CF114" s="33"/>
      <c r="CG114" s="87" t="str">
        <f t="shared" si="116"/>
        <v/>
      </c>
      <c r="CH114" s="87" t="str">
        <f t="shared" si="117"/>
        <v/>
      </c>
      <c r="CI114" s="87" t="str">
        <f t="shared" si="118"/>
        <v/>
      </c>
      <c r="CJ114" s="87" t="str">
        <f t="shared" si="119"/>
        <v/>
      </c>
      <c r="CK114" s="87" t="str">
        <f t="shared" si="120"/>
        <v/>
      </c>
      <c r="CL114" s="87" t="str">
        <f t="shared" si="121"/>
        <v/>
      </c>
      <c r="CM114" s="87" t="str">
        <f t="shared" si="122"/>
        <v/>
      </c>
      <c r="CN114" s="87" t="str">
        <f t="shared" si="123"/>
        <v/>
      </c>
      <c r="CO114" s="87" t="str">
        <f t="shared" si="124"/>
        <v/>
      </c>
      <c r="CP114" s="87" t="str">
        <f t="shared" si="125"/>
        <v/>
      </c>
      <c r="CQ114" s="87" t="str">
        <f t="shared" si="126"/>
        <v/>
      </c>
      <c r="CR114" s="87" t="str">
        <f t="shared" si="127"/>
        <v/>
      </c>
      <c r="CS114" s="87" t="b">
        <f t="shared" si="128"/>
        <v>0</v>
      </c>
      <c r="CT114" s="87" t="b">
        <f t="shared" si="129"/>
        <v>0</v>
      </c>
      <c r="CU114" s="87" t="b">
        <f t="shared" si="130"/>
        <v>0</v>
      </c>
      <c r="CV114" s="87" t="b">
        <f t="shared" si="131"/>
        <v>0</v>
      </c>
      <c r="CW114" s="2"/>
      <c r="CX114" s="2"/>
      <c r="CY114" s="2"/>
      <c r="CZ114" s="32"/>
      <c r="DA114" s="2"/>
      <c r="DB114" s="2"/>
    </row>
    <row r="115" spans="1:106" ht="15" hidden="1" customHeight="1">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c r="AE115" s="32"/>
      <c r="AF115" s="32"/>
      <c r="AG115" s="32"/>
      <c r="AH115" s="32"/>
      <c r="AI115" s="32"/>
      <c r="AJ115" s="32"/>
      <c r="AK115" s="32"/>
      <c r="AL115" s="32"/>
      <c r="AM115" s="32"/>
      <c r="AN115" s="32"/>
      <c r="AO115" s="32"/>
      <c r="AP115" s="32"/>
      <c r="AQ115" s="32"/>
      <c r="AR115" s="31">
        <v>1460000</v>
      </c>
      <c r="AS115" s="31"/>
      <c r="AT115" s="31"/>
      <c r="AU115" s="31"/>
      <c r="AV115" s="31"/>
      <c r="AW115" s="31"/>
      <c r="AX115" s="32"/>
      <c r="AY115" s="32"/>
      <c r="AZ115" s="31">
        <v>490000</v>
      </c>
      <c r="BA115" s="32"/>
      <c r="BB115" s="32"/>
      <c r="BC115" s="32"/>
      <c r="BD115" s="32"/>
      <c r="BE115" s="32"/>
      <c r="BF115" s="2"/>
      <c r="BG115" s="2"/>
      <c r="BH115" s="2"/>
      <c r="BI115" s="2"/>
      <c r="BJ115" s="2"/>
      <c r="BK115" s="32"/>
      <c r="BL115" s="2"/>
      <c r="BM115" s="32"/>
      <c r="BN115" s="32"/>
      <c r="BO115" s="32"/>
      <c r="BP115" s="2"/>
      <c r="BQ115" s="2"/>
      <c r="BR115" s="2"/>
      <c r="BS115" s="96" t="str">
        <f>IF($J$24="English","Extra Arms",(IF($J$24="Español","Cola Prensil",(IF($J$24="Deutsch","Hörner",(IF($J$24="Français","Grande gueule")))))))</f>
        <v>Extra Arms</v>
      </c>
      <c r="BT115" s="32" t="s">
        <v>251</v>
      </c>
      <c r="BU115" s="32" t="str">
        <f t="shared" ref="BU115:BZ115" si="190">""</f>
        <v/>
      </c>
      <c r="BV115" s="32" t="str">
        <f t="shared" si="190"/>
        <v/>
      </c>
      <c r="BW115" s="32" t="str">
        <f t="shared" si="190"/>
        <v/>
      </c>
      <c r="BX115" s="32" t="str">
        <f t="shared" si="190"/>
        <v/>
      </c>
      <c r="BY115" s="32" t="str">
        <f t="shared" si="190"/>
        <v/>
      </c>
      <c r="BZ115" s="32" t="str">
        <f t="shared" si="190"/>
        <v/>
      </c>
      <c r="CA115" s="33"/>
      <c r="CB115" s="96" t="str">
        <f>IF(J24="English","Foul Appearance",(IF(J24="Español","Cuernos",(IF(J24="Deutsch","Klammerschwanz",(IF(J24="Français","Griffes")))))))</f>
        <v>Foul Appearance</v>
      </c>
      <c r="CC115" s="32" t="s">
        <v>251</v>
      </c>
      <c r="CD115" s="2"/>
      <c r="CE115" s="95"/>
      <c r="CF115" s="33"/>
      <c r="CG115" s="87" t="str">
        <f t="shared" si="116"/>
        <v/>
      </c>
      <c r="CH115" s="87" t="str">
        <f t="shared" si="117"/>
        <v/>
      </c>
      <c r="CI115" s="87" t="str">
        <f t="shared" si="118"/>
        <v/>
      </c>
      <c r="CJ115" s="87" t="str">
        <f t="shared" si="119"/>
        <v/>
      </c>
      <c r="CK115" s="87" t="str">
        <f t="shared" si="120"/>
        <v/>
      </c>
      <c r="CL115" s="87" t="str">
        <f t="shared" si="121"/>
        <v/>
      </c>
      <c r="CM115" s="87" t="str">
        <f t="shared" si="122"/>
        <v/>
      </c>
      <c r="CN115" s="87" t="str">
        <f t="shared" si="123"/>
        <v/>
      </c>
      <c r="CO115" s="87" t="str">
        <f t="shared" si="124"/>
        <v/>
      </c>
      <c r="CP115" s="87" t="str">
        <f t="shared" si="125"/>
        <v/>
      </c>
      <c r="CQ115" s="87" t="str">
        <f t="shared" si="126"/>
        <v/>
      </c>
      <c r="CR115" s="87" t="str">
        <f t="shared" si="127"/>
        <v/>
      </c>
      <c r="CS115" s="87" t="b">
        <f t="shared" si="128"/>
        <v>0</v>
      </c>
      <c r="CT115" s="87" t="b">
        <f t="shared" si="129"/>
        <v>0</v>
      </c>
      <c r="CU115" s="87" t="b">
        <f t="shared" si="130"/>
        <v>0</v>
      </c>
      <c r="CV115" s="87" t="b">
        <f t="shared" si="131"/>
        <v>0</v>
      </c>
      <c r="CW115" s="2"/>
      <c r="CX115" s="2"/>
      <c r="CY115" s="2"/>
      <c r="CZ115" s="32"/>
      <c r="DA115" s="2"/>
      <c r="DB115" s="2"/>
    </row>
    <row r="116" spans="1:106" ht="15" hidden="1" customHeight="1">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c r="AE116" s="32"/>
      <c r="AF116" s="32"/>
      <c r="AG116" s="32"/>
      <c r="AH116" s="32"/>
      <c r="AI116" s="32"/>
      <c r="AJ116" s="32"/>
      <c r="AK116" s="32"/>
      <c r="AL116" s="32"/>
      <c r="AM116" s="32"/>
      <c r="AN116" s="32"/>
      <c r="AO116" s="32"/>
      <c r="AP116" s="32"/>
      <c r="AQ116" s="32"/>
      <c r="AR116" s="31">
        <v>1470000</v>
      </c>
      <c r="AS116" s="31"/>
      <c r="AT116" s="31"/>
      <c r="AU116" s="31"/>
      <c r="AV116" s="31"/>
      <c r="AW116" s="31"/>
      <c r="AX116" s="32"/>
      <c r="AY116" s="32"/>
      <c r="AZ116" s="31">
        <v>500000</v>
      </c>
      <c r="BA116" s="32"/>
      <c r="BB116" s="32"/>
      <c r="BC116" s="32"/>
      <c r="BD116" s="32"/>
      <c r="BE116" s="32"/>
      <c r="BF116" s="2"/>
      <c r="BG116" s="2"/>
      <c r="BH116" s="2"/>
      <c r="BI116" s="2"/>
      <c r="BJ116" s="2"/>
      <c r="BK116" s="32"/>
      <c r="BL116" s="2"/>
      <c r="BM116" s="32"/>
      <c r="BN116" s="32"/>
      <c r="BO116" s="32"/>
      <c r="BP116" s="2"/>
      <c r="BQ116" s="2"/>
      <c r="BR116" s="2"/>
      <c r="BS116" s="96" t="str">
        <f>IF($J$24="English","Foul Appearance",(IF($J$24="Español","Cuernos",(IF($J$24="Deutsch","Klammerschwanz",(IF($J$24="Français","Griffes")))))))</f>
        <v>Foul Appearance</v>
      </c>
      <c r="BT116" s="32" t="s">
        <v>251</v>
      </c>
      <c r="BU116" s="32" t="str">
        <f t="shared" ref="BU116:BZ116" si="191">""</f>
        <v/>
      </c>
      <c r="BV116" s="32" t="str">
        <f t="shared" si="191"/>
        <v/>
      </c>
      <c r="BW116" s="32" t="str">
        <f t="shared" si="191"/>
        <v/>
      </c>
      <c r="BX116" s="32" t="str">
        <f t="shared" si="191"/>
        <v/>
      </c>
      <c r="BY116" s="32" t="str">
        <f t="shared" si="191"/>
        <v/>
      </c>
      <c r="BZ116" s="32" t="str">
        <f t="shared" si="191"/>
        <v/>
      </c>
      <c r="CA116" s="33"/>
      <c r="CB116" s="96" t="str">
        <f>IF(J24="English","Horns",(IF(J24="Español","Dos Cabezas",(IF(J24="Deutsch","Klauen",(IF(J24="Français","Main démesurée")))))))</f>
        <v>Horns</v>
      </c>
      <c r="CC116" s="32" t="s">
        <v>251</v>
      </c>
      <c r="CD116" s="2"/>
      <c r="CE116" s="95"/>
      <c r="CF116" s="33"/>
      <c r="CG116" s="87" t="str">
        <f t="shared" si="116"/>
        <v/>
      </c>
      <c r="CH116" s="87" t="str">
        <f t="shared" si="117"/>
        <v/>
      </c>
      <c r="CI116" s="87" t="str">
        <f t="shared" si="118"/>
        <v/>
      </c>
      <c r="CJ116" s="87" t="str">
        <f t="shared" si="119"/>
        <v/>
      </c>
      <c r="CK116" s="87" t="str">
        <f t="shared" si="120"/>
        <v/>
      </c>
      <c r="CL116" s="87" t="str">
        <f t="shared" si="121"/>
        <v/>
      </c>
      <c r="CM116" s="87" t="str">
        <f t="shared" si="122"/>
        <v/>
      </c>
      <c r="CN116" s="87" t="str">
        <f t="shared" si="123"/>
        <v/>
      </c>
      <c r="CO116" s="87" t="str">
        <f t="shared" si="124"/>
        <v/>
      </c>
      <c r="CP116" s="87" t="str">
        <f t="shared" si="125"/>
        <v/>
      </c>
      <c r="CQ116" s="87" t="str">
        <f t="shared" si="126"/>
        <v/>
      </c>
      <c r="CR116" s="87" t="str">
        <f t="shared" si="127"/>
        <v/>
      </c>
      <c r="CS116" s="87" t="b">
        <f t="shared" si="128"/>
        <v>0</v>
      </c>
      <c r="CT116" s="87" t="b">
        <f t="shared" si="129"/>
        <v>0</v>
      </c>
      <c r="CU116" s="87" t="b">
        <f t="shared" si="130"/>
        <v>0</v>
      </c>
      <c r="CV116" s="87" t="b">
        <f t="shared" si="131"/>
        <v>0</v>
      </c>
      <c r="CW116" s="2"/>
      <c r="CX116" s="2"/>
      <c r="CY116" s="2"/>
      <c r="CZ116" s="32"/>
      <c r="DA116" s="2"/>
      <c r="DB116" s="2"/>
    </row>
    <row r="117" spans="1:106" ht="15" hidden="1" customHeight="1">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c r="AE117" s="32"/>
      <c r="AF117" s="32"/>
      <c r="AG117" s="32"/>
      <c r="AH117" s="32"/>
      <c r="AI117" s="32"/>
      <c r="AJ117" s="32"/>
      <c r="AK117" s="32"/>
      <c r="AL117" s="32"/>
      <c r="AM117" s="32"/>
      <c r="AN117" s="32"/>
      <c r="AO117" s="32"/>
      <c r="AP117" s="32"/>
      <c r="AQ117" s="32"/>
      <c r="AR117" s="31">
        <v>1480000</v>
      </c>
      <c r="AS117" s="31"/>
      <c r="AT117" s="31"/>
      <c r="AU117" s="31"/>
      <c r="AV117" s="31"/>
      <c r="AW117" s="31"/>
      <c r="AX117" s="32"/>
      <c r="AY117" s="32"/>
      <c r="AZ117" s="32"/>
      <c r="BA117" s="32"/>
      <c r="BB117" s="32"/>
      <c r="BC117" s="32"/>
      <c r="BD117" s="32"/>
      <c r="BE117" s="32"/>
      <c r="BF117" s="2"/>
      <c r="BG117" s="2"/>
      <c r="BH117" s="2"/>
      <c r="BI117" s="2"/>
      <c r="BJ117" s="2"/>
      <c r="BK117" s="32"/>
      <c r="BL117" s="2"/>
      <c r="BM117" s="32"/>
      <c r="BN117" s="32"/>
      <c r="BO117" s="32"/>
      <c r="BP117" s="2"/>
      <c r="BQ117" s="2"/>
      <c r="BR117" s="2"/>
      <c r="BS117" s="96" t="str">
        <f>IF($J$24="English","Horns",(IF($J$24="Español","Dos Cabezas",(IF($J$24="Deutsch","Klauen",(IF($J$24="Français","Main démesurée")))))))</f>
        <v>Horns</v>
      </c>
      <c r="BT117" s="32" t="s">
        <v>251</v>
      </c>
      <c r="BU117" s="32" t="str">
        <f t="shared" ref="BU117:BZ117" si="192">""</f>
        <v/>
      </c>
      <c r="BV117" s="32" t="str">
        <f t="shared" si="192"/>
        <v/>
      </c>
      <c r="BW117" s="32" t="str">
        <f t="shared" si="192"/>
        <v/>
      </c>
      <c r="BX117" s="32" t="str">
        <f t="shared" si="192"/>
        <v/>
      </c>
      <c r="BY117" s="32" t="str">
        <f t="shared" si="192"/>
        <v/>
      </c>
      <c r="BZ117" s="32" t="str">
        <f t="shared" si="192"/>
        <v/>
      </c>
      <c r="CA117" s="33"/>
      <c r="CB117" s="32" t="str">
        <f>IF(J24="English","Iron Hard Skin",(IF(J24="Español","Garra / Garras",(IF(J24="Deutsch","Monströses Maul",(IF(J24="Français","Queue préhensile")))))))</f>
        <v>Iron Hard Skin</v>
      </c>
      <c r="CC117" s="32" t="s">
        <v>251</v>
      </c>
      <c r="CD117" s="2"/>
      <c r="CE117" s="95"/>
      <c r="CF117" s="33"/>
      <c r="CG117" s="87" t="str">
        <f t="shared" si="116"/>
        <v/>
      </c>
      <c r="CH117" s="87" t="str">
        <f t="shared" si="117"/>
        <v/>
      </c>
      <c r="CI117" s="87" t="str">
        <f t="shared" si="118"/>
        <v/>
      </c>
      <c r="CJ117" s="87" t="str">
        <f t="shared" si="119"/>
        <v/>
      </c>
      <c r="CK117" s="87" t="str">
        <f t="shared" si="120"/>
        <v/>
      </c>
      <c r="CL117" s="87" t="str">
        <f t="shared" si="121"/>
        <v/>
      </c>
      <c r="CM117" s="87" t="str">
        <f t="shared" si="122"/>
        <v/>
      </c>
      <c r="CN117" s="87" t="str">
        <f t="shared" si="123"/>
        <v/>
      </c>
      <c r="CO117" s="87" t="str">
        <f t="shared" si="124"/>
        <v/>
      </c>
      <c r="CP117" s="87" t="str">
        <f t="shared" si="125"/>
        <v/>
      </c>
      <c r="CQ117" s="87" t="str">
        <f t="shared" si="126"/>
        <v/>
      </c>
      <c r="CR117" s="87" t="str">
        <f t="shared" si="127"/>
        <v/>
      </c>
      <c r="CS117" s="87" t="b">
        <f t="shared" si="128"/>
        <v>0</v>
      </c>
      <c r="CT117" s="87" t="b">
        <f t="shared" si="129"/>
        <v>0</v>
      </c>
      <c r="CU117" s="87" t="b">
        <f t="shared" si="130"/>
        <v>0</v>
      </c>
      <c r="CV117" s="87" t="b">
        <f t="shared" si="131"/>
        <v>0</v>
      </c>
      <c r="CW117" s="2"/>
      <c r="CX117" s="2"/>
      <c r="CY117" s="2"/>
      <c r="CZ117" s="32"/>
      <c r="DA117" s="2"/>
      <c r="DB117" s="2"/>
    </row>
    <row r="118" spans="1:106" ht="15" hidden="1" customHeight="1">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c r="AE118" s="32"/>
      <c r="AF118" s="32"/>
      <c r="AG118" s="32"/>
      <c r="AH118" s="32"/>
      <c r="AI118" s="32"/>
      <c r="AJ118" s="32"/>
      <c r="AK118" s="32"/>
      <c r="AL118" s="32"/>
      <c r="AM118" s="32"/>
      <c r="AN118" s="32"/>
      <c r="AO118" s="32"/>
      <c r="AP118" s="32"/>
      <c r="AQ118" s="32"/>
      <c r="AR118" s="31">
        <v>1490000</v>
      </c>
      <c r="AS118" s="31"/>
      <c r="AT118" s="31"/>
      <c r="AU118" s="31"/>
      <c r="AV118" s="31"/>
      <c r="AW118" s="31"/>
      <c r="AX118" s="32"/>
      <c r="AY118" s="32"/>
      <c r="AZ118" s="32"/>
      <c r="BA118" s="32"/>
      <c r="BB118" s="32"/>
      <c r="BC118" s="32"/>
      <c r="BD118" s="32"/>
      <c r="BE118" s="32"/>
      <c r="BF118" s="2"/>
      <c r="BG118" s="2"/>
      <c r="BH118" s="2"/>
      <c r="BI118" s="2"/>
      <c r="BJ118" s="2"/>
      <c r="BK118" s="32"/>
      <c r="BL118" s="2"/>
      <c r="BM118" s="32"/>
      <c r="BN118" s="32"/>
      <c r="BO118" s="32"/>
      <c r="BP118" s="2"/>
      <c r="BQ118" s="2"/>
      <c r="BR118" s="2"/>
      <c r="BS118" s="32" t="str">
        <f>IF($J$24="English","Iron Hard Skin",(IF($J$24="Español","Garra / Garras",(IF($J$24="Deutsch","Monströses Maul",(IF($J$24="Français","Queue préhensile")))))))</f>
        <v>Iron Hard Skin</v>
      </c>
      <c r="BT118" s="32" t="s">
        <v>251</v>
      </c>
      <c r="BU118" s="32" t="str">
        <f t="shared" ref="BU118:BZ118" si="193">""</f>
        <v/>
      </c>
      <c r="BV118" s="32" t="str">
        <f t="shared" si="193"/>
        <v/>
      </c>
      <c r="BW118" s="32" t="str">
        <f t="shared" si="193"/>
        <v/>
      </c>
      <c r="BX118" s="32" t="str">
        <f t="shared" si="193"/>
        <v/>
      </c>
      <c r="BY118" s="32" t="str">
        <f t="shared" si="193"/>
        <v/>
      </c>
      <c r="BZ118" s="32" t="str">
        <f t="shared" si="193"/>
        <v/>
      </c>
      <c r="CA118" s="33"/>
      <c r="CB118" s="32" t="str">
        <f>IF(J24="English","Monstrous Mouth",(IF(J24="Español","Mano Grande",(IF(J24="Deutsch","Sehr lange Beine",(IF(J24="Français","Peau de fer")))))))</f>
        <v>Monstrous Mouth</v>
      </c>
      <c r="CC118" s="32" t="s">
        <v>251</v>
      </c>
      <c r="CD118" s="2"/>
      <c r="CE118" s="95"/>
      <c r="CF118" s="33"/>
      <c r="CG118" s="87" t="str">
        <f t="shared" si="116"/>
        <v/>
      </c>
      <c r="CH118" s="87" t="str">
        <f t="shared" si="117"/>
        <v/>
      </c>
      <c r="CI118" s="87" t="str">
        <f t="shared" si="118"/>
        <v/>
      </c>
      <c r="CJ118" s="87" t="str">
        <f t="shared" si="119"/>
        <v/>
      </c>
      <c r="CK118" s="87" t="str">
        <f t="shared" si="120"/>
        <v/>
      </c>
      <c r="CL118" s="87" t="str">
        <f t="shared" si="121"/>
        <v/>
      </c>
      <c r="CM118" s="87" t="str">
        <f t="shared" si="122"/>
        <v/>
      </c>
      <c r="CN118" s="87" t="str">
        <f t="shared" si="123"/>
        <v/>
      </c>
      <c r="CO118" s="87" t="str">
        <f t="shared" si="124"/>
        <v/>
      </c>
      <c r="CP118" s="87" t="str">
        <f t="shared" si="125"/>
        <v/>
      </c>
      <c r="CQ118" s="87" t="str">
        <f t="shared" si="126"/>
        <v/>
      </c>
      <c r="CR118" s="87" t="str">
        <f t="shared" si="127"/>
        <v/>
      </c>
      <c r="CS118" s="87" t="b">
        <f t="shared" si="128"/>
        <v>0</v>
      </c>
      <c r="CT118" s="87" t="b">
        <f t="shared" si="129"/>
        <v>0</v>
      </c>
      <c r="CU118" s="87" t="b">
        <f t="shared" si="130"/>
        <v>0</v>
      </c>
      <c r="CV118" s="87" t="b">
        <f t="shared" si="131"/>
        <v>0</v>
      </c>
      <c r="CW118" s="2"/>
      <c r="CX118" s="2"/>
      <c r="CY118" s="2"/>
      <c r="CZ118" s="32"/>
      <c r="DA118" s="2"/>
      <c r="DB118" s="2"/>
    </row>
    <row r="119" spans="1:106" ht="15" hidden="1" customHeight="1">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c r="AE119" s="32"/>
      <c r="AF119" s="32"/>
      <c r="AG119" s="32"/>
      <c r="AH119" s="32"/>
      <c r="AI119" s="32"/>
      <c r="AJ119" s="32"/>
      <c r="AK119" s="32"/>
      <c r="AL119" s="32"/>
      <c r="AM119" s="32"/>
      <c r="AN119" s="32"/>
      <c r="AO119" s="32"/>
      <c r="AP119" s="32"/>
      <c r="AQ119" s="32"/>
      <c r="AR119" s="31">
        <v>1500000</v>
      </c>
      <c r="AS119" s="31"/>
      <c r="AT119" s="31"/>
      <c r="AU119" s="31"/>
      <c r="AV119" s="31"/>
      <c r="AW119" s="31"/>
      <c r="AX119" s="32"/>
      <c r="AY119" s="32"/>
      <c r="AZ119" s="32"/>
      <c r="BA119" s="32"/>
      <c r="BB119" s="32"/>
      <c r="BC119" s="32"/>
      <c r="BD119" s="32"/>
      <c r="BE119" s="32"/>
      <c r="BF119" s="2"/>
      <c r="BG119" s="2"/>
      <c r="BH119" s="2"/>
      <c r="BI119" s="2"/>
      <c r="BJ119" s="2"/>
      <c r="BK119" s="32"/>
      <c r="BL119" s="2"/>
      <c r="BM119" s="32"/>
      <c r="BN119" s="32"/>
      <c r="BO119" s="32"/>
      <c r="BP119" s="2"/>
      <c r="BQ119" s="2"/>
      <c r="BR119" s="2"/>
      <c r="BS119" s="32" t="str">
        <f>IF($J$24="English","Monstrous Mouth",(IF($J$24="Español","Mano Grande",(IF($J$24="Deutsch","Sehr lange Beine",(IF($J$24="Français","Peau de fer")))))))</f>
        <v>Monstrous Mouth</v>
      </c>
      <c r="BT119" s="32" t="s">
        <v>251</v>
      </c>
      <c r="BU119" s="32" t="str">
        <f t="shared" ref="BU119:BZ119" si="194">""</f>
        <v/>
      </c>
      <c r="BV119" s="32" t="str">
        <f t="shared" si="194"/>
        <v/>
      </c>
      <c r="BW119" s="32" t="str">
        <f t="shared" si="194"/>
        <v/>
      </c>
      <c r="BX119" s="32" t="str">
        <f t="shared" si="194"/>
        <v/>
      </c>
      <c r="BY119" s="32" t="str">
        <f t="shared" si="194"/>
        <v/>
      </c>
      <c r="BZ119" s="32" t="str">
        <f t="shared" si="194"/>
        <v/>
      </c>
      <c r="CA119" s="33"/>
      <c r="CB119" s="96" t="str">
        <f>IF(J24="English","Prehensile Tail",(IF(J24="Español","Piel Ferrea",(IF(J24="Deutsch","Tentakel",(IF(J24="Français","Présence perturbante")))))))</f>
        <v>Prehensile Tail</v>
      </c>
      <c r="CC119" s="32" t="s">
        <v>251</v>
      </c>
      <c r="CD119" s="2"/>
      <c r="CE119" s="95"/>
      <c r="CF119" s="33"/>
      <c r="CG119" s="87" t="str">
        <f t="shared" si="116"/>
        <v/>
      </c>
      <c r="CH119" s="87" t="str">
        <f t="shared" si="117"/>
        <v/>
      </c>
      <c r="CI119" s="87" t="str">
        <f t="shared" si="118"/>
        <v/>
      </c>
      <c r="CJ119" s="87" t="str">
        <f t="shared" si="119"/>
        <v/>
      </c>
      <c r="CK119" s="87" t="str">
        <f t="shared" si="120"/>
        <v/>
      </c>
      <c r="CL119" s="87" t="str">
        <f t="shared" si="121"/>
        <v/>
      </c>
      <c r="CM119" s="87" t="str">
        <f t="shared" si="122"/>
        <v/>
      </c>
      <c r="CN119" s="87" t="str">
        <f t="shared" si="123"/>
        <v/>
      </c>
      <c r="CO119" s="87" t="str">
        <f t="shared" si="124"/>
        <v/>
      </c>
      <c r="CP119" s="87" t="str">
        <f t="shared" si="125"/>
        <v/>
      </c>
      <c r="CQ119" s="87" t="str">
        <f t="shared" si="126"/>
        <v/>
      </c>
      <c r="CR119" s="87" t="str">
        <f t="shared" si="127"/>
        <v/>
      </c>
      <c r="CS119" s="87" t="b">
        <f t="shared" si="128"/>
        <v>0</v>
      </c>
      <c r="CT119" s="87" t="b">
        <f t="shared" si="129"/>
        <v>0</v>
      </c>
      <c r="CU119" s="87" t="b">
        <f t="shared" si="130"/>
        <v>0</v>
      </c>
      <c r="CV119" s="87" t="b">
        <f t="shared" si="131"/>
        <v>0</v>
      </c>
      <c r="CW119" s="2"/>
      <c r="CX119" s="2"/>
      <c r="CY119" s="2"/>
      <c r="CZ119" s="32"/>
      <c r="DA119" s="2"/>
      <c r="DB119" s="2"/>
    </row>
    <row r="120" spans="1:106" ht="15" hidden="1" customHeight="1">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c r="AE120" s="32"/>
      <c r="AF120" s="32"/>
      <c r="AG120" s="32"/>
      <c r="AH120" s="32"/>
      <c r="AI120" s="32"/>
      <c r="AJ120" s="32"/>
      <c r="AK120" s="32"/>
      <c r="AL120" s="32"/>
      <c r="AM120" s="32"/>
      <c r="AN120" s="32"/>
      <c r="AO120" s="32"/>
      <c r="AP120" s="32"/>
      <c r="AQ120" s="32"/>
      <c r="AR120" s="31">
        <v>1510000</v>
      </c>
      <c r="AS120" s="31"/>
      <c r="AT120" s="31"/>
      <c r="AU120" s="31"/>
      <c r="AV120" s="31"/>
      <c r="AW120" s="31"/>
      <c r="AX120" s="32"/>
      <c r="AY120" s="32"/>
      <c r="AZ120" s="32"/>
      <c r="BA120" s="32"/>
      <c r="BB120" s="32"/>
      <c r="BC120" s="32"/>
      <c r="BD120" s="32"/>
      <c r="BE120" s="32"/>
      <c r="BF120" s="2"/>
      <c r="BG120" s="2"/>
      <c r="BH120" s="2"/>
      <c r="BI120" s="2"/>
      <c r="BJ120" s="2"/>
      <c r="BK120" s="32"/>
      <c r="BL120" s="2"/>
      <c r="BM120" s="32"/>
      <c r="BN120" s="32"/>
      <c r="BO120" s="32"/>
      <c r="BP120" s="2"/>
      <c r="BQ120" s="2"/>
      <c r="BR120" s="2"/>
      <c r="BS120" s="96" t="str">
        <f>IF($J$24="English","Prehensile Tail",(IF($J$24="Español","Piel Ferrea",(IF($J$24="Deutsch","Tentakel",(IF($J$24="Français","Présence perturbante")))))))</f>
        <v>Prehensile Tail</v>
      </c>
      <c r="BT120" s="32" t="s">
        <v>251</v>
      </c>
      <c r="BU120" s="32" t="str">
        <f t="shared" ref="BU120:BZ120" si="195">""</f>
        <v/>
      </c>
      <c r="BV120" s="32" t="str">
        <f t="shared" si="195"/>
        <v/>
      </c>
      <c r="BW120" s="32" t="str">
        <f t="shared" si="195"/>
        <v/>
      </c>
      <c r="BX120" s="32" t="str">
        <f t="shared" si="195"/>
        <v/>
      </c>
      <c r="BY120" s="32" t="str">
        <f t="shared" si="195"/>
        <v/>
      </c>
      <c r="BZ120" s="32" t="str">
        <f t="shared" si="195"/>
        <v/>
      </c>
      <c r="CA120" s="33"/>
      <c r="CB120" s="96" t="str">
        <f>IF(J24="English","Tentacles",(IF(J24="Español","Piernas muy Largas",(IF(J24="Deutsch","Verstörende Präsenz",(IF(J24="Français","Répulsion")))))))</f>
        <v>Tentacles</v>
      </c>
      <c r="CC120" s="32" t="s">
        <v>251</v>
      </c>
      <c r="CD120" s="2"/>
      <c r="CE120" s="95"/>
      <c r="CF120" s="33"/>
      <c r="CG120" s="87" t="str">
        <f t="shared" si="116"/>
        <v/>
      </c>
      <c r="CH120" s="87" t="str">
        <f t="shared" si="117"/>
        <v/>
      </c>
      <c r="CI120" s="87" t="str">
        <f t="shared" si="118"/>
        <v/>
      </c>
      <c r="CJ120" s="87" t="str">
        <f t="shared" si="119"/>
        <v/>
      </c>
      <c r="CK120" s="87" t="str">
        <f t="shared" si="120"/>
        <v/>
      </c>
      <c r="CL120" s="87" t="str">
        <f t="shared" si="121"/>
        <v/>
      </c>
      <c r="CM120" s="87" t="str">
        <f t="shared" si="122"/>
        <v/>
      </c>
      <c r="CN120" s="87" t="str">
        <f t="shared" si="123"/>
        <v/>
      </c>
      <c r="CO120" s="87" t="str">
        <f t="shared" si="124"/>
        <v/>
      </c>
      <c r="CP120" s="87" t="str">
        <f t="shared" si="125"/>
        <v/>
      </c>
      <c r="CQ120" s="87" t="str">
        <f t="shared" si="126"/>
        <v/>
      </c>
      <c r="CR120" s="87" t="str">
        <f t="shared" si="127"/>
        <v/>
      </c>
      <c r="CS120" s="87" t="b">
        <f t="shared" si="128"/>
        <v>0</v>
      </c>
      <c r="CT120" s="87" t="b">
        <f t="shared" si="129"/>
        <v>0</v>
      </c>
      <c r="CU120" s="87" t="b">
        <f t="shared" si="130"/>
        <v>0</v>
      </c>
      <c r="CV120" s="87" t="b">
        <f t="shared" si="131"/>
        <v>0</v>
      </c>
      <c r="CW120" s="2"/>
      <c r="CX120" s="2"/>
      <c r="CY120" s="2"/>
      <c r="CZ120" s="32"/>
      <c r="DA120" s="2"/>
      <c r="DB120" s="2"/>
    </row>
    <row r="121" spans="1:106" ht="15" hidden="1" customHeight="1">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c r="AE121" s="32"/>
      <c r="AF121" s="32"/>
      <c r="AG121" s="32"/>
      <c r="AH121" s="32"/>
      <c r="AI121" s="32"/>
      <c r="AJ121" s="32"/>
      <c r="AK121" s="32"/>
      <c r="AL121" s="32"/>
      <c r="AM121" s="32"/>
      <c r="AN121" s="32"/>
      <c r="AO121" s="32"/>
      <c r="AP121" s="32"/>
      <c r="AQ121" s="32"/>
      <c r="AR121" s="31">
        <v>1520000</v>
      </c>
      <c r="AS121" s="31"/>
      <c r="AT121" s="31"/>
      <c r="AU121" s="31"/>
      <c r="AV121" s="31"/>
      <c r="AW121" s="31"/>
      <c r="AX121" s="32"/>
      <c r="AY121" s="32"/>
      <c r="AZ121" s="32"/>
      <c r="BA121" s="32"/>
      <c r="BB121" s="32"/>
      <c r="BC121" s="32"/>
      <c r="BD121" s="32"/>
      <c r="BE121" s="32"/>
      <c r="BF121" s="2"/>
      <c r="BG121" s="2"/>
      <c r="BH121" s="2"/>
      <c r="BI121" s="2"/>
      <c r="BJ121" s="2"/>
      <c r="BK121" s="32"/>
      <c r="BL121" s="2"/>
      <c r="BM121" s="32"/>
      <c r="BN121" s="32"/>
      <c r="BO121" s="32"/>
      <c r="BP121" s="2"/>
      <c r="BQ121" s="2"/>
      <c r="BR121" s="2"/>
      <c r="BS121" s="96" t="str">
        <f>IF($J$24="English","Tentacles",(IF($J$24="Español","Piernas muy Largas",(IF($J$24="Deutsch","Verstörende Präsenz",(IF($J$24="Français","Répulsion")))))))</f>
        <v>Tentacles</v>
      </c>
      <c r="BT121" s="32" t="s">
        <v>251</v>
      </c>
      <c r="BU121" s="32" t="str">
        <f t="shared" ref="BU121:BZ121" si="196">""</f>
        <v/>
      </c>
      <c r="BV121" s="32" t="str">
        <f t="shared" si="196"/>
        <v/>
      </c>
      <c r="BW121" s="32" t="str">
        <f t="shared" si="196"/>
        <v/>
      </c>
      <c r="BX121" s="32" t="str">
        <f t="shared" si="196"/>
        <v/>
      </c>
      <c r="BY121" s="32" t="str">
        <f t="shared" si="196"/>
        <v/>
      </c>
      <c r="BZ121" s="32" t="str">
        <f t="shared" si="196"/>
        <v/>
      </c>
      <c r="CA121" s="33"/>
      <c r="CB121" s="96" t="str">
        <f>IF(J24="English","Two Heads",(IF(J24="Español","Presencia Perturbadora",(IF(J24="Deutsch","Zwei Köpfe",(IF(J24="Français","Tentacule")))))))</f>
        <v>Two Heads</v>
      </c>
      <c r="CC121" s="32" t="s">
        <v>251</v>
      </c>
      <c r="CD121" s="2"/>
      <c r="CE121" s="95"/>
      <c r="CF121" s="33"/>
      <c r="CG121" s="87" t="str">
        <f t="shared" si="116"/>
        <v/>
      </c>
      <c r="CH121" s="87" t="str">
        <f t="shared" si="117"/>
        <v/>
      </c>
      <c r="CI121" s="87" t="str">
        <f t="shared" si="118"/>
        <v/>
      </c>
      <c r="CJ121" s="87" t="str">
        <f t="shared" si="119"/>
        <v/>
      </c>
      <c r="CK121" s="87" t="str">
        <f t="shared" si="120"/>
        <v/>
      </c>
      <c r="CL121" s="87" t="str">
        <f t="shared" si="121"/>
        <v/>
      </c>
      <c r="CM121" s="87" t="str">
        <f t="shared" si="122"/>
        <v/>
      </c>
      <c r="CN121" s="87" t="str">
        <f t="shared" si="123"/>
        <v/>
      </c>
      <c r="CO121" s="87" t="str">
        <f t="shared" si="124"/>
        <v/>
      </c>
      <c r="CP121" s="87" t="str">
        <f t="shared" si="125"/>
        <v/>
      </c>
      <c r="CQ121" s="87" t="str">
        <f t="shared" si="126"/>
        <v/>
      </c>
      <c r="CR121" s="87" t="str">
        <f t="shared" si="127"/>
        <v/>
      </c>
      <c r="CS121" s="87" t="b">
        <f t="shared" si="128"/>
        <v>0</v>
      </c>
      <c r="CT121" s="87" t="b">
        <f t="shared" si="129"/>
        <v>0</v>
      </c>
      <c r="CU121" s="87" t="b">
        <f t="shared" si="130"/>
        <v>0</v>
      </c>
      <c r="CV121" s="87" t="b">
        <f t="shared" si="131"/>
        <v>0</v>
      </c>
      <c r="CW121" s="2"/>
      <c r="CX121" s="2"/>
      <c r="CY121" s="2"/>
      <c r="CZ121" s="32"/>
      <c r="DA121" s="2"/>
      <c r="DB121" s="2"/>
    </row>
    <row r="122" spans="1:106" ht="15" hidden="1" customHeight="1">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c r="AE122" s="32"/>
      <c r="AF122" s="32"/>
      <c r="AG122" s="32"/>
      <c r="AH122" s="32"/>
      <c r="AI122" s="32"/>
      <c r="AJ122" s="32"/>
      <c r="AK122" s="32"/>
      <c r="AL122" s="32"/>
      <c r="AM122" s="32"/>
      <c r="AN122" s="32"/>
      <c r="AO122" s="32"/>
      <c r="AP122" s="32"/>
      <c r="AQ122" s="32"/>
      <c r="AR122" s="31">
        <v>1530000</v>
      </c>
      <c r="AS122" s="31"/>
      <c r="AT122" s="31"/>
      <c r="AU122" s="31"/>
      <c r="AV122" s="31"/>
      <c r="AW122" s="31"/>
      <c r="AX122" s="32"/>
      <c r="AY122" s="32"/>
      <c r="AZ122" s="32"/>
      <c r="BA122" s="32"/>
      <c r="BB122" s="32"/>
      <c r="BC122" s="32"/>
      <c r="BD122" s="32"/>
      <c r="BE122" s="32"/>
      <c r="BF122" s="2"/>
      <c r="BG122" s="2"/>
      <c r="BH122" s="2"/>
      <c r="BI122" s="2"/>
      <c r="BJ122" s="2"/>
      <c r="BK122" s="32"/>
      <c r="BL122" s="2"/>
      <c r="BM122" s="32"/>
      <c r="BN122" s="32"/>
      <c r="BO122" s="32"/>
      <c r="BP122" s="2"/>
      <c r="BQ122" s="2"/>
      <c r="BR122" s="2"/>
      <c r="BS122" s="96" t="str">
        <f>IF($J$24="English","Two Heads",(IF($J$24="Español","Presencia Perturbadora",(IF($J$24="Deutsch","Zwei Köpfe",(IF($J$24="Français","Tentacule")))))))</f>
        <v>Two Heads</v>
      </c>
      <c r="BT122" s="32" t="s">
        <v>251</v>
      </c>
      <c r="BU122" s="32" t="str">
        <f t="shared" ref="BU122:BZ122" si="197">""</f>
        <v/>
      </c>
      <c r="BV122" s="32" t="str">
        <f t="shared" si="197"/>
        <v/>
      </c>
      <c r="BW122" s="32" t="str">
        <f t="shared" si="197"/>
        <v/>
      </c>
      <c r="BX122" s="32" t="str">
        <f t="shared" si="197"/>
        <v/>
      </c>
      <c r="BY122" s="32" t="str">
        <f t="shared" si="197"/>
        <v/>
      </c>
      <c r="BZ122" s="32" t="str">
        <f t="shared" si="197"/>
        <v/>
      </c>
      <c r="CA122" s="33"/>
      <c r="CB122" s="96" t="str">
        <f>IF(J24="English","Very Long Legs",(IF(J24="Español","Tentáculos",(IF(J24="Deutsch","Zusätzliche Arme",(IF(J24="Français","Très longues jambes")))))))</f>
        <v>Very Long Legs</v>
      </c>
      <c r="CC122" s="32" t="s">
        <v>251</v>
      </c>
      <c r="CD122" s="2"/>
      <c r="CE122" s="95"/>
      <c r="CF122" s="33"/>
      <c r="CG122" s="87" t="str">
        <f t="shared" si="116"/>
        <v/>
      </c>
      <c r="CH122" s="87" t="str">
        <f t="shared" si="117"/>
        <v/>
      </c>
      <c r="CI122" s="87" t="str">
        <f t="shared" si="118"/>
        <v/>
      </c>
      <c r="CJ122" s="87" t="str">
        <f t="shared" si="119"/>
        <v/>
      </c>
      <c r="CK122" s="87" t="str">
        <f t="shared" si="120"/>
        <v/>
      </c>
      <c r="CL122" s="87" t="str">
        <f t="shared" si="121"/>
        <v/>
      </c>
      <c r="CM122" s="87" t="str">
        <f t="shared" si="122"/>
        <v/>
      </c>
      <c r="CN122" s="87" t="str">
        <f t="shared" si="123"/>
        <v/>
      </c>
      <c r="CO122" s="87" t="str">
        <f t="shared" si="124"/>
        <v/>
      </c>
      <c r="CP122" s="87" t="str">
        <f t="shared" si="125"/>
        <v/>
      </c>
      <c r="CQ122" s="87" t="str">
        <f t="shared" si="126"/>
        <v/>
      </c>
      <c r="CR122" s="87" t="str">
        <f t="shared" si="127"/>
        <v/>
      </c>
      <c r="CS122" s="87" t="b">
        <f t="shared" si="128"/>
        <v>0</v>
      </c>
      <c r="CT122" s="87" t="b">
        <f t="shared" si="129"/>
        <v>0</v>
      </c>
      <c r="CU122" s="87" t="b">
        <f t="shared" si="130"/>
        <v>0</v>
      </c>
      <c r="CV122" s="87" t="b">
        <f t="shared" si="131"/>
        <v>0</v>
      </c>
      <c r="CW122" s="2"/>
      <c r="CX122" s="2"/>
      <c r="CY122" s="2"/>
      <c r="CZ122" s="32"/>
      <c r="DA122" s="2"/>
      <c r="DB122" s="2"/>
    </row>
    <row r="123" spans="1:106" ht="15" hidden="1" customHeight="1">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c r="AE123" s="32"/>
      <c r="AF123" s="32"/>
      <c r="AG123" s="32"/>
      <c r="AH123" s="32"/>
      <c r="AI123" s="32"/>
      <c r="AJ123" s="32"/>
      <c r="AK123" s="32"/>
      <c r="AL123" s="32"/>
      <c r="AM123" s="32"/>
      <c r="AN123" s="32"/>
      <c r="AO123" s="32"/>
      <c r="AP123" s="32"/>
      <c r="AQ123" s="32"/>
      <c r="AR123" s="31">
        <v>1540000</v>
      </c>
      <c r="AS123" s="31"/>
      <c r="AT123" s="31"/>
      <c r="AU123" s="31"/>
      <c r="AV123" s="31"/>
      <c r="AW123" s="31"/>
      <c r="AX123" s="32"/>
      <c r="AY123" s="32"/>
      <c r="AZ123" s="32"/>
      <c r="BA123" s="32"/>
      <c r="BB123" s="32"/>
      <c r="BC123" s="32"/>
      <c r="BD123" s="32"/>
      <c r="BE123" s="32"/>
      <c r="BF123" s="2"/>
      <c r="BG123" s="2"/>
      <c r="BH123" s="2"/>
      <c r="BI123" s="2"/>
      <c r="BJ123" s="2"/>
      <c r="BK123" s="32"/>
      <c r="BL123" s="2"/>
      <c r="BM123" s="32"/>
      <c r="BN123" s="32"/>
      <c r="BO123" s="32"/>
      <c r="BP123" s="2"/>
      <c r="BQ123" s="2"/>
      <c r="BR123" s="2"/>
      <c r="BS123" s="96" t="str">
        <f>IF($J$24="English","Very Long Legs",(IF($J$24="Español","Tentáculos",(IF($J$24="Deutsch","Zusätzliche Arme",(IF($J$24="Français","Très longues jambes")))))))</f>
        <v>Very Long Legs</v>
      </c>
      <c r="BT123" s="32" t="s">
        <v>251</v>
      </c>
      <c r="BU123" s="32" t="str">
        <f t="shared" ref="BU123:BZ123" si="198">""</f>
        <v/>
      </c>
      <c r="BV123" s="32" t="str">
        <f t="shared" si="198"/>
        <v/>
      </c>
      <c r="BW123" s="32" t="str">
        <f t="shared" si="198"/>
        <v/>
      </c>
      <c r="BX123" s="32" t="str">
        <f t="shared" si="198"/>
        <v/>
      </c>
      <c r="BY123" s="32" t="str">
        <f t="shared" si="198"/>
        <v/>
      </c>
      <c r="BZ123" s="32" t="str">
        <f t="shared" si="198"/>
        <v/>
      </c>
      <c r="CA123" s="33"/>
      <c r="CB123" s="32"/>
      <c r="CC123" s="32"/>
      <c r="CD123" s="32"/>
      <c r="CE123" s="32"/>
      <c r="CF123" s="33"/>
      <c r="CG123" s="87" t="str">
        <f t="shared" si="116"/>
        <v/>
      </c>
      <c r="CH123" s="87" t="str">
        <f t="shared" si="117"/>
        <v/>
      </c>
      <c r="CI123" s="87" t="str">
        <f t="shared" si="118"/>
        <v/>
      </c>
      <c r="CJ123" s="87" t="str">
        <f t="shared" si="119"/>
        <v/>
      </c>
      <c r="CK123" s="87" t="str">
        <f t="shared" si="120"/>
        <v/>
      </c>
      <c r="CL123" s="87" t="str">
        <f t="shared" si="121"/>
        <v/>
      </c>
      <c r="CM123" s="87" t="str">
        <f t="shared" si="122"/>
        <v/>
      </c>
      <c r="CN123" s="87" t="str">
        <f t="shared" si="123"/>
        <v/>
      </c>
      <c r="CO123" s="87" t="str">
        <f t="shared" si="124"/>
        <v/>
      </c>
      <c r="CP123" s="87" t="str">
        <f t="shared" si="125"/>
        <v/>
      </c>
      <c r="CQ123" s="87" t="str">
        <f t="shared" si="126"/>
        <v/>
      </c>
      <c r="CR123" s="87" t="str">
        <f t="shared" si="127"/>
        <v/>
      </c>
      <c r="CS123" s="87" t="b">
        <f t="shared" si="128"/>
        <v>0</v>
      </c>
      <c r="CT123" s="87" t="b">
        <f t="shared" si="129"/>
        <v>0</v>
      </c>
      <c r="CU123" s="87" t="b">
        <f t="shared" si="130"/>
        <v>0</v>
      </c>
      <c r="CV123" s="87" t="b">
        <f t="shared" si="131"/>
        <v>0</v>
      </c>
      <c r="CW123" s="2"/>
      <c r="CX123" s="2"/>
      <c r="CY123" s="2"/>
      <c r="CZ123" s="32"/>
      <c r="DA123" s="2"/>
      <c r="DB123" s="2"/>
    </row>
    <row r="124" spans="1:106" ht="15" hidden="1" customHeight="1">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c r="AE124" s="32"/>
      <c r="AF124" s="32"/>
      <c r="AG124" s="32"/>
      <c r="AH124" s="32"/>
      <c r="AI124" s="32"/>
      <c r="AJ124" s="32"/>
      <c r="AK124" s="32"/>
      <c r="AL124" s="32"/>
      <c r="AM124" s="32"/>
      <c r="AN124" s="32"/>
      <c r="AO124" s="32"/>
      <c r="AP124" s="32"/>
      <c r="AQ124" s="32"/>
      <c r="AR124" s="31">
        <v>1550000</v>
      </c>
      <c r="AS124" s="31"/>
      <c r="AT124" s="31"/>
      <c r="AU124" s="31"/>
      <c r="AV124" s="31"/>
      <c r="AW124" s="31"/>
      <c r="AX124" s="32"/>
      <c r="AY124" s="32"/>
      <c r="AZ124" s="32"/>
      <c r="BA124" s="32"/>
      <c r="BB124" s="32"/>
      <c r="BC124" s="32"/>
      <c r="BD124" s="32"/>
      <c r="BE124" s="32"/>
      <c r="BF124" s="2"/>
      <c r="BG124" s="2"/>
      <c r="BH124" s="2"/>
      <c r="BI124" s="2"/>
      <c r="BJ124" s="2"/>
      <c r="BK124" s="32"/>
      <c r="BL124" s="2"/>
      <c r="BM124" s="32"/>
      <c r="BN124" s="32"/>
      <c r="BO124" s="32"/>
      <c r="BP124" s="2"/>
      <c r="BQ124" s="2"/>
      <c r="BR124" s="2"/>
      <c r="BS124" s="32" t="str">
        <f t="shared" ref="BS124:BZ124" si="199">""</f>
        <v/>
      </c>
      <c r="BT124" s="32" t="str">
        <f t="shared" si="199"/>
        <v/>
      </c>
      <c r="BU124" s="32" t="str">
        <f t="shared" si="199"/>
        <v/>
      </c>
      <c r="BV124" s="32" t="str">
        <f t="shared" si="199"/>
        <v/>
      </c>
      <c r="BW124" s="32" t="str">
        <f t="shared" si="199"/>
        <v/>
      </c>
      <c r="BX124" s="32" t="str">
        <f t="shared" si="199"/>
        <v/>
      </c>
      <c r="BY124" s="32" t="str">
        <f t="shared" si="199"/>
        <v/>
      </c>
      <c r="BZ124" s="32" t="str">
        <f t="shared" si="199"/>
        <v/>
      </c>
      <c r="CA124" s="47"/>
      <c r="CB124" s="31"/>
      <c r="CC124" s="31"/>
      <c r="CD124" s="32"/>
      <c r="CE124" s="32"/>
      <c r="CF124" s="33"/>
      <c r="CG124" s="87" t="str">
        <f t="shared" si="116"/>
        <v/>
      </c>
      <c r="CH124" s="87" t="str">
        <f t="shared" si="117"/>
        <v/>
      </c>
      <c r="CI124" s="87" t="str">
        <f t="shared" si="118"/>
        <v/>
      </c>
      <c r="CJ124" s="87" t="str">
        <f t="shared" si="119"/>
        <v/>
      </c>
      <c r="CK124" s="87" t="str">
        <f t="shared" si="120"/>
        <v/>
      </c>
      <c r="CL124" s="87" t="str">
        <f t="shared" si="121"/>
        <v/>
      </c>
      <c r="CM124" s="87" t="str">
        <f t="shared" si="122"/>
        <v/>
      </c>
      <c r="CN124" s="87" t="str">
        <f t="shared" si="123"/>
        <v/>
      </c>
      <c r="CO124" s="87" t="str">
        <f t="shared" si="124"/>
        <v/>
      </c>
      <c r="CP124" s="87" t="str">
        <f t="shared" si="125"/>
        <v/>
      </c>
      <c r="CQ124" s="87" t="str">
        <f t="shared" si="126"/>
        <v/>
      </c>
      <c r="CR124" s="87" t="str">
        <f t="shared" si="127"/>
        <v/>
      </c>
      <c r="CS124" s="87" t="b">
        <f t="shared" si="128"/>
        <v>0</v>
      </c>
      <c r="CT124" s="87" t="b">
        <f t="shared" si="129"/>
        <v>0</v>
      </c>
      <c r="CU124" s="87" t="b">
        <f t="shared" si="130"/>
        <v>0</v>
      </c>
      <c r="CV124" s="32"/>
      <c r="CW124" s="32" t="str">
        <f t="shared" ref="CW124:CW141" si="200">IFERROR((IF($CO$55="M",BW124,IF($CO$55="PM",BY124,IF($CO$55="P",BU124,IF($CO$55="FULL",BS124))))),"")</f>
        <v/>
      </c>
      <c r="CX124" s="32"/>
      <c r="CY124" s="32" t="str">
        <f t="shared" ref="CY124:CY141" si="201">IFERROR((IF($CP$55="M",BW124,IF($CP$55="PM",BY124,IF($CP$55="P",BU124,IF($CP$55="FULL",BS124))))),"")</f>
        <v/>
      </c>
      <c r="CZ124" s="32"/>
      <c r="DA124" s="32" t="str">
        <f t="shared" ref="DA124:DA141" si="202">IFERROR((IF($CQ$55="M",BW124,IF($CQ$55="PM",BY124,IF($CQ$55="P",BU124,IF($CQ$55="FULL",BS124))))),"")</f>
        <v/>
      </c>
      <c r="DB124" s="32"/>
    </row>
    <row r="125" spans="1:106" ht="15" hidden="1" customHeight="1">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c r="AE125" s="32"/>
      <c r="AF125" s="32"/>
      <c r="AG125" s="32"/>
      <c r="AH125" s="32"/>
      <c r="AI125" s="32"/>
      <c r="AJ125" s="32"/>
      <c r="AK125" s="32"/>
      <c r="AL125" s="32"/>
      <c r="AM125" s="32"/>
      <c r="AN125" s="32"/>
      <c r="AO125" s="32"/>
      <c r="AP125" s="32"/>
      <c r="AQ125" s="32"/>
      <c r="AR125" s="31">
        <v>1560000</v>
      </c>
      <c r="AS125" s="31"/>
      <c r="AT125" s="31"/>
      <c r="AU125" s="31"/>
      <c r="AV125" s="31"/>
      <c r="AW125" s="31"/>
      <c r="AX125" s="32"/>
      <c r="AY125" s="32"/>
      <c r="AZ125" s="32"/>
      <c r="BA125" s="32"/>
      <c r="BB125" s="32"/>
      <c r="BC125" s="32"/>
      <c r="BD125" s="32"/>
      <c r="BE125" s="32"/>
      <c r="BF125" s="2"/>
      <c r="BG125" s="2"/>
      <c r="BH125" s="2"/>
      <c r="BI125" s="2"/>
      <c r="BJ125" s="2"/>
      <c r="BK125" s="32"/>
      <c r="BL125" s="2"/>
      <c r="BM125" s="32"/>
      <c r="BN125" s="32"/>
      <c r="BO125" s="32"/>
      <c r="BP125" s="2"/>
      <c r="BQ125" s="2"/>
      <c r="BR125" s="2"/>
      <c r="BS125" s="32" t="str">
        <f t="shared" ref="BS125:BZ125" si="203">""</f>
        <v/>
      </c>
      <c r="BT125" s="32" t="str">
        <f t="shared" si="203"/>
        <v/>
      </c>
      <c r="BU125" s="32" t="str">
        <f t="shared" si="203"/>
        <v/>
      </c>
      <c r="BV125" s="32" t="str">
        <f t="shared" si="203"/>
        <v/>
      </c>
      <c r="BW125" s="32" t="str">
        <f t="shared" si="203"/>
        <v/>
      </c>
      <c r="BX125" s="32" t="str">
        <f t="shared" si="203"/>
        <v/>
      </c>
      <c r="BY125" s="32" t="str">
        <f t="shared" si="203"/>
        <v/>
      </c>
      <c r="BZ125" s="32" t="str">
        <f t="shared" si="203"/>
        <v/>
      </c>
      <c r="CA125" s="47"/>
      <c r="CB125" s="31"/>
      <c r="CC125" s="31"/>
      <c r="CD125" s="32"/>
      <c r="CE125" s="32"/>
      <c r="CF125" s="33"/>
      <c r="CG125" s="87" t="str">
        <f t="shared" si="116"/>
        <v/>
      </c>
      <c r="CH125" s="87" t="str">
        <f t="shared" si="117"/>
        <v/>
      </c>
      <c r="CI125" s="87" t="str">
        <f t="shared" si="118"/>
        <v/>
      </c>
      <c r="CJ125" s="87" t="str">
        <f t="shared" si="119"/>
        <v/>
      </c>
      <c r="CK125" s="87" t="str">
        <f t="shared" si="120"/>
        <v/>
      </c>
      <c r="CL125" s="87" t="str">
        <f t="shared" si="121"/>
        <v/>
      </c>
      <c r="CM125" s="87" t="str">
        <f t="shared" si="122"/>
        <v/>
      </c>
      <c r="CN125" s="87" t="str">
        <f t="shared" si="123"/>
        <v/>
      </c>
      <c r="CO125" s="87" t="str">
        <f t="shared" si="124"/>
        <v/>
      </c>
      <c r="CP125" s="87" t="str">
        <f t="shared" si="125"/>
        <v/>
      </c>
      <c r="CQ125" s="87" t="str">
        <f t="shared" si="126"/>
        <v/>
      </c>
      <c r="CR125" s="87" t="str">
        <f t="shared" si="127"/>
        <v/>
      </c>
      <c r="CS125" s="87" t="b">
        <f t="shared" si="128"/>
        <v>0</v>
      </c>
      <c r="CT125" s="87" t="b">
        <f t="shared" si="129"/>
        <v>0</v>
      </c>
      <c r="CU125" s="87" t="b">
        <f t="shared" si="130"/>
        <v>0</v>
      </c>
      <c r="CV125" s="32"/>
      <c r="CW125" s="32" t="str">
        <f t="shared" si="200"/>
        <v/>
      </c>
      <c r="CX125" s="32"/>
      <c r="CY125" s="32" t="str">
        <f t="shared" si="201"/>
        <v/>
      </c>
      <c r="CZ125" s="32"/>
      <c r="DA125" s="32" t="str">
        <f t="shared" si="202"/>
        <v/>
      </c>
      <c r="DB125" s="32"/>
    </row>
    <row r="126" spans="1:106" ht="15" hidden="1" customHeight="1">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c r="AE126" s="32"/>
      <c r="AF126" s="32"/>
      <c r="AG126" s="32"/>
      <c r="AH126" s="32"/>
      <c r="AI126" s="32"/>
      <c r="AJ126" s="32"/>
      <c r="AK126" s="32"/>
      <c r="AL126" s="32"/>
      <c r="AM126" s="32"/>
      <c r="AN126" s="32"/>
      <c r="AO126" s="32"/>
      <c r="AP126" s="32"/>
      <c r="AQ126" s="32"/>
      <c r="AR126" s="31">
        <v>1570000</v>
      </c>
      <c r="AS126" s="31"/>
      <c r="AT126" s="31"/>
      <c r="AU126" s="31"/>
      <c r="AV126" s="31"/>
      <c r="AW126" s="31"/>
      <c r="AX126" s="32"/>
      <c r="AY126" s="32"/>
      <c r="AZ126" s="32"/>
      <c r="BA126" s="32"/>
      <c r="BB126" s="32"/>
      <c r="BC126" s="32"/>
      <c r="BD126" s="32"/>
      <c r="BE126" s="32"/>
      <c r="BF126" s="2"/>
      <c r="BG126" s="2"/>
      <c r="BH126" s="2"/>
      <c r="BI126" s="2"/>
      <c r="BJ126" s="2"/>
      <c r="BK126" s="32"/>
      <c r="BL126" s="2"/>
      <c r="BM126" s="32"/>
      <c r="BN126" s="32"/>
      <c r="BO126" s="32"/>
      <c r="BP126" s="2"/>
      <c r="BQ126" s="2"/>
      <c r="BR126" s="2"/>
      <c r="BS126" s="32" t="str">
        <f t="shared" ref="BS126:BZ126" si="204">""</f>
        <v/>
      </c>
      <c r="BT126" s="32" t="str">
        <f t="shared" si="204"/>
        <v/>
      </c>
      <c r="BU126" s="32" t="str">
        <f t="shared" si="204"/>
        <v/>
      </c>
      <c r="BV126" s="32" t="str">
        <f t="shared" si="204"/>
        <v/>
      </c>
      <c r="BW126" s="32" t="str">
        <f t="shared" si="204"/>
        <v/>
      </c>
      <c r="BX126" s="32" t="str">
        <f t="shared" si="204"/>
        <v/>
      </c>
      <c r="BY126" s="32" t="str">
        <f t="shared" si="204"/>
        <v/>
      </c>
      <c r="BZ126" s="32" t="str">
        <f t="shared" si="204"/>
        <v/>
      </c>
      <c r="CA126" s="47"/>
      <c r="CB126" s="31"/>
      <c r="CC126" s="31"/>
      <c r="CD126" s="32"/>
      <c r="CE126" s="32"/>
      <c r="CF126" s="33"/>
      <c r="CG126" s="87" t="str">
        <f t="shared" si="116"/>
        <v/>
      </c>
      <c r="CH126" s="87" t="str">
        <f t="shared" si="117"/>
        <v/>
      </c>
      <c r="CI126" s="87" t="str">
        <f t="shared" si="118"/>
        <v/>
      </c>
      <c r="CJ126" s="87" t="str">
        <f t="shared" si="119"/>
        <v/>
      </c>
      <c r="CK126" s="87" t="str">
        <f t="shared" si="120"/>
        <v/>
      </c>
      <c r="CL126" s="87" t="str">
        <f t="shared" si="121"/>
        <v/>
      </c>
      <c r="CM126" s="87" t="str">
        <f t="shared" si="122"/>
        <v/>
      </c>
      <c r="CN126" s="87" t="str">
        <f t="shared" si="123"/>
        <v/>
      </c>
      <c r="CO126" s="87" t="str">
        <f t="shared" si="124"/>
        <v/>
      </c>
      <c r="CP126" s="87" t="str">
        <f t="shared" si="125"/>
        <v/>
      </c>
      <c r="CQ126" s="87" t="str">
        <f t="shared" si="126"/>
        <v/>
      </c>
      <c r="CR126" s="87" t="str">
        <f t="shared" si="127"/>
        <v/>
      </c>
      <c r="CS126" s="87" t="b">
        <f t="shared" si="128"/>
        <v>0</v>
      </c>
      <c r="CT126" s="87" t="b">
        <f t="shared" si="129"/>
        <v>0</v>
      </c>
      <c r="CU126" s="87" t="b">
        <f t="shared" si="130"/>
        <v>0</v>
      </c>
      <c r="CV126" s="32"/>
      <c r="CW126" s="32" t="str">
        <f t="shared" si="200"/>
        <v/>
      </c>
      <c r="CX126" s="32"/>
      <c r="CY126" s="32" t="str">
        <f t="shared" si="201"/>
        <v/>
      </c>
      <c r="CZ126" s="32"/>
      <c r="DA126" s="32" t="str">
        <f t="shared" si="202"/>
        <v/>
      </c>
      <c r="DB126" s="32"/>
    </row>
    <row r="127" spans="1:106" ht="15" hidden="1" customHeight="1">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c r="AE127" s="32"/>
      <c r="AF127" s="32"/>
      <c r="AG127" s="32"/>
      <c r="AH127" s="32"/>
      <c r="AI127" s="32"/>
      <c r="AJ127" s="32"/>
      <c r="AK127" s="32"/>
      <c r="AL127" s="32"/>
      <c r="AM127" s="32"/>
      <c r="AN127" s="32"/>
      <c r="AO127" s="32"/>
      <c r="AP127" s="32"/>
      <c r="AQ127" s="32"/>
      <c r="AR127" s="31">
        <v>1580000</v>
      </c>
      <c r="AS127" s="31"/>
      <c r="AT127" s="31"/>
      <c r="AU127" s="31"/>
      <c r="AV127" s="31"/>
      <c r="AW127" s="31"/>
      <c r="AX127" s="32"/>
      <c r="AY127" s="32"/>
      <c r="AZ127" s="32"/>
      <c r="BA127" s="32"/>
      <c r="BB127" s="32"/>
      <c r="BC127" s="32"/>
      <c r="BD127" s="32"/>
      <c r="BE127" s="32"/>
      <c r="BF127" s="2"/>
      <c r="BG127" s="2"/>
      <c r="BH127" s="2"/>
      <c r="BI127" s="2"/>
      <c r="BJ127" s="2"/>
      <c r="BK127" s="32"/>
      <c r="BL127" s="2"/>
      <c r="BM127" s="32"/>
      <c r="BN127" s="32"/>
      <c r="BO127" s="32"/>
      <c r="BP127" s="2"/>
      <c r="BQ127" s="2"/>
      <c r="BR127" s="2"/>
      <c r="BS127" s="32" t="str">
        <f t="shared" ref="BS127:BZ127" si="205">""</f>
        <v/>
      </c>
      <c r="BT127" s="32" t="str">
        <f t="shared" si="205"/>
        <v/>
      </c>
      <c r="BU127" s="32" t="str">
        <f t="shared" si="205"/>
        <v/>
      </c>
      <c r="BV127" s="32" t="str">
        <f t="shared" si="205"/>
        <v/>
      </c>
      <c r="BW127" s="32" t="str">
        <f t="shared" si="205"/>
        <v/>
      </c>
      <c r="BX127" s="32" t="str">
        <f t="shared" si="205"/>
        <v/>
      </c>
      <c r="BY127" s="32" t="str">
        <f t="shared" si="205"/>
        <v/>
      </c>
      <c r="BZ127" s="32" t="str">
        <f t="shared" si="205"/>
        <v/>
      </c>
      <c r="CA127" s="47"/>
      <c r="CB127" s="31"/>
      <c r="CC127" s="31"/>
      <c r="CD127" s="32"/>
      <c r="CE127" s="32"/>
      <c r="CF127" s="33"/>
      <c r="CG127" s="87" t="str">
        <f t="shared" si="116"/>
        <v/>
      </c>
      <c r="CH127" s="87" t="str">
        <f t="shared" si="117"/>
        <v/>
      </c>
      <c r="CI127" s="87" t="str">
        <f t="shared" si="118"/>
        <v/>
      </c>
      <c r="CJ127" s="87" t="str">
        <f t="shared" si="119"/>
        <v/>
      </c>
      <c r="CK127" s="87" t="str">
        <f t="shared" si="120"/>
        <v/>
      </c>
      <c r="CL127" s="87" t="str">
        <f t="shared" si="121"/>
        <v/>
      </c>
      <c r="CM127" s="87" t="str">
        <f t="shared" si="122"/>
        <v/>
      </c>
      <c r="CN127" s="87" t="str">
        <f t="shared" si="123"/>
        <v/>
      </c>
      <c r="CO127" s="87" t="str">
        <f t="shared" si="124"/>
        <v/>
      </c>
      <c r="CP127" s="87" t="str">
        <f t="shared" si="125"/>
        <v/>
      </c>
      <c r="CQ127" s="87" t="str">
        <f t="shared" si="126"/>
        <v/>
      </c>
      <c r="CR127" s="87" t="str">
        <f t="shared" si="127"/>
        <v/>
      </c>
      <c r="CS127" s="87" t="b">
        <f t="shared" si="128"/>
        <v>0</v>
      </c>
      <c r="CT127" s="87" t="b">
        <f t="shared" si="129"/>
        <v>0</v>
      </c>
      <c r="CU127" s="87" t="b">
        <f t="shared" si="130"/>
        <v>0</v>
      </c>
      <c r="CV127" s="32"/>
      <c r="CW127" s="32" t="str">
        <f t="shared" si="200"/>
        <v/>
      </c>
      <c r="CX127" s="32"/>
      <c r="CY127" s="32" t="str">
        <f t="shared" si="201"/>
        <v/>
      </c>
      <c r="CZ127" s="32"/>
      <c r="DA127" s="32" t="str">
        <f t="shared" si="202"/>
        <v/>
      </c>
      <c r="DB127" s="32"/>
    </row>
    <row r="128" spans="1:106" ht="15" hidden="1" customHeight="1">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c r="AE128" s="32"/>
      <c r="AF128" s="32"/>
      <c r="AG128" s="32"/>
      <c r="AH128" s="32"/>
      <c r="AI128" s="32"/>
      <c r="AJ128" s="32"/>
      <c r="AK128" s="32"/>
      <c r="AL128" s="32"/>
      <c r="AM128" s="32"/>
      <c r="AN128" s="32"/>
      <c r="AO128" s="32"/>
      <c r="AP128" s="32"/>
      <c r="AQ128" s="32"/>
      <c r="AR128" s="31">
        <v>1590000</v>
      </c>
      <c r="AS128" s="31"/>
      <c r="AT128" s="31"/>
      <c r="AU128" s="31"/>
      <c r="AV128" s="31"/>
      <c r="AW128" s="31"/>
      <c r="AX128" s="32"/>
      <c r="AY128" s="32"/>
      <c r="AZ128" s="32"/>
      <c r="BA128" s="32"/>
      <c r="BB128" s="32"/>
      <c r="BC128" s="32"/>
      <c r="BD128" s="32"/>
      <c r="BE128" s="32"/>
      <c r="BF128" s="2"/>
      <c r="BG128" s="2"/>
      <c r="BH128" s="2"/>
      <c r="BI128" s="2"/>
      <c r="BJ128" s="2"/>
      <c r="BK128" s="32"/>
      <c r="BL128" s="2"/>
      <c r="BM128" s="32"/>
      <c r="BN128" s="32"/>
      <c r="BO128" s="32"/>
      <c r="BP128" s="2"/>
      <c r="BQ128" s="2"/>
      <c r="BR128" s="2"/>
      <c r="BS128" s="32" t="str">
        <f t="shared" ref="BS128:BZ128" si="206">""</f>
        <v/>
      </c>
      <c r="BT128" s="32" t="str">
        <f t="shared" si="206"/>
        <v/>
      </c>
      <c r="BU128" s="32" t="str">
        <f t="shared" si="206"/>
        <v/>
      </c>
      <c r="BV128" s="32" t="str">
        <f t="shared" si="206"/>
        <v/>
      </c>
      <c r="BW128" s="32" t="str">
        <f t="shared" si="206"/>
        <v/>
      </c>
      <c r="BX128" s="32" t="str">
        <f t="shared" si="206"/>
        <v/>
      </c>
      <c r="BY128" s="32" t="str">
        <f t="shared" si="206"/>
        <v/>
      </c>
      <c r="BZ128" s="32" t="str">
        <f t="shared" si="206"/>
        <v/>
      </c>
      <c r="CA128" s="33"/>
      <c r="CB128" s="32"/>
      <c r="CC128" s="32"/>
      <c r="CD128" s="32"/>
      <c r="CE128" s="32"/>
      <c r="CF128" s="33"/>
      <c r="CG128" s="87" t="str">
        <f t="shared" si="116"/>
        <v/>
      </c>
      <c r="CH128" s="87" t="str">
        <f t="shared" si="117"/>
        <v/>
      </c>
      <c r="CI128" s="87" t="str">
        <f t="shared" si="118"/>
        <v/>
      </c>
      <c r="CJ128" s="87" t="str">
        <f t="shared" si="119"/>
        <v/>
      </c>
      <c r="CK128" s="87" t="str">
        <f t="shared" si="120"/>
        <v/>
      </c>
      <c r="CL128" s="87" t="str">
        <f t="shared" si="121"/>
        <v/>
      </c>
      <c r="CM128" s="87" t="str">
        <f t="shared" si="122"/>
        <v/>
      </c>
      <c r="CN128" s="87" t="str">
        <f t="shared" si="123"/>
        <v/>
      </c>
      <c r="CO128" s="87" t="str">
        <f t="shared" si="124"/>
        <v/>
      </c>
      <c r="CP128" s="87" t="str">
        <f t="shared" si="125"/>
        <v/>
      </c>
      <c r="CQ128" s="87" t="str">
        <f t="shared" si="126"/>
        <v/>
      </c>
      <c r="CR128" s="87" t="str">
        <f t="shared" si="127"/>
        <v/>
      </c>
      <c r="CS128" s="87" t="b">
        <f t="shared" si="128"/>
        <v>0</v>
      </c>
      <c r="CT128" s="87" t="b">
        <f t="shared" si="129"/>
        <v>0</v>
      </c>
      <c r="CU128" s="87" t="b">
        <f t="shared" si="130"/>
        <v>0</v>
      </c>
      <c r="CV128" s="32"/>
      <c r="CW128" s="32" t="str">
        <f t="shared" si="200"/>
        <v/>
      </c>
      <c r="CX128" s="32"/>
      <c r="CY128" s="32" t="str">
        <f t="shared" si="201"/>
        <v/>
      </c>
      <c r="CZ128" s="32"/>
      <c r="DA128" s="32" t="str">
        <f t="shared" si="202"/>
        <v/>
      </c>
      <c r="DB128" s="32"/>
    </row>
    <row r="129" spans="1:106" ht="15" hidden="1" customHeight="1">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c r="AE129" s="32"/>
      <c r="AF129" s="32"/>
      <c r="AG129" s="32"/>
      <c r="AH129" s="32"/>
      <c r="AI129" s="32"/>
      <c r="AJ129" s="32"/>
      <c r="AK129" s="32"/>
      <c r="AL129" s="32"/>
      <c r="AM129" s="32"/>
      <c r="AN129" s="32"/>
      <c r="AO129" s="32"/>
      <c r="AP129" s="32"/>
      <c r="AQ129" s="32"/>
      <c r="AR129" s="31">
        <v>1600000</v>
      </c>
      <c r="AS129" s="31"/>
      <c r="AT129" s="31"/>
      <c r="AU129" s="31"/>
      <c r="AV129" s="31"/>
      <c r="AW129" s="31"/>
      <c r="AX129" s="32"/>
      <c r="AY129" s="32"/>
      <c r="AZ129" s="32"/>
      <c r="BA129" s="32"/>
      <c r="BB129" s="32"/>
      <c r="BC129" s="32"/>
      <c r="BD129" s="32"/>
      <c r="BE129" s="32"/>
      <c r="BF129" s="2"/>
      <c r="BG129" s="2"/>
      <c r="BH129" s="2"/>
      <c r="BI129" s="2"/>
      <c r="BJ129" s="2"/>
      <c r="BK129" s="32"/>
      <c r="BL129" s="2"/>
      <c r="BM129" s="32"/>
      <c r="BN129" s="32"/>
      <c r="BO129" s="32"/>
      <c r="BP129" s="2"/>
      <c r="BQ129" s="2"/>
      <c r="BR129" s="2"/>
      <c r="BS129" s="32" t="str">
        <f t="shared" ref="BS129:BZ129" si="207">""</f>
        <v/>
      </c>
      <c r="BT129" s="32" t="str">
        <f t="shared" si="207"/>
        <v/>
      </c>
      <c r="BU129" s="32" t="str">
        <f t="shared" si="207"/>
        <v/>
      </c>
      <c r="BV129" s="32" t="str">
        <f t="shared" si="207"/>
        <v/>
      </c>
      <c r="BW129" s="32" t="str">
        <f t="shared" si="207"/>
        <v/>
      </c>
      <c r="BX129" s="32" t="str">
        <f t="shared" si="207"/>
        <v/>
      </c>
      <c r="BY129" s="32" t="str">
        <f t="shared" si="207"/>
        <v/>
      </c>
      <c r="BZ129" s="32" t="str">
        <f t="shared" si="207"/>
        <v/>
      </c>
      <c r="CA129" s="33"/>
      <c r="CB129" s="32"/>
      <c r="CC129" s="32"/>
      <c r="CD129" s="32"/>
      <c r="CE129" s="32"/>
      <c r="CF129" s="33"/>
      <c r="CG129" s="87" t="str">
        <f t="shared" si="116"/>
        <v/>
      </c>
      <c r="CH129" s="87" t="str">
        <f t="shared" si="117"/>
        <v/>
      </c>
      <c r="CI129" s="87" t="str">
        <f t="shared" si="118"/>
        <v/>
      </c>
      <c r="CJ129" s="87" t="str">
        <f t="shared" si="119"/>
        <v/>
      </c>
      <c r="CK129" s="87" t="str">
        <f t="shared" si="120"/>
        <v/>
      </c>
      <c r="CL129" s="87" t="str">
        <f t="shared" si="121"/>
        <v/>
      </c>
      <c r="CM129" s="87" t="str">
        <f t="shared" si="122"/>
        <v/>
      </c>
      <c r="CN129" s="87" t="str">
        <f t="shared" si="123"/>
        <v/>
      </c>
      <c r="CO129" s="87" t="str">
        <f t="shared" si="124"/>
        <v/>
      </c>
      <c r="CP129" s="87" t="str">
        <f t="shared" si="125"/>
        <v/>
      </c>
      <c r="CQ129" s="87" t="str">
        <f t="shared" si="126"/>
        <v/>
      </c>
      <c r="CR129" s="87" t="str">
        <f t="shared" si="127"/>
        <v/>
      </c>
      <c r="CS129" s="87" t="b">
        <f t="shared" si="128"/>
        <v>0</v>
      </c>
      <c r="CT129" s="87" t="b">
        <f t="shared" si="129"/>
        <v>0</v>
      </c>
      <c r="CU129" s="87" t="b">
        <f t="shared" si="130"/>
        <v>0</v>
      </c>
      <c r="CV129" s="32"/>
      <c r="CW129" s="32" t="str">
        <f t="shared" si="200"/>
        <v/>
      </c>
      <c r="CX129" s="32"/>
      <c r="CY129" s="32" t="str">
        <f t="shared" si="201"/>
        <v/>
      </c>
      <c r="CZ129" s="32"/>
      <c r="DA129" s="32" t="str">
        <f t="shared" si="202"/>
        <v/>
      </c>
      <c r="DB129" s="32"/>
    </row>
    <row r="130" spans="1:106" ht="15" hidden="1" customHeight="1">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c r="AE130" s="32"/>
      <c r="AF130" s="32"/>
      <c r="AG130" s="32"/>
      <c r="AH130" s="32"/>
      <c r="AI130" s="32"/>
      <c r="AJ130" s="32"/>
      <c r="AK130" s="32"/>
      <c r="AL130" s="32"/>
      <c r="AM130" s="32"/>
      <c r="AN130" s="32"/>
      <c r="AO130" s="32"/>
      <c r="AP130" s="32"/>
      <c r="AQ130" s="32"/>
      <c r="AR130" s="31">
        <v>1610000</v>
      </c>
      <c r="AS130" s="31"/>
      <c r="AT130" s="31"/>
      <c r="AU130" s="31"/>
      <c r="AV130" s="31"/>
      <c r="AW130" s="31"/>
      <c r="AX130" s="32"/>
      <c r="AY130" s="32"/>
      <c r="AZ130" s="32"/>
      <c r="BA130" s="32"/>
      <c r="BB130" s="32"/>
      <c r="BC130" s="32"/>
      <c r="BD130" s="32"/>
      <c r="BE130" s="32"/>
      <c r="BF130" s="2"/>
      <c r="BG130" s="2"/>
      <c r="BH130" s="2"/>
      <c r="BI130" s="2"/>
      <c r="BJ130" s="2"/>
      <c r="BK130" s="32"/>
      <c r="BL130" s="2"/>
      <c r="BM130" s="32"/>
      <c r="BN130" s="32"/>
      <c r="BO130" s="32"/>
      <c r="BP130" s="2"/>
      <c r="BQ130" s="2"/>
      <c r="BR130" s="2"/>
      <c r="BS130" s="32" t="str">
        <f t="shared" ref="BS130:BZ130" si="208">""</f>
        <v/>
      </c>
      <c r="BT130" s="32" t="str">
        <f t="shared" si="208"/>
        <v/>
      </c>
      <c r="BU130" s="32" t="str">
        <f t="shared" si="208"/>
        <v/>
      </c>
      <c r="BV130" s="32" t="str">
        <f t="shared" si="208"/>
        <v/>
      </c>
      <c r="BW130" s="32" t="str">
        <f t="shared" si="208"/>
        <v/>
      </c>
      <c r="BX130" s="32" t="str">
        <f t="shared" si="208"/>
        <v/>
      </c>
      <c r="BY130" s="32" t="str">
        <f t="shared" si="208"/>
        <v/>
      </c>
      <c r="BZ130" s="32" t="str">
        <f t="shared" si="208"/>
        <v/>
      </c>
      <c r="CA130" s="33"/>
      <c r="CB130" s="32"/>
      <c r="CC130" s="32"/>
      <c r="CD130" s="32"/>
      <c r="CE130" s="32"/>
      <c r="CF130" s="33"/>
      <c r="CG130" s="87" t="str">
        <f t="shared" si="116"/>
        <v/>
      </c>
      <c r="CH130" s="87" t="str">
        <f t="shared" si="117"/>
        <v/>
      </c>
      <c r="CI130" s="87" t="str">
        <f t="shared" si="118"/>
        <v/>
      </c>
      <c r="CJ130" s="87" t="str">
        <f t="shared" si="119"/>
        <v/>
      </c>
      <c r="CK130" s="87" t="str">
        <f t="shared" si="120"/>
        <v/>
      </c>
      <c r="CL130" s="87" t="str">
        <f t="shared" si="121"/>
        <v/>
      </c>
      <c r="CM130" s="87" t="str">
        <f t="shared" si="122"/>
        <v/>
      </c>
      <c r="CN130" s="87" t="str">
        <f t="shared" si="123"/>
        <v/>
      </c>
      <c r="CO130" s="87" t="str">
        <f t="shared" si="124"/>
        <v/>
      </c>
      <c r="CP130" s="87" t="str">
        <f t="shared" si="125"/>
        <v/>
      </c>
      <c r="CQ130" s="87" t="str">
        <f t="shared" si="126"/>
        <v/>
      </c>
      <c r="CR130" s="87" t="str">
        <f t="shared" si="127"/>
        <v/>
      </c>
      <c r="CS130" s="87" t="b">
        <f t="shared" si="128"/>
        <v>0</v>
      </c>
      <c r="CT130" s="87" t="b">
        <f t="shared" si="129"/>
        <v>0</v>
      </c>
      <c r="CU130" s="87" t="b">
        <f t="shared" si="130"/>
        <v>0</v>
      </c>
      <c r="CV130" s="32"/>
      <c r="CW130" s="32" t="str">
        <f t="shared" si="200"/>
        <v/>
      </c>
      <c r="CX130" s="32"/>
      <c r="CY130" s="32" t="str">
        <f t="shared" si="201"/>
        <v/>
      </c>
      <c r="CZ130" s="32"/>
      <c r="DA130" s="32" t="str">
        <f t="shared" si="202"/>
        <v/>
      </c>
      <c r="DB130" s="32"/>
    </row>
    <row r="131" spans="1:106" ht="15" hidden="1" customHeight="1">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c r="AE131" s="32"/>
      <c r="AF131" s="32"/>
      <c r="AG131" s="32"/>
      <c r="AH131" s="32"/>
      <c r="AI131" s="32"/>
      <c r="AJ131" s="32"/>
      <c r="AK131" s="32"/>
      <c r="AL131" s="32"/>
      <c r="AM131" s="32"/>
      <c r="AN131" s="32"/>
      <c r="AO131" s="32"/>
      <c r="AP131" s="32"/>
      <c r="AQ131" s="32"/>
      <c r="AR131" s="31">
        <v>1620000</v>
      </c>
      <c r="AS131" s="31"/>
      <c r="AT131" s="31"/>
      <c r="AU131" s="31"/>
      <c r="AV131" s="31"/>
      <c r="AW131" s="31"/>
      <c r="AX131" s="32"/>
      <c r="AY131" s="32"/>
      <c r="AZ131" s="32"/>
      <c r="BA131" s="32"/>
      <c r="BB131" s="32"/>
      <c r="BC131" s="32"/>
      <c r="BD131" s="32"/>
      <c r="BE131" s="32"/>
      <c r="BF131" s="2"/>
      <c r="BG131" s="2"/>
      <c r="BH131" s="2"/>
      <c r="BI131" s="2"/>
      <c r="BJ131" s="2"/>
      <c r="BK131" s="32"/>
      <c r="BL131" s="2"/>
      <c r="BM131" s="32"/>
      <c r="BN131" s="32"/>
      <c r="BO131" s="32"/>
      <c r="BP131" s="2"/>
      <c r="BQ131" s="2"/>
      <c r="BR131" s="2"/>
      <c r="BS131" s="32" t="str">
        <f t="shared" ref="BS131:BZ131" si="209">""</f>
        <v/>
      </c>
      <c r="BT131" s="32" t="str">
        <f t="shared" si="209"/>
        <v/>
      </c>
      <c r="BU131" s="32" t="str">
        <f t="shared" si="209"/>
        <v/>
      </c>
      <c r="BV131" s="32" t="str">
        <f t="shared" si="209"/>
        <v/>
      </c>
      <c r="BW131" s="32" t="str">
        <f t="shared" si="209"/>
        <v/>
      </c>
      <c r="BX131" s="32" t="str">
        <f t="shared" si="209"/>
        <v/>
      </c>
      <c r="BY131" s="32" t="str">
        <f t="shared" si="209"/>
        <v/>
      </c>
      <c r="BZ131" s="32" t="str">
        <f t="shared" si="209"/>
        <v/>
      </c>
      <c r="CA131" s="47"/>
      <c r="CB131" s="31"/>
      <c r="CC131" s="31"/>
      <c r="CD131" s="32"/>
      <c r="CE131" s="32"/>
      <c r="CF131" s="33"/>
      <c r="CG131" s="87" t="str">
        <f t="shared" si="116"/>
        <v/>
      </c>
      <c r="CH131" s="87" t="str">
        <f t="shared" si="117"/>
        <v/>
      </c>
      <c r="CI131" s="87" t="str">
        <f t="shared" si="118"/>
        <v/>
      </c>
      <c r="CJ131" s="87" t="str">
        <f t="shared" si="119"/>
        <v/>
      </c>
      <c r="CK131" s="87" t="str">
        <f t="shared" si="120"/>
        <v/>
      </c>
      <c r="CL131" s="87" t="str">
        <f t="shared" si="121"/>
        <v/>
      </c>
      <c r="CM131" s="87" t="str">
        <f t="shared" si="122"/>
        <v/>
      </c>
      <c r="CN131" s="87" t="str">
        <f t="shared" si="123"/>
        <v/>
      </c>
      <c r="CO131" s="87" t="str">
        <f t="shared" si="124"/>
        <v/>
      </c>
      <c r="CP131" s="87" t="str">
        <f t="shared" si="125"/>
        <v/>
      </c>
      <c r="CQ131" s="87" t="str">
        <f t="shared" si="126"/>
        <v/>
      </c>
      <c r="CR131" s="87" t="str">
        <f t="shared" si="127"/>
        <v/>
      </c>
      <c r="CS131" s="87" t="b">
        <f t="shared" si="128"/>
        <v>0</v>
      </c>
      <c r="CT131" s="87" t="b">
        <f t="shared" si="129"/>
        <v>0</v>
      </c>
      <c r="CU131" s="87" t="b">
        <f t="shared" si="130"/>
        <v>0</v>
      </c>
      <c r="CV131" s="32"/>
      <c r="CW131" s="32" t="str">
        <f t="shared" si="200"/>
        <v/>
      </c>
      <c r="CX131" s="32"/>
      <c r="CY131" s="32" t="str">
        <f t="shared" si="201"/>
        <v/>
      </c>
      <c r="CZ131" s="32"/>
      <c r="DA131" s="32" t="str">
        <f t="shared" si="202"/>
        <v/>
      </c>
      <c r="DB131" s="32"/>
    </row>
    <row r="132" spans="1:106" ht="15" hidden="1" customHeight="1">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c r="AE132" s="32"/>
      <c r="AF132" s="32"/>
      <c r="AG132" s="32"/>
      <c r="AH132" s="32"/>
      <c r="AI132" s="32"/>
      <c r="AJ132" s="32"/>
      <c r="AK132" s="32"/>
      <c r="AL132" s="32"/>
      <c r="AM132" s="32"/>
      <c r="AN132" s="32"/>
      <c r="AO132" s="32"/>
      <c r="AP132" s="32"/>
      <c r="AQ132" s="32"/>
      <c r="AR132" s="31">
        <v>1630000</v>
      </c>
      <c r="AS132" s="31"/>
      <c r="AT132" s="31"/>
      <c r="AU132" s="31"/>
      <c r="AV132" s="31"/>
      <c r="AW132" s="31"/>
      <c r="AX132" s="32"/>
      <c r="AY132" s="32"/>
      <c r="AZ132" s="32"/>
      <c r="BA132" s="32"/>
      <c r="BB132" s="32"/>
      <c r="BC132" s="32"/>
      <c r="BD132" s="32"/>
      <c r="BE132" s="32"/>
      <c r="BF132" s="2"/>
      <c r="BG132" s="2"/>
      <c r="BH132" s="2"/>
      <c r="BI132" s="2"/>
      <c r="BJ132" s="2"/>
      <c r="BK132" s="32"/>
      <c r="BL132" s="32"/>
      <c r="BM132" s="32"/>
      <c r="BN132" s="32"/>
      <c r="BO132" s="32"/>
      <c r="BP132" s="2"/>
      <c r="BQ132" s="2"/>
      <c r="BR132" s="2"/>
      <c r="BS132" s="32" t="str">
        <f t="shared" ref="BS132:BZ132" si="210">""</f>
        <v/>
      </c>
      <c r="BT132" s="32" t="str">
        <f t="shared" si="210"/>
        <v/>
      </c>
      <c r="BU132" s="32" t="str">
        <f t="shared" si="210"/>
        <v/>
      </c>
      <c r="BV132" s="32" t="str">
        <f t="shared" si="210"/>
        <v/>
      </c>
      <c r="BW132" s="32" t="str">
        <f t="shared" si="210"/>
        <v/>
      </c>
      <c r="BX132" s="32" t="str">
        <f t="shared" si="210"/>
        <v/>
      </c>
      <c r="BY132" s="32" t="str">
        <f t="shared" si="210"/>
        <v/>
      </c>
      <c r="BZ132" s="32" t="str">
        <f t="shared" si="210"/>
        <v/>
      </c>
      <c r="CA132" s="33"/>
      <c r="CB132" s="32"/>
      <c r="CC132" s="32"/>
      <c r="CD132" s="32"/>
      <c r="CE132" s="31"/>
      <c r="CF132" s="33"/>
      <c r="CG132" s="87" t="str">
        <f t="shared" si="116"/>
        <v/>
      </c>
      <c r="CH132" s="87" t="str">
        <f t="shared" si="117"/>
        <v/>
      </c>
      <c r="CI132" s="87" t="str">
        <f t="shared" si="118"/>
        <v/>
      </c>
      <c r="CJ132" s="87" t="str">
        <f t="shared" si="119"/>
        <v/>
      </c>
      <c r="CK132" s="87" t="str">
        <f t="shared" si="120"/>
        <v/>
      </c>
      <c r="CL132" s="87" t="str">
        <f t="shared" si="121"/>
        <v/>
      </c>
      <c r="CM132" s="87" t="str">
        <f t="shared" si="122"/>
        <v/>
      </c>
      <c r="CN132" s="87" t="str">
        <f t="shared" si="123"/>
        <v/>
      </c>
      <c r="CO132" s="87" t="str">
        <f t="shared" si="124"/>
        <v/>
      </c>
      <c r="CP132" s="87" t="str">
        <f t="shared" si="125"/>
        <v/>
      </c>
      <c r="CQ132" s="87" t="str">
        <f t="shared" si="126"/>
        <v/>
      </c>
      <c r="CR132" s="87" t="str">
        <f t="shared" si="127"/>
        <v/>
      </c>
      <c r="CS132" s="87" t="b">
        <f t="shared" si="128"/>
        <v>0</v>
      </c>
      <c r="CT132" s="87" t="b">
        <f t="shared" si="129"/>
        <v>0</v>
      </c>
      <c r="CU132" s="87" t="b">
        <f t="shared" si="130"/>
        <v>0</v>
      </c>
      <c r="CV132" s="32"/>
      <c r="CW132" s="32" t="str">
        <f t="shared" si="200"/>
        <v/>
      </c>
      <c r="CX132" s="32"/>
      <c r="CY132" s="32" t="str">
        <f t="shared" si="201"/>
        <v/>
      </c>
      <c r="CZ132" s="32"/>
      <c r="DA132" s="32" t="str">
        <f t="shared" si="202"/>
        <v/>
      </c>
      <c r="DB132" s="32"/>
    </row>
    <row r="133" spans="1:106" ht="15" hidden="1" customHeight="1">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c r="AE133" s="32"/>
      <c r="AF133" s="32"/>
      <c r="AG133" s="32"/>
      <c r="AH133" s="32"/>
      <c r="AI133" s="32"/>
      <c r="AJ133" s="32"/>
      <c r="AK133" s="32"/>
      <c r="AL133" s="32"/>
      <c r="AM133" s="32"/>
      <c r="AN133" s="32"/>
      <c r="AO133" s="32"/>
      <c r="AP133" s="32"/>
      <c r="AQ133" s="32"/>
      <c r="AR133" s="31">
        <v>1640000</v>
      </c>
      <c r="AS133" s="31"/>
      <c r="AT133" s="31"/>
      <c r="AU133" s="31"/>
      <c r="AV133" s="31"/>
      <c r="AW133" s="31"/>
      <c r="AX133" s="32"/>
      <c r="AY133" s="32"/>
      <c r="AZ133" s="32"/>
      <c r="BA133" s="32"/>
      <c r="BB133" s="32"/>
      <c r="BC133" s="32"/>
      <c r="BD133" s="32"/>
      <c r="BE133" s="32"/>
      <c r="BF133" s="2"/>
      <c r="BG133" s="2"/>
      <c r="BH133" s="2"/>
      <c r="BI133" s="2"/>
      <c r="BJ133" s="2"/>
      <c r="BK133" s="94"/>
      <c r="BL133" s="32"/>
      <c r="BM133" s="32"/>
      <c r="BN133" s="32"/>
      <c r="BO133" s="32"/>
      <c r="BP133" s="2"/>
      <c r="BQ133" s="2"/>
      <c r="BR133" s="2"/>
      <c r="BS133" s="32" t="str">
        <f t="shared" ref="BS133:BZ133" si="211">""</f>
        <v/>
      </c>
      <c r="BT133" s="32" t="str">
        <f t="shared" si="211"/>
        <v/>
      </c>
      <c r="BU133" s="32" t="str">
        <f t="shared" si="211"/>
        <v/>
      </c>
      <c r="BV133" s="32" t="str">
        <f t="shared" si="211"/>
        <v/>
      </c>
      <c r="BW133" s="32" t="str">
        <f t="shared" si="211"/>
        <v/>
      </c>
      <c r="BX133" s="32" t="str">
        <f t="shared" si="211"/>
        <v/>
      </c>
      <c r="BY133" s="32" t="str">
        <f t="shared" si="211"/>
        <v/>
      </c>
      <c r="BZ133" s="32" t="str">
        <f t="shared" si="211"/>
        <v/>
      </c>
      <c r="CA133" s="33"/>
      <c r="CB133" s="32"/>
      <c r="CC133" s="32"/>
      <c r="CD133" s="32"/>
      <c r="CE133" s="31"/>
      <c r="CF133" s="33"/>
      <c r="CG133" s="87" t="str">
        <f t="shared" si="116"/>
        <v/>
      </c>
      <c r="CH133" s="87" t="str">
        <f t="shared" si="117"/>
        <v/>
      </c>
      <c r="CI133" s="87" t="str">
        <f t="shared" si="118"/>
        <v/>
      </c>
      <c r="CJ133" s="87" t="str">
        <f t="shared" si="119"/>
        <v/>
      </c>
      <c r="CK133" s="87" t="str">
        <f t="shared" si="120"/>
        <v/>
      </c>
      <c r="CL133" s="87" t="str">
        <f t="shared" si="121"/>
        <v/>
      </c>
      <c r="CM133" s="87" t="str">
        <f t="shared" si="122"/>
        <v/>
      </c>
      <c r="CN133" s="87" t="str">
        <f t="shared" si="123"/>
        <v/>
      </c>
      <c r="CO133" s="87" t="str">
        <f t="shared" si="124"/>
        <v/>
      </c>
      <c r="CP133" s="87" t="str">
        <f t="shared" si="125"/>
        <v/>
      </c>
      <c r="CQ133" s="87" t="str">
        <f t="shared" si="126"/>
        <v/>
      </c>
      <c r="CR133" s="87" t="str">
        <f t="shared" si="127"/>
        <v/>
      </c>
      <c r="CS133" s="87" t="b">
        <f t="shared" si="128"/>
        <v>0</v>
      </c>
      <c r="CT133" s="87" t="b">
        <f t="shared" si="129"/>
        <v>0</v>
      </c>
      <c r="CU133" s="87" t="b">
        <f t="shared" si="130"/>
        <v>0</v>
      </c>
      <c r="CV133" s="32"/>
      <c r="CW133" s="32" t="str">
        <f t="shared" si="200"/>
        <v/>
      </c>
      <c r="CX133" s="32"/>
      <c r="CY133" s="32" t="str">
        <f t="shared" si="201"/>
        <v/>
      </c>
      <c r="CZ133" s="32"/>
      <c r="DA133" s="32" t="str">
        <f t="shared" si="202"/>
        <v/>
      </c>
      <c r="DB133" s="32"/>
    </row>
    <row r="134" spans="1:106" ht="15" hidden="1" customHeight="1">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c r="AE134" s="32"/>
      <c r="AF134" s="32"/>
      <c r="AG134" s="32"/>
      <c r="AH134" s="32"/>
      <c r="AI134" s="32"/>
      <c r="AJ134" s="32"/>
      <c r="AK134" s="32"/>
      <c r="AL134" s="32"/>
      <c r="AM134" s="32"/>
      <c r="AN134" s="32"/>
      <c r="AO134" s="32"/>
      <c r="AP134" s="32"/>
      <c r="AQ134" s="32"/>
      <c r="AR134" s="31">
        <v>1650000</v>
      </c>
      <c r="AS134" s="31"/>
      <c r="AT134" s="31"/>
      <c r="AU134" s="31"/>
      <c r="AV134" s="31"/>
      <c r="AW134" s="31"/>
      <c r="AX134" s="32"/>
      <c r="AY134" s="32"/>
      <c r="AZ134" s="32"/>
      <c r="BA134" s="32"/>
      <c r="BB134" s="32"/>
      <c r="BC134" s="32"/>
      <c r="BD134" s="32"/>
      <c r="BE134" s="32"/>
      <c r="BF134" s="2"/>
      <c r="BG134" s="2"/>
      <c r="BH134" s="2"/>
      <c r="BI134" s="2"/>
      <c r="BJ134" s="2"/>
      <c r="BK134" s="94"/>
      <c r="BL134" s="32"/>
      <c r="BM134" s="32"/>
      <c r="BN134" s="32"/>
      <c r="BO134" s="32"/>
      <c r="BP134" s="2"/>
      <c r="BQ134" s="2"/>
      <c r="BR134" s="2"/>
      <c r="BS134" s="32" t="str">
        <f t="shared" ref="BS134:BZ134" si="212">""</f>
        <v/>
      </c>
      <c r="BT134" s="32" t="str">
        <f t="shared" si="212"/>
        <v/>
      </c>
      <c r="BU134" s="32" t="str">
        <f t="shared" si="212"/>
        <v/>
      </c>
      <c r="BV134" s="32" t="str">
        <f t="shared" si="212"/>
        <v/>
      </c>
      <c r="BW134" s="32" t="str">
        <f t="shared" si="212"/>
        <v/>
      </c>
      <c r="BX134" s="32" t="str">
        <f t="shared" si="212"/>
        <v/>
      </c>
      <c r="BY134" s="32" t="str">
        <f t="shared" si="212"/>
        <v/>
      </c>
      <c r="BZ134" s="32" t="str">
        <f t="shared" si="212"/>
        <v/>
      </c>
      <c r="CA134" s="33"/>
      <c r="CB134" s="32"/>
      <c r="CC134" s="32"/>
      <c r="CD134" s="32"/>
      <c r="CE134" s="31"/>
      <c r="CF134" s="33"/>
      <c r="CG134" s="87" t="str">
        <f t="shared" si="116"/>
        <v/>
      </c>
      <c r="CH134" s="87" t="str">
        <f t="shared" si="117"/>
        <v/>
      </c>
      <c r="CI134" s="87" t="str">
        <f t="shared" si="118"/>
        <v/>
      </c>
      <c r="CJ134" s="87" t="str">
        <f t="shared" si="119"/>
        <v/>
      </c>
      <c r="CK134" s="87" t="str">
        <f t="shared" si="120"/>
        <v/>
      </c>
      <c r="CL134" s="87" t="str">
        <f t="shared" si="121"/>
        <v/>
      </c>
      <c r="CM134" s="87" t="str">
        <f t="shared" si="122"/>
        <v/>
      </c>
      <c r="CN134" s="87" t="str">
        <f t="shared" si="123"/>
        <v/>
      </c>
      <c r="CO134" s="87" t="str">
        <f t="shared" si="124"/>
        <v/>
      </c>
      <c r="CP134" s="87" t="str">
        <f t="shared" si="125"/>
        <v/>
      </c>
      <c r="CQ134" s="87" t="str">
        <f t="shared" si="126"/>
        <v/>
      </c>
      <c r="CR134" s="87" t="str">
        <f t="shared" si="127"/>
        <v/>
      </c>
      <c r="CS134" s="87" t="b">
        <f t="shared" si="128"/>
        <v>0</v>
      </c>
      <c r="CT134" s="87" t="b">
        <f t="shared" si="129"/>
        <v>0</v>
      </c>
      <c r="CU134" s="87" t="b">
        <f t="shared" si="130"/>
        <v>0</v>
      </c>
      <c r="CV134" s="32"/>
      <c r="CW134" s="32" t="str">
        <f t="shared" si="200"/>
        <v/>
      </c>
      <c r="CX134" s="32"/>
      <c r="CY134" s="32" t="str">
        <f t="shared" si="201"/>
        <v/>
      </c>
      <c r="CZ134" s="32"/>
      <c r="DA134" s="32" t="str">
        <f t="shared" si="202"/>
        <v/>
      </c>
      <c r="DB134" s="32"/>
    </row>
    <row r="135" spans="1:106" ht="15" hidden="1" customHeight="1">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c r="AH135" s="32"/>
      <c r="AI135" s="32"/>
      <c r="AJ135" s="32"/>
      <c r="AK135" s="32"/>
      <c r="AL135" s="32"/>
      <c r="AM135" s="32"/>
      <c r="AN135" s="32"/>
      <c r="AO135" s="32"/>
      <c r="AP135" s="32"/>
      <c r="AQ135" s="32"/>
      <c r="AR135" s="31">
        <v>1660000</v>
      </c>
      <c r="AS135" s="31"/>
      <c r="AT135" s="31"/>
      <c r="AU135" s="31"/>
      <c r="AV135" s="31"/>
      <c r="AW135" s="31"/>
      <c r="AX135" s="32"/>
      <c r="AY135" s="32"/>
      <c r="AZ135" s="32"/>
      <c r="BA135" s="32"/>
      <c r="BB135" s="32"/>
      <c r="BC135" s="32"/>
      <c r="BD135" s="32"/>
      <c r="BE135" s="32"/>
      <c r="BF135" s="2"/>
      <c r="BG135" s="2"/>
      <c r="BH135" s="2"/>
      <c r="BI135" s="2"/>
      <c r="BJ135" s="2"/>
      <c r="BK135" s="94"/>
      <c r="BL135" s="32"/>
      <c r="BM135" s="32"/>
      <c r="BN135" s="32"/>
      <c r="BO135" s="32"/>
      <c r="BP135" s="2"/>
      <c r="BQ135" s="2"/>
      <c r="BR135" s="2"/>
      <c r="BS135" s="32" t="str">
        <f t="shared" ref="BS135:BZ135" si="213">""</f>
        <v/>
      </c>
      <c r="BT135" s="32" t="str">
        <f t="shared" si="213"/>
        <v/>
      </c>
      <c r="BU135" s="32" t="str">
        <f t="shared" si="213"/>
        <v/>
      </c>
      <c r="BV135" s="32" t="str">
        <f t="shared" si="213"/>
        <v/>
      </c>
      <c r="BW135" s="32" t="str">
        <f t="shared" si="213"/>
        <v/>
      </c>
      <c r="BX135" s="32" t="str">
        <f t="shared" si="213"/>
        <v/>
      </c>
      <c r="BY135" s="32" t="str">
        <f t="shared" si="213"/>
        <v/>
      </c>
      <c r="BZ135" s="32" t="str">
        <f t="shared" si="213"/>
        <v/>
      </c>
      <c r="CA135" s="47"/>
      <c r="CB135" s="31"/>
      <c r="CC135" s="31"/>
      <c r="CD135" s="32"/>
      <c r="CE135" s="31"/>
      <c r="CF135" s="33"/>
      <c r="CG135" s="87" t="str">
        <f t="shared" si="116"/>
        <v/>
      </c>
      <c r="CH135" s="87" t="str">
        <f t="shared" si="117"/>
        <v/>
      </c>
      <c r="CI135" s="87" t="str">
        <f t="shared" si="118"/>
        <v/>
      </c>
      <c r="CJ135" s="87" t="str">
        <f t="shared" si="119"/>
        <v/>
      </c>
      <c r="CK135" s="87" t="str">
        <f t="shared" si="120"/>
        <v/>
      </c>
      <c r="CL135" s="87" t="str">
        <f t="shared" si="121"/>
        <v/>
      </c>
      <c r="CM135" s="87" t="str">
        <f t="shared" si="122"/>
        <v/>
      </c>
      <c r="CN135" s="87" t="str">
        <f t="shared" si="123"/>
        <v/>
      </c>
      <c r="CO135" s="87" t="str">
        <f t="shared" si="124"/>
        <v/>
      </c>
      <c r="CP135" s="87" t="str">
        <f t="shared" si="125"/>
        <v/>
      </c>
      <c r="CQ135" s="87" t="str">
        <f t="shared" si="126"/>
        <v/>
      </c>
      <c r="CR135" s="87" t="str">
        <f t="shared" si="127"/>
        <v/>
      </c>
      <c r="CS135" s="87" t="b">
        <f t="shared" si="128"/>
        <v>0</v>
      </c>
      <c r="CT135" s="87" t="b">
        <f t="shared" si="129"/>
        <v>0</v>
      </c>
      <c r="CU135" s="87" t="b">
        <f t="shared" si="130"/>
        <v>0</v>
      </c>
      <c r="CV135" s="32"/>
      <c r="CW135" s="32" t="str">
        <f t="shared" si="200"/>
        <v/>
      </c>
      <c r="CX135" s="32"/>
      <c r="CY135" s="32" t="str">
        <f t="shared" si="201"/>
        <v/>
      </c>
      <c r="CZ135" s="32"/>
      <c r="DA135" s="32" t="str">
        <f t="shared" si="202"/>
        <v/>
      </c>
      <c r="DB135" s="32"/>
    </row>
    <row r="136" spans="1:106" ht="15" hidden="1" customHeight="1">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c r="AG136" s="32"/>
      <c r="AH136" s="32"/>
      <c r="AI136" s="32"/>
      <c r="AJ136" s="32"/>
      <c r="AK136" s="32"/>
      <c r="AL136" s="32"/>
      <c r="AM136" s="32"/>
      <c r="AN136" s="32"/>
      <c r="AO136" s="32"/>
      <c r="AP136" s="32"/>
      <c r="AQ136" s="32"/>
      <c r="AR136" s="31">
        <v>1670000</v>
      </c>
      <c r="AS136" s="31"/>
      <c r="AT136" s="31"/>
      <c r="AU136" s="31"/>
      <c r="AV136" s="31"/>
      <c r="AW136" s="31"/>
      <c r="AX136" s="32"/>
      <c r="AY136" s="32"/>
      <c r="AZ136" s="32"/>
      <c r="BA136" s="32"/>
      <c r="BB136" s="32"/>
      <c r="BC136" s="32"/>
      <c r="BD136" s="32"/>
      <c r="BE136" s="32"/>
      <c r="BF136" s="2"/>
      <c r="BG136" s="2"/>
      <c r="BH136" s="2"/>
      <c r="BI136" s="2"/>
      <c r="BJ136" s="2"/>
      <c r="BK136" s="94"/>
      <c r="BL136" s="32"/>
      <c r="BM136" s="32"/>
      <c r="BN136" s="32"/>
      <c r="BO136" s="32"/>
      <c r="BP136" s="2"/>
      <c r="BQ136" s="2"/>
      <c r="BR136" s="2"/>
      <c r="BS136" s="86"/>
      <c r="BT136" s="32"/>
      <c r="BU136" s="33"/>
      <c r="BV136" s="33"/>
      <c r="BW136" s="32"/>
      <c r="BX136" s="32"/>
      <c r="BY136" s="32"/>
      <c r="BZ136" s="32"/>
      <c r="CA136" s="47"/>
      <c r="CB136" s="31"/>
      <c r="CC136" s="31"/>
      <c r="CD136" s="32"/>
      <c r="CE136" s="31"/>
      <c r="CF136" s="33"/>
      <c r="CG136" s="87">
        <f t="shared" si="116"/>
        <v>0</v>
      </c>
      <c r="CH136" s="87">
        <f t="shared" si="117"/>
        <v>0</v>
      </c>
      <c r="CI136" s="87">
        <f t="shared" si="118"/>
        <v>0</v>
      </c>
      <c r="CJ136" s="87">
        <f t="shared" si="119"/>
        <v>0</v>
      </c>
      <c r="CK136" s="87">
        <f t="shared" si="120"/>
        <v>0</v>
      </c>
      <c r="CL136" s="87">
        <f t="shared" si="121"/>
        <v>0</v>
      </c>
      <c r="CM136" s="87">
        <f t="shared" si="122"/>
        <v>0</v>
      </c>
      <c r="CN136" s="87">
        <f t="shared" si="123"/>
        <v>0</v>
      </c>
      <c r="CO136" s="87">
        <f t="shared" si="124"/>
        <v>0</v>
      </c>
      <c r="CP136" s="87">
        <f t="shared" si="125"/>
        <v>0</v>
      </c>
      <c r="CQ136" s="87">
        <f t="shared" si="126"/>
        <v>0</v>
      </c>
      <c r="CR136" s="87">
        <f t="shared" si="127"/>
        <v>0</v>
      </c>
      <c r="CS136" s="87" t="b">
        <f t="shared" si="128"/>
        <v>0</v>
      </c>
      <c r="CT136" s="87" t="b">
        <f t="shared" si="129"/>
        <v>0</v>
      </c>
      <c r="CU136" s="87" t="b">
        <f t="shared" si="130"/>
        <v>0</v>
      </c>
      <c r="CV136" s="32"/>
      <c r="CW136" s="32">
        <f t="shared" si="200"/>
        <v>0</v>
      </c>
      <c r="CX136" s="32"/>
      <c r="CY136" s="32">
        <f t="shared" si="201"/>
        <v>0</v>
      </c>
      <c r="CZ136" s="32"/>
      <c r="DA136" s="32">
        <f t="shared" si="202"/>
        <v>0</v>
      </c>
      <c r="DB136" s="32"/>
    </row>
    <row r="137" spans="1:106" ht="15" hidden="1" customHeight="1">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c r="AE137" s="32"/>
      <c r="AF137" s="32"/>
      <c r="AG137" s="32"/>
      <c r="AH137" s="32"/>
      <c r="AI137" s="32"/>
      <c r="AJ137" s="32"/>
      <c r="AK137" s="32"/>
      <c r="AL137" s="32"/>
      <c r="AM137" s="32"/>
      <c r="AN137" s="32"/>
      <c r="AO137" s="32"/>
      <c r="AP137" s="32"/>
      <c r="AQ137" s="32"/>
      <c r="AR137" s="31">
        <v>1680000</v>
      </c>
      <c r="AS137" s="31"/>
      <c r="AT137" s="31"/>
      <c r="AU137" s="31"/>
      <c r="AV137" s="31"/>
      <c r="AW137" s="31"/>
      <c r="AX137" s="32"/>
      <c r="AY137" s="32"/>
      <c r="AZ137" s="32"/>
      <c r="BA137" s="32"/>
      <c r="BB137" s="32"/>
      <c r="BC137" s="32"/>
      <c r="BD137" s="32"/>
      <c r="BE137" s="32"/>
      <c r="BF137" s="2"/>
      <c r="BG137" s="2"/>
      <c r="BH137" s="2"/>
      <c r="BI137" s="2"/>
      <c r="BJ137" s="2"/>
      <c r="BK137" s="96"/>
      <c r="BL137" s="32"/>
      <c r="BM137" s="32"/>
      <c r="BN137" s="32"/>
      <c r="BO137" s="32"/>
      <c r="BP137" s="2"/>
      <c r="BQ137" s="2"/>
      <c r="BR137" s="2"/>
      <c r="BS137" s="86"/>
      <c r="BT137" s="32"/>
      <c r="BU137" s="33"/>
      <c r="BV137" s="33"/>
      <c r="BW137" s="32"/>
      <c r="BX137" s="32"/>
      <c r="BY137" s="32"/>
      <c r="BZ137" s="32"/>
      <c r="CA137" s="47"/>
      <c r="CB137" s="31"/>
      <c r="CC137" s="31"/>
      <c r="CD137" s="32"/>
      <c r="CE137" s="31"/>
      <c r="CF137" s="33"/>
      <c r="CG137" s="87">
        <f t="shared" si="116"/>
        <v>0</v>
      </c>
      <c r="CH137" s="87">
        <f t="shared" si="117"/>
        <v>0</v>
      </c>
      <c r="CI137" s="87">
        <f t="shared" si="118"/>
        <v>0</v>
      </c>
      <c r="CJ137" s="87">
        <f t="shared" si="119"/>
        <v>0</v>
      </c>
      <c r="CK137" s="87">
        <f t="shared" si="120"/>
        <v>0</v>
      </c>
      <c r="CL137" s="87">
        <f t="shared" si="121"/>
        <v>0</v>
      </c>
      <c r="CM137" s="87">
        <f t="shared" si="122"/>
        <v>0</v>
      </c>
      <c r="CN137" s="87">
        <f t="shared" si="123"/>
        <v>0</v>
      </c>
      <c r="CO137" s="87">
        <f t="shared" si="124"/>
        <v>0</v>
      </c>
      <c r="CP137" s="87">
        <f t="shared" si="125"/>
        <v>0</v>
      </c>
      <c r="CQ137" s="87">
        <f t="shared" si="126"/>
        <v>0</v>
      </c>
      <c r="CR137" s="87">
        <f t="shared" si="127"/>
        <v>0</v>
      </c>
      <c r="CS137" s="87" t="b">
        <f t="shared" si="128"/>
        <v>0</v>
      </c>
      <c r="CT137" s="87" t="b">
        <f t="shared" si="129"/>
        <v>0</v>
      </c>
      <c r="CU137" s="87" t="b">
        <f t="shared" si="130"/>
        <v>0</v>
      </c>
      <c r="CV137" s="32"/>
      <c r="CW137" s="32">
        <f t="shared" si="200"/>
        <v>0</v>
      </c>
      <c r="CX137" s="32"/>
      <c r="CY137" s="32">
        <f t="shared" si="201"/>
        <v>0</v>
      </c>
      <c r="CZ137" s="32"/>
      <c r="DA137" s="32">
        <f t="shared" si="202"/>
        <v>0</v>
      </c>
      <c r="DB137" s="32"/>
    </row>
    <row r="138" spans="1:106" ht="15" hidden="1" customHeight="1">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c r="AE138" s="32"/>
      <c r="AF138" s="32"/>
      <c r="AG138" s="32"/>
      <c r="AH138" s="32"/>
      <c r="AI138" s="32"/>
      <c r="AJ138" s="32"/>
      <c r="AK138" s="32"/>
      <c r="AL138" s="32"/>
      <c r="AM138" s="32"/>
      <c r="AN138" s="32"/>
      <c r="AO138" s="32"/>
      <c r="AP138" s="32"/>
      <c r="AQ138" s="32"/>
      <c r="AR138" s="31">
        <v>1690000</v>
      </c>
      <c r="AS138" s="31"/>
      <c r="AT138" s="31"/>
      <c r="AU138" s="31"/>
      <c r="AV138" s="31"/>
      <c r="AW138" s="31"/>
      <c r="AX138" s="32"/>
      <c r="AY138" s="32"/>
      <c r="AZ138" s="32"/>
      <c r="BA138" s="32"/>
      <c r="BB138" s="32"/>
      <c r="BC138" s="32"/>
      <c r="BD138" s="32"/>
      <c r="BE138" s="32"/>
      <c r="BF138" s="2"/>
      <c r="BG138" s="2"/>
      <c r="BH138" s="2"/>
      <c r="BI138" s="2"/>
      <c r="BJ138" s="2"/>
      <c r="BK138" s="96"/>
      <c r="BL138" s="32"/>
      <c r="BM138" s="32"/>
      <c r="BN138" s="32"/>
      <c r="BO138" s="32"/>
      <c r="BP138" s="2"/>
      <c r="BQ138" s="2"/>
      <c r="BR138" s="2"/>
      <c r="BS138" s="86"/>
      <c r="BT138" s="32"/>
      <c r="BU138" s="33"/>
      <c r="BV138" s="33"/>
      <c r="BW138" s="32"/>
      <c r="BX138" s="32"/>
      <c r="BY138" s="32"/>
      <c r="BZ138" s="32"/>
      <c r="CA138" s="47"/>
      <c r="CB138" s="31"/>
      <c r="CC138" s="31"/>
      <c r="CD138" s="32"/>
      <c r="CE138" s="31"/>
      <c r="CF138" s="33"/>
      <c r="CG138" s="87">
        <f t="shared" si="116"/>
        <v>0</v>
      </c>
      <c r="CH138" s="2"/>
      <c r="CI138" s="87">
        <f>IFERROR((IF($CH$55="M",BW138,IF($CH$55="PM",BY138,IF($CH$55="P",BU138,IF($CH$55="FULL",BS138))))),"")</f>
        <v>0</v>
      </c>
      <c r="CJ138" s="32"/>
      <c r="CK138" s="87">
        <f t="shared" ref="CK138:CK143" si="214">IFERROR((IF($CI$55="M",BW138,IF($CI$55="PM",BY138,IF($CI$55="P",BU138,IF($CI$55="FULL",BS138))))),"")</f>
        <v>0</v>
      </c>
      <c r="CL138" s="2"/>
      <c r="CM138" s="87">
        <f t="shared" ref="CM138:CM141" si="215">IFERROR((IF($CJ$55="M",BW138,IF($CJ$55="PM",BY138,IF($CJ$55="P",BU138,IF($CJ$55="FULL",BS138))))),"")</f>
        <v>0</v>
      </c>
      <c r="CN138" s="2"/>
      <c r="CO138" s="87">
        <f t="shared" ref="CO138:CO141" si="216">IFERROR((IF($CK$55="M",BW138,IF($CK$55="PM",BY138,IF($CK$55="P",BU138,IF($CK$55="FULL",BS138))))),"")</f>
        <v>0</v>
      </c>
      <c r="CP138" s="32"/>
      <c r="CQ138" s="32">
        <f t="shared" ref="CQ138:CQ141" si="217">IFERROR((IF($CL$55="M",BW138,IF($CL$55="PM",BY138,IF($CL$55="P",BU138,IF($CL$55="FULL",BS138))))),"")</f>
        <v>0</v>
      </c>
      <c r="CR138" s="32"/>
      <c r="CS138" s="32">
        <f t="shared" ref="CS138:CS141" si="218">IFERROR((IF($CM$55="M",BW138,IF($CM$55="PM",BY138,IF($CM$55="P",BU138,IF($CM$55="FULL",BS138))))),"")</f>
        <v>0</v>
      </c>
      <c r="CT138" s="32"/>
      <c r="CU138" s="32">
        <f t="shared" ref="CU138:CU141" si="219">IFERROR((IF($CN$55="M",BW138,IF($CN$55="PM",BY138,IF($CN$55="P",BU138,IF($CN$55="FULL",BS138))))),"")</f>
        <v>0</v>
      </c>
      <c r="CV138" s="32"/>
      <c r="CW138" s="32">
        <f t="shared" si="200"/>
        <v>0</v>
      </c>
      <c r="CX138" s="32"/>
      <c r="CY138" s="32">
        <f t="shared" si="201"/>
        <v>0</v>
      </c>
      <c r="CZ138" s="32"/>
      <c r="DA138" s="32">
        <f t="shared" si="202"/>
        <v>0</v>
      </c>
      <c r="DB138" s="32"/>
    </row>
    <row r="139" spans="1:106" ht="15" hidden="1" customHeight="1">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c r="AN139" s="32"/>
      <c r="AO139" s="32"/>
      <c r="AP139" s="32"/>
      <c r="AQ139" s="32"/>
      <c r="AR139" s="31">
        <v>1700000</v>
      </c>
      <c r="AS139" s="31"/>
      <c r="AT139" s="31"/>
      <c r="AU139" s="31"/>
      <c r="AV139" s="31"/>
      <c r="AW139" s="31"/>
      <c r="AX139" s="32"/>
      <c r="AY139" s="32"/>
      <c r="AZ139" s="32"/>
      <c r="BA139" s="32"/>
      <c r="BB139" s="32"/>
      <c r="BC139" s="32"/>
      <c r="BD139" s="32"/>
      <c r="BE139" s="32"/>
      <c r="BF139" s="2"/>
      <c r="BG139" s="2"/>
      <c r="BH139" s="2"/>
      <c r="BI139" s="2"/>
      <c r="BJ139" s="2"/>
      <c r="BK139" s="96"/>
      <c r="BL139" s="32"/>
      <c r="BM139" s="32"/>
      <c r="BN139" s="32"/>
      <c r="BO139" s="32"/>
      <c r="BP139" s="2"/>
      <c r="BQ139" s="2"/>
      <c r="BR139" s="2"/>
      <c r="BS139" s="86"/>
      <c r="BT139" s="32"/>
      <c r="BU139" s="33"/>
      <c r="BV139" s="33"/>
      <c r="BW139" s="32"/>
      <c r="BX139" s="32"/>
      <c r="BY139" s="32"/>
      <c r="BZ139" s="32"/>
      <c r="CA139" s="47"/>
      <c r="CB139" s="31"/>
      <c r="CC139" s="31"/>
      <c r="CD139" s="32"/>
      <c r="CE139" s="31"/>
      <c r="CF139" s="33"/>
      <c r="CG139" s="32"/>
      <c r="CH139" s="31"/>
      <c r="CI139" s="32"/>
      <c r="CJ139" s="32"/>
      <c r="CK139" s="87">
        <f t="shared" si="214"/>
        <v>0</v>
      </c>
      <c r="CL139" s="2"/>
      <c r="CM139" s="87">
        <f t="shared" si="215"/>
        <v>0</v>
      </c>
      <c r="CN139" s="2"/>
      <c r="CO139" s="87">
        <f t="shared" si="216"/>
        <v>0</v>
      </c>
      <c r="CP139" s="32"/>
      <c r="CQ139" s="32">
        <f t="shared" si="217"/>
        <v>0</v>
      </c>
      <c r="CR139" s="32"/>
      <c r="CS139" s="32">
        <f t="shared" si="218"/>
        <v>0</v>
      </c>
      <c r="CT139" s="32"/>
      <c r="CU139" s="32">
        <f t="shared" si="219"/>
        <v>0</v>
      </c>
      <c r="CV139" s="32"/>
      <c r="CW139" s="32">
        <f t="shared" si="200"/>
        <v>0</v>
      </c>
      <c r="CX139" s="32"/>
      <c r="CY139" s="32">
        <f t="shared" si="201"/>
        <v>0</v>
      </c>
      <c r="CZ139" s="32"/>
      <c r="DA139" s="32">
        <f t="shared" si="202"/>
        <v>0</v>
      </c>
      <c r="DB139" s="32"/>
    </row>
    <row r="140" spans="1:106" ht="15" hidden="1" customHeight="1">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c r="AG140" s="32"/>
      <c r="AH140" s="32"/>
      <c r="AI140" s="32"/>
      <c r="AJ140" s="32"/>
      <c r="AK140" s="32"/>
      <c r="AL140" s="32"/>
      <c r="AM140" s="32"/>
      <c r="AN140" s="32"/>
      <c r="AO140" s="32"/>
      <c r="AP140" s="32"/>
      <c r="AQ140" s="32"/>
      <c r="AR140" s="31">
        <v>1710000</v>
      </c>
      <c r="AS140" s="31"/>
      <c r="AT140" s="31"/>
      <c r="AU140" s="31"/>
      <c r="AV140" s="31"/>
      <c r="AW140" s="31"/>
      <c r="AX140" s="32"/>
      <c r="AY140" s="32"/>
      <c r="AZ140" s="32"/>
      <c r="BA140" s="32"/>
      <c r="BB140" s="32"/>
      <c r="BC140" s="32"/>
      <c r="BD140" s="32"/>
      <c r="BE140" s="32"/>
      <c r="BF140" s="2"/>
      <c r="BG140" s="2"/>
      <c r="BH140" s="2"/>
      <c r="BI140" s="2"/>
      <c r="BJ140" s="2"/>
      <c r="BK140" s="96"/>
      <c r="BL140" s="32"/>
      <c r="BM140" s="32"/>
      <c r="BN140" s="32"/>
      <c r="BO140" s="32"/>
      <c r="BP140" s="2"/>
      <c r="BQ140" s="2"/>
      <c r="BR140" s="2"/>
      <c r="BS140" s="86"/>
      <c r="BT140" s="32"/>
      <c r="BU140" s="33"/>
      <c r="BV140" s="33"/>
      <c r="BW140" s="32"/>
      <c r="BX140" s="32"/>
      <c r="BY140" s="32"/>
      <c r="BZ140" s="32"/>
      <c r="CA140" s="47"/>
      <c r="CB140" s="31"/>
      <c r="CC140" s="31"/>
      <c r="CD140" s="32"/>
      <c r="CE140" s="31"/>
      <c r="CF140" s="33"/>
      <c r="CG140" s="32"/>
      <c r="CH140" s="31"/>
      <c r="CI140" s="32"/>
      <c r="CJ140" s="32"/>
      <c r="CK140" s="87">
        <f t="shared" si="214"/>
        <v>0</v>
      </c>
      <c r="CL140" s="2"/>
      <c r="CM140" s="87">
        <f t="shared" si="215"/>
        <v>0</v>
      </c>
      <c r="CN140" s="2"/>
      <c r="CO140" s="87">
        <f t="shared" si="216"/>
        <v>0</v>
      </c>
      <c r="CP140" s="32"/>
      <c r="CQ140" s="32">
        <f t="shared" si="217"/>
        <v>0</v>
      </c>
      <c r="CR140" s="32"/>
      <c r="CS140" s="32">
        <f t="shared" si="218"/>
        <v>0</v>
      </c>
      <c r="CT140" s="32"/>
      <c r="CU140" s="32">
        <f t="shared" si="219"/>
        <v>0</v>
      </c>
      <c r="CV140" s="32"/>
      <c r="CW140" s="32">
        <f t="shared" si="200"/>
        <v>0</v>
      </c>
      <c r="CX140" s="32"/>
      <c r="CY140" s="32">
        <f t="shared" si="201"/>
        <v>0</v>
      </c>
      <c r="CZ140" s="32"/>
      <c r="DA140" s="32">
        <f t="shared" si="202"/>
        <v>0</v>
      </c>
      <c r="DB140" s="32"/>
    </row>
    <row r="141" spans="1:106" ht="15" hidden="1" customHeight="1">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c r="AE141" s="32"/>
      <c r="AF141" s="32"/>
      <c r="AG141" s="32"/>
      <c r="AH141" s="32"/>
      <c r="AI141" s="32"/>
      <c r="AJ141" s="32"/>
      <c r="AK141" s="32"/>
      <c r="AL141" s="32"/>
      <c r="AM141" s="32"/>
      <c r="AN141" s="32"/>
      <c r="AO141" s="32"/>
      <c r="AP141" s="32"/>
      <c r="AQ141" s="32"/>
      <c r="AR141" s="31">
        <v>1720000</v>
      </c>
      <c r="AS141" s="31"/>
      <c r="AT141" s="31"/>
      <c r="AU141" s="31"/>
      <c r="AV141" s="31"/>
      <c r="AW141" s="31"/>
      <c r="AX141" s="32"/>
      <c r="AY141" s="32"/>
      <c r="AZ141" s="32"/>
      <c r="BA141" s="32"/>
      <c r="BB141" s="32"/>
      <c r="BC141" s="32"/>
      <c r="BD141" s="32"/>
      <c r="BE141" s="32"/>
      <c r="BF141" s="2"/>
      <c r="BG141" s="2"/>
      <c r="BH141" s="2"/>
      <c r="BI141" s="2"/>
      <c r="BJ141" s="2"/>
      <c r="BK141" s="96"/>
      <c r="BL141" s="32"/>
      <c r="BM141" s="32"/>
      <c r="BN141" s="32"/>
      <c r="BO141" s="32"/>
      <c r="BP141" s="2"/>
      <c r="BQ141" s="2"/>
      <c r="BR141" s="2"/>
      <c r="BS141" s="86"/>
      <c r="BT141" s="32"/>
      <c r="BU141" s="33"/>
      <c r="BV141" s="33"/>
      <c r="BW141" s="32"/>
      <c r="BX141" s="32"/>
      <c r="BY141" s="32"/>
      <c r="BZ141" s="32"/>
      <c r="CA141" s="33"/>
      <c r="CB141" s="32"/>
      <c r="CC141" s="32"/>
      <c r="CD141" s="32"/>
      <c r="CE141" s="31"/>
      <c r="CF141" s="33"/>
      <c r="CG141" s="32"/>
      <c r="CH141" s="31"/>
      <c r="CI141" s="32"/>
      <c r="CJ141" s="32"/>
      <c r="CK141" s="87">
        <f t="shared" si="214"/>
        <v>0</v>
      </c>
      <c r="CL141" s="2"/>
      <c r="CM141" s="87">
        <f t="shared" si="215"/>
        <v>0</v>
      </c>
      <c r="CN141" s="2"/>
      <c r="CO141" s="87">
        <f t="shared" si="216"/>
        <v>0</v>
      </c>
      <c r="CP141" s="32"/>
      <c r="CQ141" s="32">
        <f t="shared" si="217"/>
        <v>0</v>
      </c>
      <c r="CR141" s="32"/>
      <c r="CS141" s="32">
        <f t="shared" si="218"/>
        <v>0</v>
      </c>
      <c r="CT141" s="32"/>
      <c r="CU141" s="32">
        <f t="shared" si="219"/>
        <v>0</v>
      </c>
      <c r="CV141" s="32"/>
      <c r="CW141" s="32">
        <f t="shared" si="200"/>
        <v>0</v>
      </c>
      <c r="CX141" s="32"/>
      <c r="CY141" s="32">
        <f t="shared" si="201"/>
        <v>0</v>
      </c>
      <c r="CZ141" s="32"/>
      <c r="DA141" s="32">
        <f t="shared" si="202"/>
        <v>0</v>
      </c>
      <c r="DB141" s="32"/>
    </row>
    <row r="142" spans="1:106" ht="15" hidden="1" customHeight="1">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c r="AE142" s="32"/>
      <c r="AF142" s="32"/>
      <c r="AG142" s="32"/>
      <c r="AH142" s="32"/>
      <c r="AI142" s="32"/>
      <c r="AJ142" s="32"/>
      <c r="AK142" s="32"/>
      <c r="AL142" s="32"/>
      <c r="AM142" s="32"/>
      <c r="AN142" s="32"/>
      <c r="AO142" s="32"/>
      <c r="AP142" s="32"/>
      <c r="AQ142" s="32"/>
      <c r="AR142" s="31">
        <v>1730000</v>
      </c>
      <c r="AS142" s="31"/>
      <c r="AT142" s="31"/>
      <c r="AU142" s="31"/>
      <c r="AV142" s="31"/>
      <c r="AW142" s="31"/>
      <c r="AX142" s="32"/>
      <c r="AY142" s="32"/>
      <c r="AZ142" s="32"/>
      <c r="BA142" s="32"/>
      <c r="BB142" s="32"/>
      <c r="BC142" s="32"/>
      <c r="BD142" s="32"/>
      <c r="BE142" s="32"/>
      <c r="BF142" s="2"/>
      <c r="BG142" s="2"/>
      <c r="BH142" s="2"/>
      <c r="BI142" s="2"/>
      <c r="BJ142" s="2"/>
      <c r="BK142" s="96"/>
      <c r="BL142" s="32"/>
      <c r="BM142" s="32"/>
      <c r="BN142" s="32"/>
      <c r="BO142" s="32"/>
      <c r="BP142" s="2"/>
      <c r="BQ142" s="2"/>
      <c r="BR142" s="2"/>
      <c r="BS142" s="86"/>
      <c r="BT142" s="32"/>
      <c r="BU142" s="33"/>
      <c r="BV142" s="33"/>
      <c r="BW142" s="32"/>
      <c r="BX142" s="32"/>
      <c r="BY142" s="32"/>
      <c r="BZ142" s="32"/>
      <c r="CA142" s="33"/>
      <c r="CB142" s="32"/>
      <c r="CC142" s="32"/>
      <c r="CD142" s="32"/>
      <c r="CE142" s="31"/>
      <c r="CF142" s="33"/>
      <c r="CG142" s="32"/>
      <c r="CH142" s="31"/>
      <c r="CI142" s="32"/>
      <c r="CJ142" s="32"/>
      <c r="CK142" s="87">
        <f t="shared" si="214"/>
        <v>0</v>
      </c>
      <c r="CL142" s="32"/>
      <c r="CM142" s="32"/>
      <c r="CN142" s="32"/>
      <c r="CO142" s="32"/>
      <c r="CP142" s="32"/>
      <c r="CQ142" s="32"/>
      <c r="CR142" s="32"/>
      <c r="CS142" s="32"/>
      <c r="CT142" s="32"/>
      <c r="CU142" s="32"/>
      <c r="CV142" s="32"/>
      <c r="CW142" s="32"/>
      <c r="CX142" s="32"/>
      <c r="CY142" s="32"/>
      <c r="CZ142" s="32"/>
      <c r="DA142" s="32"/>
      <c r="DB142" s="32"/>
    </row>
    <row r="143" spans="1:106" ht="15" hidden="1" customHeight="1">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c r="AH143" s="32"/>
      <c r="AI143" s="32"/>
      <c r="AJ143" s="32"/>
      <c r="AK143" s="32"/>
      <c r="AL143" s="32"/>
      <c r="AM143" s="32"/>
      <c r="AN143" s="32"/>
      <c r="AO143" s="32"/>
      <c r="AP143" s="32"/>
      <c r="AQ143" s="32"/>
      <c r="AR143" s="31">
        <v>1740000</v>
      </c>
      <c r="AS143" s="31"/>
      <c r="AT143" s="31"/>
      <c r="AU143" s="31"/>
      <c r="AV143" s="31"/>
      <c r="AW143" s="31"/>
      <c r="AX143" s="32"/>
      <c r="AY143" s="32"/>
      <c r="AZ143" s="32"/>
      <c r="BA143" s="32"/>
      <c r="BB143" s="32"/>
      <c r="BC143" s="32"/>
      <c r="BD143" s="32"/>
      <c r="BE143" s="32"/>
      <c r="BF143" s="2"/>
      <c r="BG143" s="2"/>
      <c r="BH143" s="2"/>
      <c r="BI143" s="2"/>
      <c r="BJ143" s="2"/>
      <c r="BK143" s="96"/>
      <c r="BL143" s="32"/>
      <c r="BM143" s="32"/>
      <c r="BN143" s="32"/>
      <c r="BO143" s="32"/>
      <c r="BP143" s="2"/>
      <c r="BQ143" s="2"/>
      <c r="BR143" s="2"/>
      <c r="BS143" s="86"/>
      <c r="BT143" s="32"/>
      <c r="BU143" s="33"/>
      <c r="BV143" s="33"/>
      <c r="BW143" s="32"/>
      <c r="BX143" s="32"/>
      <c r="BY143" s="32"/>
      <c r="BZ143" s="32"/>
      <c r="CA143" s="33"/>
      <c r="CB143" s="32"/>
      <c r="CC143" s="32"/>
      <c r="CD143" s="32"/>
      <c r="CE143" s="31"/>
      <c r="CF143" s="33"/>
      <c r="CG143" s="32"/>
      <c r="CH143" s="31"/>
      <c r="CI143" s="32"/>
      <c r="CJ143" s="32"/>
      <c r="CK143" s="87">
        <f t="shared" si="214"/>
        <v>0</v>
      </c>
      <c r="CL143" s="32"/>
      <c r="CM143" s="32"/>
      <c r="CN143" s="32"/>
      <c r="CO143" s="32"/>
      <c r="CP143" s="32"/>
      <c r="CQ143" s="32"/>
      <c r="CR143" s="32"/>
      <c r="CS143" s="32"/>
      <c r="CT143" s="32"/>
      <c r="CU143" s="32"/>
      <c r="CV143" s="32"/>
      <c r="CW143" s="32"/>
      <c r="CX143" s="32"/>
      <c r="CY143" s="32"/>
      <c r="CZ143" s="32"/>
      <c r="DA143" s="32"/>
      <c r="DB143" s="32"/>
    </row>
    <row r="144" spans="1:106" ht="15" hidden="1" customHeight="1">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c r="AE144" s="32"/>
      <c r="AF144" s="32"/>
      <c r="AG144" s="32"/>
      <c r="AH144" s="32"/>
      <c r="AI144" s="32"/>
      <c r="AJ144" s="32"/>
      <c r="AK144" s="32"/>
      <c r="AL144" s="32"/>
      <c r="AM144" s="32"/>
      <c r="AN144" s="32"/>
      <c r="AO144" s="32"/>
      <c r="AP144" s="32"/>
      <c r="AQ144" s="32"/>
      <c r="AR144" s="31">
        <v>1750000</v>
      </c>
      <c r="AS144" s="31"/>
      <c r="AT144" s="31"/>
      <c r="AU144" s="31"/>
      <c r="AV144" s="31"/>
      <c r="AW144" s="31"/>
      <c r="AX144" s="32"/>
      <c r="AY144" s="32"/>
      <c r="AZ144" s="32"/>
      <c r="BA144" s="32"/>
      <c r="BB144" s="32"/>
      <c r="BC144" s="32"/>
      <c r="BD144" s="32"/>
      <c r="BE144" s="32"/>
      <c r="BF144" s="2"/>
      <c r="BG144" s="2"/>
      <c r="BH144" s="2"/>
      <c r="BI144" s="2"/>
      <c r="BJ144" s="2"/>
      <c r="BK144" s="96"/>
      <c r="BL144" s="32"/>
      <c r="BM144" s="32"/>
      <c r="BN144" s="32"/>
      <c r="BO144" s="32"/>
      <c r="BP144" s="2"/>
      <c r="BQ144" s="2"/>
      <c r="BR144" s="2"/>
      <c r="BS144" s="86"/>
      <c r="BT144" s="32"/>
      <c r="BU144" s="33"/>
      <c r="BV144" s="33"/>
      <c r="BW144" s="32"/>
      <c r="BX144" s="32"/>
      <c r="BY144" s="32"/>
      <c r="BZ144" s="32"/>
      <c r="CA144" s="33"/>
      <c r="CB144" s="32"/>
      <c r="CC144" s="32"/>
      <c r="CD144" s="32"/>
      <c r="CE144" s="31"/>
      <c r="CF144" s="33"/>
      <c r="CG144" s="32"/>
      <c r="CH144" s="31"/>
      <c r="CI144" s="32"/>
      <c r="CJ144" s="32"/>
      <c r="CK144" s="32"/>
      <c r="CL144" s="32"/>
      <c r="CM144" s="32"/>
      <c r="CN144" s="32"/>
      <c r="CO144" s="32"/>
      <c r="CP144" s="32"/>
      <c r="CQ144" s="32"/>
      <c r="CR144" s="32"/>
      <c r="CS144" s="32"/>
      <c r="CT144" s="32"/>
      <c r="CU144" s="32"/>
      <c r="CV144" s="32"/>
      <c r="CW144" s="32"/>
      <c r="CX144" s="32"/>
      <c r="CY144" s="32"/>
      <c r="CZ144" s="32"/>
      <c r="DA144" s="32"/>
      <c r="DB144" s="32"/>
    </row>
    <row r="145" spans="1:106" ht="15" hidden="1" customHeight="1">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c r="AE145" s="32"/>
      <c r="AF145" s="32"/>
      <c r="AG145" s="32"/>
      <c r="AH145" s="32"/>
      <c r="AI145" s="32"/>
      <c r="AJ145" s="32"/>
      <c r="AK145" s="32"/>
      <c r="AL145" s="32"/>
      <c r="AM145" s="32"/>
      <c r="AN145" s="32"/>
      <c r="AO145" s="32"/>
      <c r="AP145" s="32"/>
      <c r="AQ145" s="32"/>
      <c r="AR145" s="31">
        <v>1760000</v>
      </c>
      <c r="AS145" s="31"/>
      <c r="AT145" s="31"/>
      <c r="AU145" s="31"/>
      <c r="AV145" s="31"/>
      <c r="AW145" s="31"/>
      <c r="AX145" s="32"/>
      <c r="AY145" s="32"/>
      <c r="AZ145" s="32"/>
      <c r="BA145" s="32"/>
      <c r="BB145" s="32"/>
      <c r="BC145" s="32"/>
      <c r="BD145" s="32"/>
      <c r="BE145" s="32"/>
      <c r="BF145" s="2"/>
      <c r="BG145" s="2"/>
      <c r="BH145" s="2"/>
      <c r="BI145" s="2"/>
      <c r="BJ145" s="2"/>
      <c r="BK145" s="96"/>
      <c r="BL145" s="32"/>
      <c r="BM145" s="32"/>
      <c r="BN145" s="32"/>
      <c r="BO145" s="32"/>
      <c r="BP145" s="2"/>
      <c r="BQ145" s="2"/>
      <c r="BR145" s="2"/>
      <c r="BS145" s="86"/>
      <c r="BT145" s="32"/>
      <c r="BU145" s="33"/>
      <c r="BV145" s="33"/>
      <c r="BW145" s="32"/>
      <c r="BX145" s="32"/>
      <c r="BY145" s="32"/>
      <c r="BZ145" s="32"/>
      <c r="CA145" s="33"/>
      <c r="CB145" s="32"/>
      <c r="CC145" s="32"/>
      <c r="CD145" s="32"/>
      <c r="CE145" s="31"/>
      <c r="CF145" s="48"/>
      <c r="CG145" s="31"/>
      <c r="CH145" s="31"/>
      <c r="CI145" s="32"/>
      <c r="CJ145" s="32"/>
      <c r="CK145" s="32"/>
      <c r="CL145" s="32"/>
      <c r="CM145" s="32"/>
      <c r="CN145" s="32"/>
      <c r="CO145" s="32"/>
      <c r="CP145" s="32"/>
      <c r="CQ145" s="32"/>
      <c r="CR145" s="32"/>
      <c r="CS145" s="32"/>
      <c r="CT145" s="32"/>
      <c r="CU145" s="32"/>
      <c r="CV145" s="32"/>
      <c r="CW145" s="32"/>
      <c r="CX145" s="32"/>
      <c r="CY145" s="32"/>
      <c r="CZ145" s="32"/>
      <c r="DA145" s="32"/>
      <c r="DB145" s="32"/>
    </row>
    <row r="146" spans="1:106" ht="15" hidden="1" customHeight="1">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1">
        <v>1770000</v>
      </c>
      <c r="AS146" s="31"/>
      <c r="AT146" s="31"/>
      <c r="AU146" s="31"/>
      <c r="AV146" s="31"/>
      <c r="AW146" s="31"/>
      <c r="AX146" s="32"/>
      <c r="AY146" s="32"/>
      <c r="AZ146" s="32"/>
      <c r="BA146" s="32"/>
      <c r="BB146" s="32"/>
      <c r="BC146" s="32"/>
      <c r="BD146" s="32"/>
      <c r="BE146" s="32"/>
      <c r="BF146" s="2"/>
      <c r="BG146" s="2"/>
      <c r="BH146" s="2"/>
      <c r="BI146" s="2"/>
      <c r="BJ146" s="2"/>
      <c r="BK146" s="96"/>
      <c r="BL146" s="32"/>
      <c r="BM146" s="32"/>
      <c r="BN146" s="32"/>
      <c r="BO146" s="32"/>
      <c r="BP146" s="2"/>
      <c r="BQ146" s="2"/>
      <c r="BR146" s="2"/>
      <c r="BS146" s="86"/>
      <c r="BT146" s="32"/>
      <c r="BU146" s="33"/>
      <c r="BV146" s="33"/>
      <c r="BW146" s="32"/>
      <c r="BX146" s="32"/>
      <c r="BY146" s="32"/>
      <c r="BZ146" s="32"/>
      <c r="CA146" s="47"/>
      <c r="CB146" s="31"/>
      <c r="CC146" s="31"/>
      <c r="CD146" s="32"/>
      <c r="CE146" s="31"/>
      <c r="CF146" s="48"/>
      <c r="CG146" s="31"/>
      <c r="CH146" s="31"/>
      <c r="CI146" s="32"/>
      <c r="CJ146" s="32"/>
      <c r="CK146" s="32"/>
      <c r="CL146" s="32"/>
      <c r="CM146" s="32"/>
      <c r="CN146" s="32"/>
      <c r="CO146" s="32"/>
      <c r="CP146" s="32"/>
      <c r="CQ146" s="32"/>
      <c r="CR146" s="32"/>
      <c r="CS146" s="32"/>
      <c r="CT146" s="32"/>
      <c r="CU146" s="32"/>
      <c r="CV146" s="32"/>
      <c r="CW146" s="32"/>
      <c r="CX146" s="32"/>
      <c r="CY146" s="32"/>
      <c r="CZ146" s="32"/>
      <c r="DA146" s="32"/>
      <c r="DB146" s="32"/>
    </row>
    <row r="147" spans="1:106" ht="15" hidden="1" customHeight="1">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c r="AM147" s="32"/>
      <c r="AN147" s="32"/>
      <c r="AO147" s="32"/>
      <c r="AP147" s="32"/>
      <c r="AQ147" s="32"/>
      <c r="AR147" s="31">
        <v>1780000</v>
      </c>
      <c r="AS147" s="31"/>
      <c r="AT147" s="31"/>
      <c r="AU147" s="31"/>
      <c r="AV147" s="31"/>
      <c r="AW147" s="31"/>
      <c r="AX147" s="32"/>
      <c r="AY147" s="32"/>
      <c r="AZ147" s="32"/>
      <c r="BA147" s="32"/>
      <c r="BB147" s="32"/>
      <c r="BC147" s="32"/>
      <c r="BD147" s="32"/>
      <c r="BE147" s="32"/>
      <c r="BF147" s="2"/>
      <c r="BG147" s="2"/>
      <c r="BH147" s="2"/>
      <c r="BI147" s="2"/>
      <c r="BJ147" s="2"/>
      <c r="BK147" s="96"/>
      <c r="BL147" s="32"/>
      <c r="BM147" s="32"/>
      <c r="BN147" s="32"/>
      <c r="BO147" s="32"/>
      <c r="BP147" s="2"/>
      <c r="BQ147" s="2"/>
      <c r="BR147" s="2"/>
      <c r="BS147" s="86"/>
      <c r="BT147" s="32"/>
      <c r="BU147" s="33"/>
      <c r="BV147" s="33"/>
      <c r="BW147" s="32"/>
      <c r="BX147" s="32"/>
      <c r="BY147" s="32"/>
      <c r="BZ147" s="32"/>
      <c r="CA147" s="47"/>
      <c r="CB147" s="31"/>
      <c r="CC147" s="31"/>
      <c r="CD147" s="32"/>
      <c r="CE147" s="31"/>
      <c r="CF147" s="48"/>
      <c r="CG147" s="31"/>
      <c r="CH147" s="31"/>
      <c r="CI147" s="32"/>
      <c r="CJ147" s="32"/>
      <c r="CK147" s="32"/>
      <c r="CL147" s="32"/>
      <c r="CM147" s="32"/>
      <c r="CN147" s="32"/>
      <c r="CO147" s="32"/>
      <c r="CP147" s="32"/>
      <c r="CQ147" s="32"/>
      <c r="CR147" s="32"/>
      <c r="CS147" s="32"/>
      <c r="CT147" s="32"/>
      <c r="CU147" s="32"/>
      <c r="CV147" s="32"/>
      <c r="CW147" s="32"/>
      <c r="CX147" s="32"/>
      <c r="CY147" s="32"/>
      <c r="CZ147" s="32"/>
      <c r="DA147" s="32"/>
      <c r="DB147" s="32"/>
    </row>
    <row r="148" spans="1:106" ht="15" hidden="1" customHeight="1">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c r="AE148" s="32"/>
      <c r="AF148" s="32"/>
      <c r="AG148" s="32"/>
      <c r="AH148" s="32"/>
      <c r="AI148" s="32"/>
      <c r="AJ148" s="32"/>
      <c r="AK148" s="32"/>
      <c r="AL148" s="32"/>
      <c r="AM148" s="32"/>
      <c r="AN148" s="32"/>
      <c r="AO148" s="32"/>
      <c r="AP148" s="32"/>
      <c r="AQ148" s="32"/>
      <c r="AR148" s="31">
        <v>1790000</v>
      </c>
      <c r="AS148" s="31"/>
      <c r="AT148" s="31"/>
      <c r="AU148" s="31"/>
      <c r="AV148" s="31"/>
      <c r="AW148" s="31"/>
      <c r="AX148" s="32"/>
      <c r="AY148" s="32"/>
      <c r="AZ148" s="32"/>
      <c r="BA148" s="32"/>
      <c r="BB148" s="32"/>
      <c r="BC148" s="32"/>
      <c r="BD148" s="32"/>
      <c r="BE148" s="32"/>
      <c r="BF148" s="2"/>
      <c r="BG148" s="2"/>
      <c r="BH148" s="2"/>
      <c r="BI148" s="2"/>
      <c r="BJ148" s="2"/>
      <c r="BK148" s="96"/>
      <c r="BL148" s="32"/>
      <c r="BM148" s="32"/>
      <c r="BN148" s="32"/>
      <c r="BO148" s="32"/>
      <c r="BP148" s="2"/>
      <c r="BQ148" s="2"/>
      <c r="BR148" s="2"/>
      <c r="BS148" s="86"/>
      <c r="BT148" s="32"/>
      <c r="BU148" s="33"/>
      <c r="BV148" s="33"/>
      <c r="BW148" s="32"/>
      <c r="BX148" s="32"/>
      <c r="BY148" s="32"/>
      <c r="BZ148" s="32"/>
      <c r="CA148" s="47"/>
      <c r="CB148" s="31"/>
      <c r="CC148" s="31"/>
      <c r="CD148" s="32"/>
      <c r="CE148" s="31"/>
      <c r="CF148" s="48"/>
      <c r="CG148" s="31"/>
      <c r="CH148" s="31"/>
      <c r="CI148" s="32"/>
      <c r="CJ148" s="32"/>
      <c r="CK148" s="32"/>
      <c r="CL148" s="32"/>
      <c r="CM148" s="32"/>
      <c r="CN148" s="32"/>
      <c r="CO148" s="32"/>
      <c r="CP148" s="32"/>
      <c r="CQ148" s="32"/>
      <c r="CR148" s="32"/>
      <c r="CS148" s="32"/>
      <c r="CT148" s="32"/>
      <c r="CU148" s="32"/>
      <c r="CV148" s="32"/>
      <c r="CW148" s="32"/>
      <c r="CX148" s="32"/>
      <c r="CY148" s="32"/>
      <c r="CZ148" s="32"/>
      <c r="DA148" s="32"/>
      <c r="DB148" s="32"/>
    </row>
    <row r="149" spans="1:106" ht="15" hidden="1" customHeight="1">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c r="AE149" s="32"/>
      <c r="AF149" s="32"/>
      <c r="AG149" s="32"/>
      <c r="AH149" s="32"/>
      <c r="AI149" s="32"/>
      <c r="AJ149" s="32"/>
      <c r="AK149" s="32"/>
      <c r="AL149" s="32"/>
      <c r="AM149" s="32"/>
      <c r="AN149" s="32"/>
      <c r="AO149" s="32"/>
      <c r="AP149" s="32"/>
      <c r="AQ149" s="32"/>
      <c r="AR149" s="31">
        <v>1800000</v>
      </c>
      <c r="AS149" s="31"/>
      <c r="AT149" s="31"/>
      <c r="AU149" s="31"/>
      <c r="AV149" s="31"/>
      <c r="AW149" s="31"/>
      <c r="AX149" s="32"/>
      <c r="AY149" s="32"/>
      <c r="AZ149" s="32"/>
      <c r="BA149" s="32"/>
      <c r="BB149" s="32"/>
      <c r="BC149" s="32"/>
      <c r="BD149" s="32"/>
      <c r="BE149" s="32"/>
      <c r="BF149" s="2"/>
      <c r="BG149" s="2"/>
      <c r="BH149" s="2"/>
      <c r="BI149" s="2"/>
      <c r="BJ149" s="2"/>
      <c r="BK149" s="96"/>
      <c r="BL149" s="32"/>
      <c r="BM149" s="32"/>
      <c r="BN149" s="32"/>
      <c r="BO149" s="32"/>
      <c r="BP149" s="2"/>
      <c r="BQ149" s="2"/>
      <c r="BR149" s="2"/>
      <c r="BS149" s="86"/>
      <c r="BT149" s="32"/>
      <c r="BU149" s="33"/>
      <c r="BV149" s="33"/>
      <c r="BW149" s="32"/>
      <c r="BX149" s="32"/>
      <c r="BY149" s="32"/>
      <c r="BZ149" s="32"/>
      <c r="CA149" s="47"/>
      <c r="CB149" s="31"/>
      <c r="CC149" s="31"/>
      <c r="CD149" s="32"/>
      <c r="CE149" s="31"/>
      <c r="CF149" s="48"/>
      <c r="CG149" s="31"/>
      <c r="CH149" s="31"/>
      <c r="CI149" s="32"/>
      <c r="CJ149" s="32"/>
      <c r="CK149" s="32"/>
      <c r="CL149" s="32"/>
      <c r="CM149" s="32"/>
      <c r="CN149" s="32"/>
      <c r="CO149" s="32"/>
      <c r="CP149" s="32"/>
      <c r="CQ149" s="32"/>
      <c r="CR149" s="32"/>
      <c r="CS149" s="32"/>
      <c r="CT149" s="32"/>
      <c r="CU149" s="32"/>
      <c r="CV149" s="32"/>
      <c r="CW149" s="32"/>
      <c r="CX149" s="32"/>
      <c r="CY149" s="32"/>
      <c r="CZ149" s="32"/>
      <c r="DA149" s="32"/>
      <c r="DB149" s="32"/>
    </row>
    <row r="150" spans="1:106" ht="15" hidden="1" customHeight="1">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c r="AF150" s="32"/>
      <c r="AG150" s="32"/>
      <c r="AH150" s="32"/>
      <c r="AI150" s="32"/>
      <c r="AJ150" s="32"/>
      <c r="AK150" s="32"/>
      <c r="AL150" s="32"/>
      <c r="AM150" s="32"/>
      <c r="AN150" s="32"/>
      <c r="AO150" s="32"/>
      <c r="AP150" s="32"/>
      <c r="AQ150" s="32"/>
      <c r="AR150" s="31">
        <v>1810000</v>
      </c>
      <c r="AS150" s="31"/>
      <c r="AT150" s="31"/>
      <c r="AU150" s="31"/>
      <c r="AV150" s="31"/>
      <c r="AW150" s="31"/>
      <c r="AX150" s="32"/>
      <c r="AY150" s="32"/>
      <c r="AZ150" s="32"/>
      <c r="BA150" s="32"/>
      <c r="BB150" s="32"/>
      <c r="BC150" s="32"/>
      <c r="BD150" s="32"/>
      <c r="BE150" s="32"/>
      <c r="BF150" s="2"/>
      <c r="BG150" s="2"/>
      <c r="BH150" s="2"/>
      <c r="BI150" s="2"/>
      <c r="BJ150" s="2"/>
      <c r="BK150" s="96"/>
      <c r="BL150" s="32"/>
      <c r="BM150" s="32"/>
      <c r="BN150" s="32"/>
      <c r="BO150" s="32"/>
      <c r="BP150" s="2"/>
      <c r="BQ150" s="2"/>
      <c r="BR150" s="2"/>
      <c r="BS150" s="86"/>
      <c r="BT150" s="32"/>
      <c r="BU150" s="33"/>
      <c r="BV150" s="33"/>
      <c r="BW150" s="32"/>
      <c r="BX150" s="32"/>
      <c r="BY150" s="32"/>
      <c r="BZ150" s="32"/>
      <c r="CA150" s="47"/>
      <c r="CB150" s="31"/>
      <c r="CC150" s="31"/>
      <c r="CD150" s="32"/>
      <c r="CE150" s="31"/>
      <c r="CF150" s="48"/>
      <c r="CG150" s="31"/>
      <c r="CH150" s="31"/>
      <c r="CI150" s="32"/>
      <c r="CJ150" s="32"/>
      <c r="CK150" s="32"/>
      <c r="CL150" s="32"/>
      <c r="CM150" s="32"/>
      <c r="CN150" s="32"/>
      <c r="CO150" s="32"/>
      <c r="CP150" s="32"/>
      <c r="CQ150" s="32"/>
      <c r="CR150" s="32"/>
      <c r="CS150" s="32"/>
      <c r="CT150" s="32"/>
      <c r="CU150" s="32"/>
      <c r="CV150" s="32"/>
      <c r="CW150" s="32"/>
      <c r="CX150" s="32"/>
      <c r="CY150" s="32"/>
      <c r="CZ150" s="32"/>
      <c r="DA150" s="32"/>
      <c r="DB150" s="32"/>
    </row>
    <row r="151" spans="1:106" ht="15" hidden="1" customHeight="1">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c r="AM151" s="32"/>
      <c r="AN151" s="32"/>
      <c r="AO151" s="32"/>
      <c r="AP151" s="32"/>
      <c r="AQ151" s="32"/>
      <c r="AR151" s="31">
        <v>1820000</v>
      </c>
      <c r="AS151" s="31"/>
      <c r="AT151" s="31"/>
      <c r="AU151" s="31"/>
      <c r="AV151" s="31"/>
      <c r="AW151" s="31"/>
      <c r="AX151" s="32"/>
      <c r="AY151" s="32"/>
      <c r="AZ151" s="32"/>
      <c r="BA151" s="32"/>
      <c r="BB151" s="32"/>
      <c r="BC151" s="32"/>
      <c r="BD151" s="32"/>
      <c r="BE151" s="32"/>
      <c r="BF151" s="2"/>
      <c r="BG151" s="2"/>
      <c r="BH151" s="2"/>
      <c r="BI151" s="2"/>
      <c r="BJ151" s="2"/>
      <c r="BK151" s="96"/>
      <c r="BL151" s="32"/>
      <c r="BM151" s="32"/>
      <c r="BN151" s="32"/>
      <c r="BO151" s="32"/>
      <c r="BP151" s="2"/>
      <c r="BQ151" s="2"/>
      <c r="BR151" s="2"/>
      <c r="BS151" s="86"/>
      <c r="BT151" s="32"/>
      <c r="BU151" s="33"/>
      <c r="BV151" s="33"/>
      <c r="BW151" s="32"/>
      <c r="BX151" s="32"/>
      <c r="BY151" s="32"/>
      <c r="BZ151" s="32"/>
      <c r="CA151" s="47"/>
      <c r="CB151" s="31"/>
      <c r="CC151" s="31"/>
      <c r="CD151" s="32"/>
      <c r="CE151" s="31"/>
      <c r="CF151" s="48"/>
      <c r="CG151" s="31"/>
      <c r="CH151" s="31"/>
      <c r="CI151" s="32"/>
      <c r="CJ151" s="32"/>
      <c r="CK151" s="32"/>
      <c r="CL151" s="32"/>
      <c r="CM151" s="32"/>
      <c r="CN151" s="32"/>
      <c r="CO151" s="32"/>
      <c r="CP151" s="32"/>
      <c r="CQ151" s="32"/>
      <c r="CR151" s="32"/>
      <c r="CS151" s="32"/>
      <c r="CT151" s="32"/>
      <c r="CU151" s="32"/>
      <c r="CV151" s="32"/>
      <c r="CW151" s="32"/>
      <c r="CX151" s="32"/>
      <c r="CY151" s="32"/>
      <c r="CZ151" s="32"/>
      <c r="DA151" s="32"/>
      <c r="DB151" s="32"/>
    </row>
    <row r="152" spans="1:106" ht="15" hidden="1" customHeight="1">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c r="AH152" s="32"/>
      <c r="AI152" s="32"/>
      <c r="AJ152" s="32"/>
      <c r="AK152" s="32"/>
      <c r="AL152" s="32"/>
      <c r="AM152" s="32"/>
      <c r="AN152" s="32"/>
      <c r="AO152" s="32"/>
      <c r="AP152" s="32"/>
      <c r="AQ152" s="32"/>
      <c r="AR152" s="31">
        <v>1830000</v>
      </c>
      <c r="AS152" s="31"/>
      <c r="AT152" s="31"/>
      <c r="AU152" s="31"/>
      <c r="AV152" s="31"/>
      <c r="AW152" s="31"/>
      <c r="AX152" s="32"/>
      <c r="AY152" s="32"/>
      <c r="AZ152" s="32"/>
      <c r="BA152" s="32"/>
      <c r="BB152" s="32"/>
      <c r="BC152" s="32"/>
      <c r="BD152" s="32"/>
      <c r="BE152" s="32"/>
      <c r="BF152" s="2"/>
      <c r="BG152" s="2"/>
      <c r="BH152" s="2"/>
      <c r="BI152" s="2"/>
      <c r="BJ152" s="2"/>
      <c r="BK152" s="96"/>
      <c r="BL152" s="32"/>
      <c r="BM152" s="32"/>
      <c r="BN152" s="32"/>
      <c r="BO152" s="32"/>
      <c r="BP152" s="2"/>
      <c r="BQ152" s="2"/>
      <c r="BR152" s="2"/>
      <c r="BS152" s="86"/>
      <c r="BT152" s="32"/>
      <c r="BU152" s="33"/>
      <c r="BV152" s="33"/>
      <c r="BW152" s="32"/>
      <c r="BX152" s="32"/>
      <c r="BY152" s="32"/>
      <c r="BZ152" s="32"/>
      <c r="CA152" s="47"/>
      <c r="CB152" s="31"/>
      <c r="CC152" s="31"/>
      <c r="CD152" s="32"/>
      <c r="CE152" s="31"/>
      <c r="CF152" s="48"/>
      <c r="CG152" s="31"/>
      <c r="CH152" s="31"/>
      <c r="CI152" s="32"/>
      <c r="CJ152" s="32"/>
      <c r="CK152" s="32"/>
      <c r="CL152" s="32"/>
      <c r="CM152" s="32"/>
      <c r="CN152" s="32"/>
      <c r="CO152" s="32"/>
      <c r="CP152" s="32"/>
      <c r="CQ152" s="32"/>
      <c r="CR152" s="32"/>
      <c r="CS152" s="32"/>
      <c r="CT152" s="32"/>
      <c r="CU152" s="32"/>
      <c r="CV152" s="32"/>
      <c r="CW152" s="32"/>
      <c r="CX152" s="32"/>
      <c r="CY152" s="32"/>
      <c r="CZ152" s="32"/>
      <c r="DA152" s="32"/>
      <c r="DB152" s="32"/>
    </row>
    <row r="153" spans="1:106" ht="15" hidden="1" customHeight="1">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c r="AG153" s="32"/>
      <c r="AH153" s="32"/>
      <c r="AI153" s="32"/>
      <c r="AJ153" s="32"/>
      <c r="AK153" s="32"/>
      <c r="AL153" s="32"/>
      <c r="AM153" s="32"/>
      <c r="AN153" s="32"/>
      <c r="AO153" s="32"/>
      <c r="AP153" s="32"/>
      <c r="AQ153" s="32"/>
      <c r="AR153" s="31">
        <v>1840000</v>
      </c>
      <c r="AS153" s="31"/>
      <c r="AT153" s="31"/>
      <c r="AU153" s="31"/>
      <c r="AV153" s="31"/>
      <c r="AW153" s="31"/>
      <c r="AX153" s="32"/>
      <c r="AY153" s="32"/>
      <c r="AZ153" s="32"/>
      <c r="BA153" s="32"/>
      <c r="BB153" s="32"/>
      <c r="BC153" s="32"/>
      <c r="BD153" s="32"/>
      <c r="BE153" s="32"/>
      <c r="BF153" s="2"/>
      <c r="BG153" s="2"/>
      <c r="BH153" s="2"/>
      <c r="BI153" s="2"/>
      <c r="BJ153" s="2"/>
      <c r="BK153" s="96"/>
      <c r="BL153" s="32"/>
      <c r="BM153" s="32"/>
      <c r="BN153" s="32"/>
      <c r="BO153" s="32"/>
      <c r="BP153" s="2"/>
      <c r="BQ153" s="2"/>
      <c r="BR153" s="2"/>
      <c r="BS153" s="86"/>
      <c r="BT153" s="32"/>
      <c r="BU153" s="33"/>
      <c r="BV153" s="33"/>
      <c r="BW153" s="32"/>
      <c r="BX153" s="32"/>
      <c r="BY153" s="32"/>
      <c r="BZ153" s="32"/>
      <c r="CA153" s="33"/>
      <c r="CB153" s="32"/>
      <c r="CC153" s="32"/>
      <c r="CD153" s="32"/>
      <c r="CE153" s="31"/>
      <c r="CF153" s="48"/>
      <c r="CG153" s="31"/>
      <c r="CH153" s="31"/>
      <c r="CI153" s="32"/>
      <c r="CJ153" s="32"/>
      <c r="CK153" s="32"/>
      <c r="CL153" s="32"/>
      <c r="CM153" s="32"/>
      <c r="CN153" s="32"/>
      <c r="CO153" s="32"/>
      <c r="CP153" s="32"/>
      <c r="CQ153" s="32"/>
      <c r="CR153" s="32"/>
      <c r="CS153" s="32"/>
      <c r="CT153" s="32"/>
      <c r="CU153" s="32"/>
      <c r="CV153" s="32"/>
      <c r="CW153" s="32"/>
      <c r="CX153" s="32"/>
      <c r="CY153" s="32"/>
      <c r="CZ153" s="32"/>
      <c r="DA153" s="32"/>
      <c r="DB153" s="32"/>
    </row>
    <row r="154" spans="1:106" ht="15" hidden="1" customHeight="1">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c r="AH154" s="32"/>
      <c r="AI154" s="32"/>
      <c r="AJ154" s="32"/>
      <c r="AK154" s="32"/>
      <c r="AL154" s="32"/>
      <c r="AM154" s="32"/>
      <c r="AN154" s="32"/>
      <c r="AO154" s="32"/>
      <c r="AP154" s="32"/>
      <c r="AQ154" s="32"/>
      <c r="AR154" s="31">
        <v>1850000</v>
      </c>
      <c r="AS154" s="31"/>
      <c r="AT154" s="31"/>
      <c r="AU154" s="31"/>
      <c r="AV154" s="31"/>
      <c r="AW154" s="31"/>
      <c r="AX154" s="32"/>
      <c r="AY154" s="32"/>
      <c r="AZ154" s="32"/>
      <c r="BA154" s="32"/>
      <c r="BB154" s="32"/>
      <c r="BC154" s="32"/>
      <c r="BD154" s="32"/>
      <c r="BE154" s="32"/>
      <c r="BF154" s="2"/>
      <c r="BG154" s="2"/>
      <c r="BH154" s="2"/>
      <c r="BI154" s="2"/>
      <c r="BJ154" s="2"/>
      <c r="BK154" s="96"/>
      <c r="BL154" s="32"/>
      <c r="BM154" s="32"/>
      <c r="BN154" s="32"/>
      <c r="BO154" s="32"/>
      <c r="BP154" s="2"/>
      <c r="BQ154" s="2"/>
      <c r="BR154" s="2"/>
      <c r="BS154" s="86"/>
      <c r="BT154" s="32"/>
      <c r="BU154" s="33"/>
      <c r="BV154" s="33"/>
      <c r="BW154" s="32"/>
      <c r="BX154" s="32"/>
      <c r="BY154" s="32"/>
      <c r="BZ154" s="32"/>
      <c r="CA154" s="33"/>
      <c r="CB154" s="32"/>
      <c r="CC154" s="32"/>
      <c r="CD154" s="32"/>
      <c r="CE154" s="31"/>
      <c r="CF154" s="48"/>
      <c r="CG154" s="31"/>
      <c r="CH154" s="31"/>
      <c r="CI154" s="32"/>
      <c r="CJ154" s="32"/>
      <c r="CK154" s="32"/>
      <c r="CL154" s="32"/>
      <c r="CM154" s="32"/>
      <c r="CN154" s="32"/>
      <c r="CO154" s="32"/>
      <c r="CP154" s="32"/>
      <c r="CQ154" s="32"/>
      <c r="CR154" s="32"/>
      <c r="CS154" s="32"/>
      <c r="CT154" s="32"/>
      <c r="CU154" s="32"/>
      <c r="CV154" s="32"/>
      <c r="CW154" s="32"/>
      <c r="CX154" s="32"/>
      <c r="CY154" s="32"/>
      <c r="CZ154" s="32"/>
      <c r="DA154" s="32"/>
      <c r="DB154" s="32"/>
    </row>
    <row r="155" spans="1:106" ht="15" hidden="1" customHeight="1">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c r="AE155" s="32"/>
      <c r="AF155" s="32"/>
      <c r="AG155" s="32"/>
      <c r="AH155" s="32"/>
      <c r="AI155" s="32"/>
      <c r="AJ155" s="32"/>
      <c r="AK155" s="32"/>
      <c r="AL155" s="32"/>
      <c r="AM155" s="32"/>
      <c r="AN155" s="32"/>
      <c r="AO155" s="32"/>
      <c r="AP155" s="32"/>
      <c r="AQ155" s="32"/>
      <c r="AR155" s="31">
        <v>1860000</v>
      </c>
      <c r="AS155" s="31"/>
      <c r="AT155" s="31"/>
      <c r="AU155" s="31"/>
      <c r="AV155" s="31"/>
      <c r="AW155" s="31"/>
      <c r="AX155" s="32"/>
      <c r="AY155" s="32"/>
      <c r="AZ155" s="32"/>
      <c r="BA155" s="32"/>
      <c r="BB155" s="32"/>
      <c r="BC155" s="32"/>
      <c r="BD155" s="32"/>
      <c r="BE155" s="32"/>
      <c r="BF155" s="2"/>
      <c r="BG155" s="2"/>
      <c r="BH155" s="2"/>
      <c r="BI155" s="2"/>
      <c r="BJ155" s="2"/>
      <c r="BK155" s="96"/>
      <c r="BL155" s="32"/>
      <c r="BM155" s="32"/>
      <c r="BN155" s="32"/>
      <c r="BO155" s="32"/>
      <c r="BP155" s="2"/>
      <c r="BQ155" s="2"/>
      <c r="BR155" s="2"/>
      <c r="BS155" s="86"/>
      <c r="BT155" s="32"/>
      <c r="BU155" s="33"/>
      <c r="BV155" s="33"/>
      <c r="BW155" s="32"/>
      <c r="BX155" s="32"/>
      <c r="BY155" s="32"/>
      <c r="BZ155" s="32"/>
      <c r="CA155" s="33"/>
      <c r="CB155" s="32"/>
      <c r="CC155" s="32"/>
      <c r="CD155" s="32"/>
      <c r="CE155" s="31"/>
      <c r="CF155" s="48"/>
      <c r="CG155" s="31"/>
      <c r="CH155" s="31"/>
      <c r="CI155" s="32"/>
      <c r="CJ155" s="32"/>
      <c r="CK155" s="32"/>
      <c r="CL155" s="32"/>
      <c r="CM155" s="32"/>
      <c r="CN155" s="32"/>
      <c r="CO155" s="32"/>
      <c r="CP155" s="32"/>
      <c r="CQ155" s="32"/>
      <c r="CR155" s="32"/>
      <c r="CS155" s="32"/>
      <c r="CT155" s="32"/>
      <c r="CU155" s="32"/>
      <c r="CV155" s="32"/>
      <c r="CW155" s="32"/>
      <c r="CX155" s="32"/>
      <c r="CY155" s="32"/>
      <c r="CZ155" s="32"/>
      <c r="DA155" s="32"/>
      <c r="DB155" s="32"/>
    </row>
    <row r="156" spans="1:106" ht="15" hidden="1" customHeight="1">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c r="AE156" s="32"/>
      <c r="AF156" s="32"/>
      <c r="AG156" s="32"/>
      <c r="AH156" s="32"/>
      <c r="AI156" s="32"/>
      <c r="AJ156" s="32"/>
      <c r="AK156" s="32"/>
      <c r="AL156" s="32"/>
      <c r="AM156" s="32"/>
      <c r="AN156" s="32"/>
      <c r="AO156" s="32"/>
      <c r="AP156" s="32"/>
      <c r="AQ156" s="32"/>
      <c r="AR156" s="31">
        <v>1870000</v>
      </c>
      <c r="AS156" s="31"/>
      <c r="AT156" s="31"/>
      <c r="AU156" s="31"/>
      <c r="AV156" s="31"/>
      <c r="AW156" s="31"/>
      <c r="AX156" s="32"/>
      <c r="AY156" s="32"/>
      <c r="AZ156" s="32"/>
      <c r="BA156" s="32"/>
      <c r="BB156" s="32"/>
      <c r="BC156" s="32"/>
      <c r="BD156" s="32"/>
      <c r="BE156" s="32"/>
      <c r="BF156" s="2"/>
      <c r="BG156" s="2"/>
      <c r="BH156" s="2"/>
      <c r="BI156" s="2"/>
      <c r="BJ156" s="2"/>
      <c r="BK156" s="96"/>
      <c r="BL156" s="32"/>
      <c r="BM156" s="32"/>
      <c r="BN156" s="32"/>
      <c r="BO156" s="32"/>
      <c r="BP156" s="2"/>
      <c r="BQ156" s="2"/>
      <c r="BR156" s="2"/>
      <c r="BS156" s="86"/>
      <c r="BT156" s="32"/>
      <c r="BU156" s="33"/>
      <c r="BV156" s="33"/>
      <c r="BW156" s="32"/>
      <c r="BX156" s="32"/>
      <c r="BY156" s="32"/>
      <c r="BZ156" s="32"/>
      <c r="CA156" s="33"/>
      <c r="CB156" s="32"/>
      <c r="CC156" s="32"/>
      <c r="CD156" s="32"/>
      <c r="CE156" s="31"/>
      <c r="CF156" s="48"/>
      <c r="CG156" s="31"/>
      <c r="CH156" s="31"/>
      <c r="CI156" s="32"/>
      <c r="CJ156" s="32"/>
      <c r="CK156" s="32"/>
      <c r="CL156" s="32"/>
      <c r="CM156" s="32"/>
      <c r="CN156" s="32"/>
      <c r="CO156" s="32"/>
      <c r="CP156" s="32"/>
      <c r="CQ156" s="32"/>
      <c r="CR156" s="32"/>
      <c r="CS156" s="32"/>
      <c r="CT156" s="32"/>
      <c r="CU156" s="32"/>
      <c r="CV156" s="32"/>
      <c r="CW156" s="32"/>
      <c r="CX156" s="32"/>
      <c r="CY156" s="32"/>
      <c r="CZ156" s="32"/>
      <c r="DA156" s="32"/>
      <c r="DB156" s="32"/>
    </row>
    <row r="157" spans="1:106" ht="15" hidden="1" customHeight="1">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c r="AE157" s="32"/>
      <c r="AF157" s="32"/>
      <c r="AG157" s="32"/>
      <c r="AH157" s="32"/>
      <c r="AI157" s="32"/>
      <c r="AJ157" s="32"/>
      <c r="AK157" s="32"/>
      <c r="AL157" s="32"/>
      <c r="AM157" s="32"/>
      <c r="AN157" s="32"/>
      <c r="AO157" s="32"/>
      <c r="AP157" s="32"/>
      <c r="AQ157" s="32"/>
      <c r="AR157" s="31">
        <v>1880000</v>
      </c>
      <c r="AS157" s="31"/>
      <c r="AT157" s="31"/>
      <c r="AU157" s="31"/>
      <c r="AV157" s="31"/>
      <c r="AW157" s="31"/>
      <c r="AX157" s="32"/>
      <c r="AY157" s="32"/>
      <c r="AZ157" s="32"/>
      <c r="BA157" s="32"/>
      <c r="BB157" s="32"/>
      <c r="BC157" s="32"/>
      <c r="BD157" s="32"/>
      <c r="BE157" s="32"/>
      <c r="BF157" s="2"/>
      <c r="BG157" s="2"/>
      <c r="BH157" s="2"/>
      <c r="BI157" s="2"/>
      <c r="BJ157" s="2"/>
      <c r="BK157" s="96"/>
      <c r="BL157" s="32"/>
      <c r="BM157" s="32"/>
      <c r="BN157" s="32"/>
      <c r="BO157" s="32"/>
      <c r="BP157" s="2"/>
      <c r="BQ157" s="2"/>
      <c r="BR157" s="2"/>
      <c r="BS157" s="86"/>
      <c r="BT157" s="32"/>
      <c r="BU157" s="33"/>
      <c r="BV157" s="33"/>
      <c r="BW157" s="32"/>
      <c r="BX157" s="32"/>
      <c r="BY157" s="32"/>
      <c r="BZ157" s="32"/>
      <c r="CA157" s="47"/>
      <c r="CB157" s="31"/>
      <c r="CC157" s="31"/>
      <c r="CD157" s="32"/>
      <c r="CE157" s="31"/>
      <c r="CF157" s="48"/>
      <c r="CG157" s="31"/>
      <c r="CH157" s="31"/>
      <c r="CI157" s="32"/>
      <c r="CJ157" s="32"/>
      <c r="CK157" s="32"/>
      <c r="CL157" s="32"/>
      <c r="CM157" s="32"/>
      <c r="CN157" s="32"/>
      <c r="CO157" s="32"/>
      <c r="CP157" s="32"/>
      <c r="CQ157" s="32"/>
      <c r="CR157" s="32"/>
      <c r="CS157" s="32"/>
      <c r="CT157" s="32"/>
      <c r="CU157" s="32"/>
      <c r="CV157" s="32"/>
      <c r="CW157" s="32"/>
      <c r="CX157" s="32"/>
      <c r="CY157" s="32"/>
      <c r="CZ157" s="32"/>
      <c r="DA157" s="32"/>
      <c r="DB157" s="32"/>
    </row>
    <row r="158" spans="1:106" ht="15" hidden="1" customHeight="1">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c r="AE158" s="32"/>
      <c r="AF158" s="32"/>
      <c r="AG158" s="32"/>
      <c r="AH158" s="32"/>
      <c r="AI158" s="32"/>
      <c r="AJ158" s="32"/>
      <c r="AK158" s="32"/>
      <c r="AL158" s="32"/>
      <c r="AM158" s="32"/>
      <c r="AN158" s="32"/>
      <c r="AO158" s="32"/>
      <c r="AP158" s="32"/>
      <c r="AQ158" s="32"/>
      <c r="AR158" s="31">
        <v>1890000</v>
      </c>
      <c r="AS158" s="31"/>
      <c r="AT158" s="31"/>
      <c r="AU158" s="31"/>
      <c r="AV158" s="31"/>
      <c r="AW158" s="31"/>
      <c r="AX158" s="32"/>
      <c r="AY158" s="32"/>
      <c r="AZ158" s="32"/>
      <c r="BA158" s="32"/>
      <c r="BB158" s="32"/>
      <c r="BC158" s="32"/>
      <c r="BD158" s="32"/>
      <c r="BE158" s="32"/>
      <c r="BF158" s="2"/>
      <c r="BG158" s="2"/>
      <c r="BH158" s="2"/>
      <c r="BI158" s="2"/>
      <c r="BJ158" s="2"/>
      <c r="BK158" s="96"/>
      <c r="BL158" s="32"/>
      <c r="BM158" s="32"/>
      <c r="BN158" s="32"/>
      <c r="BO158" s="32"/>
      <c r="BP158" s="2"/>
      <c r="BQ158" s="2"/>
      <c r="BR158" s="2"/>
      <c r="BS158" s="86"/>
      <c r="BT158" s="32"/>
      <c r="BU158" s="33"/>
      <c r="BV158" s="33"/>
      <c r="BW158" s="32"/>
      <c r="BX158" s="32"/>
      <c r="BY158" s="32"/>
      <c r="BZ158" s="32"/>
      <c r="CA158" s="47"/>
      <c r="CB158" s="31"/>
      <c r="CC158" s="31"/>
      <c r="CD158" s="31"/>
      <c r="CE158" s="31"/>
      <c r="CF158" s="48"/>
      <c r="CG158" s="31"/>
      <c r="CH158" s="31"/>
      <c r="CI158" s="32"/>
      <c r="CJ158" s="32"/>
      <c r="CK158" s="32"/>
      <c r="CL158" s="32"/>
      <c r="CM158" s="32"/>
      <c r="CN158" s="32"/>
      <c r="CO158" s="32"/>
      <c r="CP158" s="32"/>
      <c r="CQ158" s="32"/>
      <c r="CR158" s="32"/>
      <c r="CS158" s="32"/>
      <c r="CT158" s="32"/>
      <c r="CU158" s="32"/>
      <c r="CV158" s="32"/>
      <c r="CW158" s="32"/>
      <c r="CX158" s="32"/>
      <c r="CY158" s="32"/>
      <c r="CZ158" s="32"/>
      <c r="DA158" s="32"/>
      <c r="DB158" s="32"/>
    </row>
    <row r="159" spans="1:106" ht="15" hidden="1" customHeight="1">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c r="AE159" s="32"/>
      <c r="AF159" s="32"/>
      <c r="AG159" s="32"/>
      <c r="AH159" s="32"/>
      <c r="AI159" s="32"/>
      <c r="AJ159" s="32"/>
      <c r="AK159" s="32"/>
      <c r="AL159" s="32"/>
      <c r="AM159" s="32"/>
      <c r="AN159" s="32"/>
      <c r="AO159" s="32"/>
      <c r="AP159" s="32"/>
      <c r="AQ159" s="32"/>
      <c r="AR159" s="31">
        <v>1900000</v>
      </c>
      <c r="AS159" s="31"/>
      <c r="AT159" s="31"/>
      <c r="AU159" s="31"/>
      <c r="AV159" s="31"/>
      <c r="AW159" s="31"/>
      <c r="AX159" s="32"/>
      <c r="AY159" s="32"/>
      <c r="AZ159" s="32"/>
      <c r="BA159" s="32"/>
      <c r="BB159" s="32"/>
      <c r="BC159" s="32"/>
      <c r="BD159" s="32"/>
      <c r="BE159" s="32"/>
      <c r="BF159" s="2"/>
      <c r="BG159" s="2"/>
      <c r="BH159" s="2"/>
      <c r="BI159" s="2"/>
      <c r="BJ159" s="2"/>
      <c r="BK159" s="96"/>
      <c r="BL159" s="32"/>
      <c r="BM159" s="32"/>
      <c r="BN159" s="32"/>
      <c r="BO159" s="32"/>
      <c r="BP159" s="2"/>
      <c r="BQ159" s="2"/>
      <c r="BR159" s="2"/>
      <c r="BS159" s="86"/>
      <c r="BT159" s="32"/>
      <c r="BU159" s="33"/>
      <c r="BV159" s="33"/>
      <c r="BW159" s="32"/>
      <c r="BX159" s="32"/>
      <c r="BY159" s="32"/>
      <c r="BZ159" s="32"/>
      <c r="CA159" s="47"/>
      <c r="CB159" s="31"/>
      <c r="CC159" s="31"/>
      <c r="CD159" s="31"/>
      <c r="CE159" s="31"/>
      <c r="CF159" s="48"/>
      <c r="CG159" s="31"/>
      <c r="CH159" s="31"/>
      <c r="CI159" s="32"/>
      <c r="CJ159" s="32"/>
      <c r="CK159" s="32"/>
      <c r="CL159" s="32"/>
      <c r="CM159" s="32"/>
      <c r="CN159" s="32"/>
      <c r="CO159" s="32"/>
      <c r="CP159" s="32"/>
      <c r="CQ159" s="32"/>
      <c r="CR159" s="32"/>
      <c r="CS159" s="32"/>
      <c r="CT159" s="32"/>
      <c r="CU159" s="32"/>
      <c r="CV159" s="32"/>
      <c r="CW159" s="32"/>
      <c r="CX159" s="32"/>
      <c r="CY159" s="32"/>
      <c r="CZ159" s="32"/>
      <c r="DA159" s="32"/>
      <c r="DB159" s="32"/>
    </row>
    <row r="160" spans="1:106" ht="15" hidden="1" customHeight="1">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c r="AE160" s="32"/>
      <c r="AF160" s="32"/>
      <c r="AG160" s="32"/>
      <c r="AH160" s="32"/>
      <c r="AI160" s="32"/>
      <c r="AJ160" s="32"/>
      <c r="AK160" s="32"/>
      <c r="AL160" s="32"/>
      <c r="AM160" s="32"/>
      <c r="AN160" s="32"/>
      <c r="AO160" s="32"/>
      <c r="AP160" s="32"/>
      <c r="AQ160" s="32"/>
      <c r="AR160" s="31">
        <v>1910000</v>
      </c>
      <c r="AS160" s="31"/>
      <c r="AT160" s="31"/>
      <c r="AU160" s="31"/>
      <c r="AV160" s="31"/>
      <c r="AW160" s="31"/>
      <c r="AX160" s="32"/>
      <c r="AY160" s="32"/>
      <c r="AZ160" s="32"/>
      <c r="BA160" s="32"/>
      <c r="BB160" s="32"/>
      <c r="BC160" s="32"/>
      <c r="BD160" s="32"/>
      <c r="BE160" s="32"/>
      <c r="BF160" s="2"/>
      <c r="BG160" s="2"/>
      <c r="BH160" s="2"/>
      <c r="BI160" s="2"/>
      <c r="BJ160" s="2"/>
      <c r="BK160" s="96"/>
      <c r="BL160" s="32"/>
      <c r="BM160" s="32"/>
      <c r="BN160" s="32"/>
      <c r="BO160" s="32"/>
      <c r="BP160" s="2"/>
      <c r="BQ160" s="2"/>
      <c r="BR160" s="2"/>
      <c r="BS160" s="86"/>
      <c r="BT160" s="32"/>
      <c r="BU160" s="33"/>
      <c r="BV160" s="33"/>
      <c r="BW160" s="32"/>
      <c r="BX160" s="32"/>
      <c r="BY160" s="32"/>
      <c r="BZ160" s="32"/>
      <c r="CA160" s="47"/>
      <c r="CB160" s="31"/>
      <c r="CC160" s="31"/>
      <c r="CD160" s="31"/>
      <c r="CE160" s="31"/>
      <c r="CF160" s="48"/>
      <c r="CG160" s="31"/>
      <c r="CH160" s="31"/>
      <c r="CI160" s="32"/>
      <c r="CJ160" s="32"/>
      <c r="CK160" s="32"/>
      <c r="CL160" s="32"/>
      <c r="CM160" s="32"/>
      <c r="CN160" s="32"/>
      <c r="CO160" s="32"/>
      <c r="CP160" s="32"/>
      <c r="CQ160" s="32"/>
      <c r="CR160" s="32"/>
      <c r="CS160" s="32"/>
      <c r="CT160" s="32"/>
      <c r="CU160" s="32"/>
      <c r="CV160" s="32"/>
      <c r="CW160" s="32"/>
      <c r="CX160" s="32"/>
      <c r="CY160" s="32"/>
      <c r="CZ160" s="32"/>
      <c r="DA160" s="32"/>
      <c r="DB160" s="32"/>
    </row>
    <row r="161" spans="1:106" ht="15" hidden="1" customHeight="1">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c r="AE161" s="32"/>
      <c r="AF161" s="32"/>
      <c r="AG161" s="32"/>
      <c r="AH161" s="32"/>
      <c r="AI161" s="32"/>
      <c r="AJ161" s="32"/>
      <c r="AK161" s="32"/>
      <c r="AL161" s="32"/>
      <c r="AM161" s="32"/>
      <c r="AN161" s="32"/>
      <c r="AO161" s="32"/>
      <c r="AP161" s="32"/>
      <c r="AQ161" s="32"/>
      <c r="AR161" s="31">
        <v>1920000</v>
      </c>
      <c r="AS161" s="31"/>
      <c r="AT161" s="31"/>
      <c r="AU161" s="31"/>
      <c r="AV161" s="31"/>
      <c r="AW161" s="31"/>
      <c r="AX161" s="32"/>
      <c r="AY161" s="32"/>
      <c r="AZ161" s="32"/>
      <c r="BA161" s="32"/>
      <c r="BB161" s="32"/>
      <c r="BC161" s="32"/>
      <c r="BD161" s="32"/>
      <c r="BE161" s="32"/>
      <c r="BF161" s="2"/>
      <c r="BG161" s="2"/>
      <c r="BH161" s="2"/>
      <c r="BI161" s="2"/>
      <c r="BJ161" s="2"/>
      <c r="BK161" s="96"/>
      <c r="BL161" s="32"/>
      <c r="BM161" s="32"/>
      <c r="BN161" s="32"/>
      <c r="BO161" s="32"/>
      <c r="BP161" s="2"/>
      <c r="BQ161" s="2"/>
      <c r="BR161" s="2"/>
      <c r="BS161" s="86"/>
      <c r="BT161" s="32"/>
      <c r="BU161" s="33"/>
      <c r="BV161" s="33"/>
      <c r="BW161" s="32"/>
      <c r="BX161" s="32"/>
      <c r="BY161" s="32"/>
      <c r="BZ161" s="32"/>
      <c r="CA161" s="47"/>
      <c r="CB161" s="31"/>
      <c r="CC161" s="31"/>
      <c r="CD161" s="31"/>
      <c r="CE161" s="31"/>
      <c r="CF161" s="48"/>
      <c r="CG161" s="31"/>
      <c r="CH161" s="31"/>
      <c r="CI161" s="32"/>
      <c r="CJ161" s="32"/>
      <c r="CK161" s="32"/>
      <c r="CL161" s="32"/>
      <c r="CM161" s="32"/>
      <c r="CN161" s="32"/>
      <c r="CO161" s="32"/>
      <c r="CP161" s="32"/>
      <c r="CQ161" s="32"/>
      <c r="CR161" s="32"/>
      <c r="CS161" s="32"/>
      <c r="CT161" s="32"/>
      <c r="CU161" s="32"/>
      <c r="CV161" s="32"/>
      <c r="CW161" s="32"/>
      <c r="CX161" s="32"/>
      <c r="CY161" s="32"/>
      <c r="CZ161" s="32"/>
      <c r="DA161" s="32"/>
      <c r="DB161" s="32"/>
    </row>
    <row r="162" spans="1:106" ht="15" hidden="1" customHeight="1">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c r="AE162" s="32"/>
      <c r="AF162" s="32"/>
      <c r="AG162" s="32"/>
      <c r="AH162" s="32"/>
      <c r="AI162" s="32"/>
      <c r="AJ162" s="32"/>
      <c r="AK162" s="32"/>
      <c r="AL162" s="32"/>
      <c r="AM162" s="32"/>
      <c r="AN162" s="32"/>
      <c r="AO162" s="32"/>
      <c r="AP162" s="32"/>
      <c r="AQ162" s="32"/>
      <c r="AR162" s="31">
        <v>1930000</v>
      </c>
      <c r="AS162" s="31"/>
      <c r="AT162" s="31"/>
      <c r="AU162" s="31"/>
      <c r="AV162" s="31"/>
      <c r="AW162" s="31"/>
      <c r="AX162" s="32"/>
      <c r="AY162" s="32"/>
      <c r="AZ162" s="32"/>
      <c r="BA162" s="32"/>
      <c r="BB162" s="32"/>
      <c r="BC162" s="32"/>
      <c r="BD162" s="32"/>
      <c r="BE162" s="32"/>
      <c r="BF162" s="2"/>
      <c r="BG162" s="2"/>
      <c r="BH162" s="2"/>
      <c r="BI162" s="2"/>
      <c r="BJ162" s="2"/>
      <c r="BK162" s="96"/>
      <c r="BL162" s="32"/>
      <c r="BM162" s="32"/>
      <c r="BN162" s="32"/>
      <c r="BO162" s="32"/>
      <c r="BP162" s="2"/>
      <c r="BQ162" s="2"/>
      <c r="BR162" s="2"/>
      <c r="BS162" s="86"/>
      <c r="BT162" s="32"/>
      <c r="BU162" s="33"/>
      <c r="BV162" s="33"/>
      <c r="BW162" s="32"/>
      <c r="BX162" s="32"/>
      <c r="BY162" s="32"/>
      <c r="BZ162" s="32"/>
      <c r="CA162" s="33"/>
      <c r="CB162" s="32"/>
      <c r="CC162" s="32"/>
      <c r="CD162" s="31"/>
      <c r="CE162" s="31"/>
      <c r="CF162" s="48"/>
      <c r="CG162" s="31"/>
      <c r="CH162" s="31"/>
      <c r="CI162" s="32"/>
      <c r="CJ162" s="32"/>
      <c r="CK162" s="32"/>
      <c r="CL162" s="32"/>
      <c r="CM162" s="32"/>
      <c r="CN162" s="32"/>
      <c r="CO162" s="32"/>
      <c r="CP162" s="32"/>
      <c r="CQ162" s="32"/>
      <c r="CR162" s="32"/>
      <c r="CS162" s="32"/>
      <c r="CT162" s="32"/>
      <c r="CU162" s="32"/>
      <c r="CV162" s="32"/>
      <c r="CW162" s="32"/>
      <c r="CX162" s="32"/>
      <c r="CY162" s="32"/>
      <c r="CZ162" s="32"/>
      <c r="DA162" s="32"/>
      <c r="DB162" s="32"/>
    </row>
    <row r="163" spans="1:106" ht="15" hidden="1" customHeight="1">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c r="AE163" s="32"/>
      <c r="AF163" s="32"/>
      <c r="AG163" s="32"/>
      <c r="AH163" s="32"/>
      <c r="AI163" s="32"/>
      <c r="AJ163" s="32"/>
      <c r="AK163" s="32"/>
      <c r="AL163" s="32"/>
      <c r="AM163" s="32"/>
      <c r="AN163" s="32"/>
      <c r="AO163" s="32"/>
      <c r="AP163" s="32"/>
      <c r="AQ163" s="32"/>
      <c r="AR163" s="31">
        <v>1940000</v>
      </c>
      <c r="AS163" s="31"/>
      <c r="AT163" s="31"/>
      <c r="AU163" s="31"/>
      <c r="AV163" s="31"/>
      <c r="AW163" s="31"/>
      <c r="AX163" s="32"/>
      <c r="AY163" s="32"/>
      <c r="AZ163" s="32"/>
      <c r="BA163" s="32"/>
      <c r="BB163" s="32"/>
      <c r="BC163" s="32"/>
      <c r="BD163" s="32"/>
      <c r="BE163" s="32"/>
      <c r="BF163" s="2"/>
      <c r="BG163" s="2"/>
      <c r="BH163" s="2"/>
      <c r="BI163" s="2"/>
      <c r="BJ163" s="2"/>
      <c r="BK163" s="96"/>
      <c r="BL163" s="32"/>
      <c r="BM163" s="32"/>
      <c r="BN163" s="32"/>
      <c r="BO163" s="32"/>
      <c r="BP163" s="2"/>
      <c r="BQ163" s="2"/>
      <c r="BR163" s="2"/>
      <c r="BS163" s="86"/>
      <c r="BT163" s="32"/>
      <c r="BU163" s="33"/>
      <c r="BV163" s="33"/>
      <c r="BW163" s="32"/>
      <c r="BX163" s="32"/>
      <c r="BY163" s="32"/>
      <c r="BZ163" s="32"/>
      <c r="CA163" s="33"/>
      <c r="CB163" s="32"/>
      <c r="CC163" s="32"/>
      <c r="CD163" s="31"/>
      <c r="CE163" s="31"/>
      <c r="CF163" s="48"/>
      <c r="CG163" s="31"/>
      <c r="CH163" s="31"/>
      <c r="CI163" s="32"/>
      <c r="CJ163" s="32"/>
      <c r="CK163" s="32"/>
      <c r="CL163" s="32"/>
      <c r="CM163" s="32"/>
      <c r="CN163" s="32"/>
      <c r="CO163" s="32"/>
      <c r="CP163" s="32"/>
      <c r="CQ163" s="32"/>
      <c r="CR163" s="32"/>
      <c r="CS163" s="32"/>
      <c r="CT163" s="32"/>
      <c r="CU163" s="32"/>
      <c r="CV163" s="32"/>
      <c r="CW163" s="32"/>
      <c r="CX163" s="32"/>
      <c r="CY163" s="32"/>
      <c r="CZ163" s="32"/>
      <c r="DA163" s="32"/>
      <c r="DB163" s="32"/>
    </row>
    <row r="164" spans="1:106" ht="15" hidden="1" customHeight="1">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c r="AE164" s="32"/>
      <c r="AF164" s="32"/>
      <c r="AG164" s="32"/>
      <c r="AH164" s="32"/>
      <c r="AI164" s="32"/>
      <c r="AJ164" s="32"/>
      <c r="AK164" s="32"/>
      <c r="AL164" s="32"/>
      <c r="AM164" s="32"/>
      <c r="AN164" s="32"/>
      <c r="AO164" s="32"/>
      <c r="AP164" s="32"/>
      <c r="AQ164" s="32"/>
      <c r="AR164" s="31">
        <v>1950000</v>
      </c>
      <c r="AS164" s="31"/>
      <c r="AT164" s="31"/>
      <c r="AU164" s="31"/>
      <c r="AV164" s="31"/>
      <c r="AW164" s="31"/>
      <c r="AX164" s="32"/>
      <c r="AY164" s="32"/>
      <c r="AZ164" s="32"/>
      <c r="BA164" s="32"/>
      <c r="BB164" s="32"/>
      <c r="BC164" s="32"/>
      <c r="BD164" s="32"/>
      <c r="BE164" s="32"/>
      <c r="BF164" s="2"/>
      <c r="BG164" s="2"/>
      <c r="BH164" s="2"/>
      <c r="BI164" s="2"/>
      <c r="BJ164" s="2"/>
      <c r="BK164" s="96"/>
      <c r="BL164" s="32"/>
      <c r="BM164" s="32"/>
      <c r="BN164" s="32"/>
      <c r="BO164" s="32"/>
      <c r="BP164" s="2"/>
      <c r="BQ164" s="2"/>
      <c r="BR164" s="2"/>
      <c r="BS164" s="86"/>
      <c r="BT164" s="32"/>
      <c r="BU164" s="33"/>
      <c r="BV164" s="33"/>
      <c r="BW164" s="32"/>
      <c r="BX164" s="32"/>
      <c r="BY164" s="32"/>
      <c r="BZ164" s="32"/>
      <c r="CA164" s="33"/>
      <c r="CB164" s="32"/>
      <c r="CC164" s="32"/>
      <c r="CD164" s="31"/>
      <c r="CE164" s="31"/>
      <c r="CF164" s="48"/>
      <c r="CG164" s="31"/>
      <c r="CH164" s="31"/>
      <c r="CI164" s="32"/>
      <c r="CJ164" s="32"/>
      <c r="CK164" s="32"/>
      <c r="CL164" s="32"/>
      <c r="CM164" s="32"/>
      <c r="CN164" s="32"/>
      <c r="CO164" s="32"/>
      <c r="CP164" s="32"/>
      <c r="CQ164" s="32"/>
      <c r="CR164" s="32"/>
      <c r="CS164" s="32"/>
      <c r="CT164" s="32"/>
      <c r="CU164" s="32"/>
      <c r="CV164" s="32"/>
      <c r="CW164" s="32"/>
      <c r="CX164" s="32"/>
      <c r="CY164" s="32"/>
      <c r="CZ164" s="32"/>
      <c r="DA164" s="32"/>
      <c r="DB164" s="32"/>
    </row>
    <row r="165" spans="1:106" ht="15" hidden="1" customHeight="1">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c r="AE165" s="32"/>
      <c r="AF165" s="32"/>
      <c r="AG165" s="32"/>
      <c r="AH165" s="32"/>
      <c r="AI165" s="32"/>
      <c r="AJ165" s="32"/>
      <c r="AK165" s="32"/>
      <c r="AL165" s="32"/>
      <c r="AM165" s="32"/>
      <c r="AN165" s="32"/>
      <c r="AO165" s="32"/>
      <c r="AP165" s="32"/>
      <c r="AQ165" s="32"/>
      <c r="AR165" s="31">
        <v>1960000</v>
      </c>
      <c r="AS165" s="31"/>
      <c r="AT165" s="31"/>
      <c r="AU165" s="31"/>
      <c r="AV165" s="31"/>
      <c r="AW165" s="31"/>
      <c r="AX165" s="32"/>
      <c r="AY165" s="32"/>
      <c r="AZ165" s="32"/>
      <c r="BA165" s="32"/>
      <c r="BB165" s="32"/>
      <c r="BC165" s="32"/>
      <c r="BD165" s="32"/>
      <c r="BE165" s="32"/>
      <c r="BF165" s="2"/>
      <c r="BG165" s="2"/>
      <c r="BH165" s="2"/>
      <c r="BI165" s="2"/>
      <c r="BJ165" s="2"/>
      <c r="BK165" s="96"/>
      <c r="BL165" s="32"/>
      <c r="BM165" s="32"/>
      <c r="BN165" s="32"/>
      <c r="BO165" s="32"/>
      <c r="BP165" s="2"/>
      <c r="BQ165" s="2"/>
      <c r="BR165" s="2"/>
      <c r="BS165" s="86"/>
      <c r="BT165" s="32"/>
      <c r="BU165" s="33"/>
      <c r="BV165" s="33"/>
      <c r="BW165" s="32"/>
      <c r="BX165" s="32"/>
      <c r="BY165" s="32"/>
      <c r="BZ165" s="32"/>
      <c r="CA165" s="33"/>
      <c r="CB165" s="32"/>
      <c r="CC165" s="32"/>
      <c r="CD165" s="31"/>
      <c r="CE165" s="31"/>
      <c r="CF165" s="48"/>
      <c r="CG165" s="31"/>
      <c r="CH165" s="31"/>
      <c r="CI165" s="32"/>
      <c r="CJ165" s="32"/>
      <c r="CK165" s="32"/>
      <c r="CL165" s="32"/>
      <c r="CM165" s="32"/>
      <c r="CN165" s="32"/>
      <c r="CO165" s="32"/>
      <c r="CP165" s="32"/>
      <c r="CQ165" s="32"/>
      <c r="CR165" s="32"/>
      <c r="CS165" s="32"/>
      <c r="CT165" s="32"/>
      <c r="CU165" s="32"/>
      <c r="CV165" s="32"/>
      <c r="CW165" s="32"/>
      <c r="CX165" s="32"/>
      <c r="CY165" s="32"/>
      <c r="CZ165" s="32"/>
      <c r="DA165" s="32"/>
      <c r="DB165" s="32"/>
    </row>
    <row r="166" spans="1:106" ht="15" hidden="1" customHeight="1">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c r="AE166" s="32"/>
      <c r="AF166" s="32"/>
      <c r="AG166" s="32"/>
      <c r="AH166" s="32"/>
      <c r="AI166" s="32"/>
      <c r="AJ166" s="32"/>
      <c r="AK166" s="32"/>
      <c r="AL166" s="32"/>
      <c r="AM166" s="32"/>
      <c r="AN166" s="32"/>
      <c r="AO166" s="32"/>
      <c r="AP166" s="32"/>
      <c r="AQ166" s="32"/>
      <c r="AR166" s="31">
        <v>1970000</v>
      </c>
      <c r="AS166" s="31"/>
      <c r="AT166" s="31"/>
      <c r="AU166" s="31"/>
      <c r="AV166" s="31"/>
      <c r="AW166" s="31"/>
      <c r="AX166" s="32"/>
      <c r="AY166" s="32"/>
      <c r="AZ166" s="32"/>
      <c r="BA166" s="32"/>
      <c r="BB166" s="32"/>
      <c r="BC166" s="32"/>
      <c r="BD166" s="32"/>
      <c r="BE166" s="32"/>
      <c r="BF166" s="2"/>
      <c r="BG166" s="2"/>
      <c r="BH166" s="2"/>
      <c r="BI166" s="2"/>
      <c r="BJ166" s="2"/>
      <c r="BK166" s="96"/>
      <c r="BL166" s="32"/>
      <c r="BM166" s="32"/>
      <c r="BN166" s="32"/>
      <c r="BO166" s="32"/>
      <c r="BP166" s="2"/>
      <c r="BQ166" s="2"/>
      <c r="BR166" s="2"/>
      <c r="BS166" s="86"/>
      <c r="BT166" s="32"/>
      <c r="BU166" s="33"/>
      <c r="BV166" s="33"/>
      <c r="BW166" s="32"/>
      <c r="BX166" s="32"/>
      <c r="BY166" s="32"/>
      <c r="BZ166" s="32"/>
      <c r="CA166" s="33"/>
      <c r="CB166" s="32"/>
      <c r="CC166" s="32"/>
      <c r="CD166" s="31"/>
      <c r="CE166" s="31"/>
      <c r="CF166" s="48"/>
      <c r="CG166" s="31"/>
      <c r="CH166" s="31"/>
      <c r="CI166" s="32"/>
      <c r="CJ166" s="32"/>
      <c r="CK166" s="32"/>
      <c r="CL166" s="32"/>
      <c r="CM166" s="32"/>
      <c r="CN166" s="32"/>
      <c r="CO166" s="32"/>
      <c r="CP166" s="32"/>
      <c r="CQ166" s="32"/>
      <c r="CR166" s="32"/>
      <c r="CS166" s="32"/>
      <c r="CT166" s="32"/>
      <c r="CU166" s="32"/>
      <c r="CV166" s="32"/>
      <c r="CW166" s="32"/>
      <c r="CX166" s="32"/>
      <c r="CY166" s="32"/>
      <c r="CZ166" s="32"/>
      <c r="DA166" s="32"/>
      <c r="DB166" s="32"/>
    </row>
    <row r="167" spans="1:106" ht="15" hidden="1" customHeight="1">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c r="AE167" s="32"/>
      <c r="AF167" s="32"/>
      <c r="AG167" s="32"/>
      <c r="AH167" s="32"/>
      <c r="AI167" s="32"/>
      <c r="AJ167" s="32"/>
      <c r="AK167" s="32"/>
      <c r="AL167" s="32"/>
      <c r="AM167" s="32"/>
      <c r="AN167" s="32"/>
      <c r="AO167" s="32"/>
      <c r="AP167" s="32"/>
      <c r="AQ167" s="32"/>
      <c r="AR167" s="31">
        <v>1980000</v>
      </c>
      <c r="AS167" s="31"/>
      <c r="AT167" s="31"/>
      <c r="AU167" s="31"/>
      <c r="AV167" s="31"/>
      <c r="AW167" s="31"/>
      <c r="AX167" s="32"/>
      <c r="AY167" s="32"/>
      <c r="AZ167" s="32"/>
      <c r="BA167" s="32"/>
      <c r="BB167" s="32"/>
      <c r="BC167" s="32"/>
      <c r="BD167" s="32"/>
      <c r="BE167" s="32"/>
      <c r="BF167" s="2"/>
      <c r="BG167" s="2"/>
      <c r="BH167" s="2"/>
      <c r="BI167" s="2"/>
      <c r="BJ167" s="2"/>
      <c r="BK167" s="96"/>
      <c r="BL167" s="32"/>
      <c r="BM167" s="32"/>
      <c r="BN167" s="32"/>
      <c r="BO167" s="32"/>
      <c r="BP167" s="2"/>
      <c r="BQ167" s="2"/>
      <c r="BR167" s="2"/>
      <c r="BS167" s="86"/>
      <c r="BT167" s="32"/>
      <c r="BU167" s="33"/>
      <c r="BV167" s="33"/>
      <c r="BW167" s="32"/>
      <c r="BX167" s="32"/>
      <c r="BY167" s="32"/>
      <c r="BZ167" s="32"/>
      <c r="CA167" s="33"/>
      <c r="CB167" s="32"/>
      <c r="CC167" s="32"/>
      <c r="CD167" s="31"/>
      <c r="CE167" s="31"/>
      <c r="CF167" s="48"/>
      <c r="CG167" s="31"/>
      <c r="CH167" s="31"/>
      <c r="CI167" s="32"/>
      <c r="CJ167" s="32"/>
      <c r="CK167" s="32"/>
      <c r="CL167" s="32"/>
      <c r="CM167" s="32"/>
      <c r="CN167" s="32"/>
      <c r="CO167" s="32"/>
      <c r="CP167" s="32"/>
      <c r="CQ167" s="32"/>
      <c r="CR167" s="32"/>
      <c r="CS167" s="32"/>
      <c r="CT167" s="32"/>
      <c r="CU167" s="32"/>
      <c r="CV167" s="32"/>
      <c r="CW167" s="32"/>
      <c r="CX167" s="32"/>
      <c r="CY167" s="32"/>
      <c r="CZ167" s="32"/>
      <c r="DA167" s="32"/>
      <c r="DB167" s="32"/>
    </row>
    <row r="168" spans="1:106" ht="15" hidden="1" customHeight="1">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c r="AE168" s="32"/>
      <c r="AF168" s="32"/>
      <c r="AG168" s="32"/>
      <c r="AH168" s="32"/>
      <c r="AI168" s="32"/>
      <c r="AJ168" s="32"/>
      <c r="AK168" s="32"/>
      <c r="AL168" s="32"/>
      <c r="AM168" s="32"/>
      <c r="AN168" s="32"/>
      <c r="AO168" s="32"/>
      <c r="AP168" s="32"/>
      <c r="AQ168" s="32"/>
      <c r="AR168" s="31">
        <v>1990000</v>
      </c>
      <c r="AS168" s="31"/>
      <c r="AT168" s="31"/>
      <c r="AU168" s="31"/>
      <c r="AV168" s="31"/>
      <c r="AW168" s="31"/>
      <c r="AX168" s="32"/>
      <c r="AY168" s="32"/>
      <c r="AZ168" s="32"/>
      <c r="BA168" s="32"/>
      <c r="BB168" s="32"/>
      <c r="BC168" s="32"/>
      <c r="BD168" s="32"/>
      <c r="BE168" s="32"/>
      <c r="BF168" s="2"/>
      <c r="BG168" s="2"/>
      <c r="BH168" s="2"/>
      <c r="BI168" s="2"/>
      <c r="BJ168" s="2"/>
      <c r="BK168" s="96"/>
      <c r="BL168" s="32"/>
      <c r="BM168" s="32"/>
      <c r="BN168" s="32"/>
      <c r="BO168" s="32"/>
      <c r="BP168" s="2"/>
      <c r="BQ168" s="2"/>
      <c r="BR168" s="2"/>
      <c r="BS168" s="86"/>
      <c r="BT168" s="32"/>
      <c r="BU168" s="33"/>
      <c r="BV168" s="33"/>
      <c r="BW168" s="32"/>
      <c r="BX168" s="32"/>
      <c r="BY168" s="32"/>
      <c r="BZ168" s="32"/>
      <c r="CA168" s="47"/>
      <c r="CB168" s="31"/>
      <c r="CC168" s="31"/>
      <c r="CD168" s="31"/>
      <c r="CE168" s="31"/>
      <c r="CF168" s="48"/>
      <c r="CG168" s="31"/>
      <c r="CH168" s="31"/>
      <c r="CI168" s="32"/>
      <c r="CJ168" s="32"/>
      <c r="CK168" s="32"/>
      <c r="CL168" s="32"/>
      <c r="CM168" s="32"/>
      <c r="CN168" s="32"/>
      <c r="CO168" s="32"/>
      <c r="CP168" s="32"/>
      <c r="CQ168" s="32"/>
      <c r="CR168" s="32"/>
      <c r="CS168" s="32"/>
      <c r="CT168" s="32"/>
      <c r="CU168" s="32"/>
      <c r="CV168" s="32"/>
      <c r="CW168" s="32"/>
      <c r="CX168" s="32"/>
      <c r="CY168" s="32"/>
      <c r="CZ168" s="32"/>
      <c r="DA168" s="32"/>
      <c r="DB168" s="32"/>
    </row>
    <row r="169" spans="1:106" ht="15" hidden="1" customHeight="1">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c r="AE169" s="32"/>
      <c r="AF169" s="32"/>
      <c r="AG169" s="32"/>
      <c r="AH169" s="32"/>
      <c r="AI169" s="32"/>
      <c r="AJ169" s="32"/>
      <c r="AK169" s="32"/>
      <c r="AL169" s="32"/>
      <c r="AM169" s="32"/>
      <c r="AN169" s="32"/>
      <c r="AO169" s="32"/>
      <c r="AP169" s="32"/>
      <c r="AQ169" s="32"/>
      <c r="AR169" s="31">
        <v>2000000</v>
      </c>
      <c r="AS169" s="31"/>
      <c r="AT169" s="31"/>
      <c r="AU169" s="31"/>
      <c r="AV169" s="31"/>
      <c r="AW169" s="31"/>
      <c r="AX169" s="32"/>
      <c r="AY169" s="32"/>
      <c r="AZ169" s="32"/>
      <c r="BA169" s="32"/>
      <c r="BB169" s="32"/>
      <c r="BC169" s="32"/>
      <c r="BD169" s="32"/>
      <c r="BE169" s="32"/>
      <c r="BF169" s="2"/>
      <c r="BG169" s="2"/>
      <c r="BH169" s="2"/>
      <c r="BI169" s="2"/>
      <c r="BJ169" s="2"/>
      <c r="BK169" s="96"/>
      <c r="BL169" s="32"/>
      <c r="BM169" s="32"/>
      <c r="BN169" s="32"/>
      <c r="BO169" s="32"/>
      <c r="BP169" s="2"/>
      <c r="BQ169" s="2"/>
      <c r="BR169" s="2"/>
      <c r="BS169" s="86"/>
      <c r="BT169" s="32"/>
      <c r="BU169" s="33"/>
      <c r="BV169" s="33"/>
      <c r="BW169" s="32"/>
      <c r="BX169" s="32"/>
      <c r="BY169" s="32"/>
      <c r="BZ169" s="32"/>
      <c r="CA169" s="47"/>
      <c r="CB169" s="31"/>
      <c r="CC169" s="31"/>
      <c r="CD169" s="31"/>
      <c r="CE169" s="31"/>
      <c r="CF169" s="48"/>
      <c r="CG169" s="31"/>
      <c r="CH169" s="31"/>
      <c r="CI169" s="32"/>
      <c r="CJ169" s="32"/>
      <c r="CK169" s="32"/>
      <c r="CL169" s="32"/>
      <c r="CM169" s="32"/>
      <c r="CN169" s="32"/>
      <c r="CO169" s="32"/>
      <c r="CP169" s="32"/>
      <c r="CQ169" s="32"/>
      <c r="CR169" s="32"/>
      <c r="CS169" s="32"/>
      <c r="CT169" s="32"/>
      <c r="CU169" s="32"/>
      <c r="CV169" s="32"/>
      <c r="CW169" s="32"/>
      <c r="CX169" s="32"/>
      <c r="CY169" s="32"/>
      <c r="CZ169" s="32"/>
      <c r="DA169" s="32"/>
      <c r="DB169" s="32"/>
    </row>
    <row r="170" spans="1:106" ht="15" hidden="1" customHeight="1">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c r="AA170" s="32"/>
      <c r="AB170" s="32"/>
      <c r="AC170" s="32"/>
      <c r="AD170" s="32"/>
      <c r="AE170" s="32"/>
      <c r="AF170" s="32"/>
      <c r="AG170" s="32"/>
      <c r="AH170" s="32"/>
      <c r="AI170" s="32"/>
      <c r="AJ170" s="32"/>
      <c r="AK170" s="32"/>
      <c r="AL170" s="32"/>
      <c r="AM170" s="32"/>
      <c r="AN170" s="32"/>
      <c r="AO170" s="32"/>
      <c r="AP170" s="32"/>
      <c r="AQ170" s="32"/>
      <c r="AR170" s="32"/>
      <c r="AS170" s="32"/>
      <c r="AT170" s="32"/>
      <c r="AU170" s="32"/>
      <c r="AV170" s="32"/>
      <c r="AW170" s="32"/>
      <c r="AX170" s="32"/>
      <c r="AY170" s="32"/>
      <c r="AZ170" s="32"/>
      <c r="BA170" s="32"/>
      <c r="BB170" s="32"/>
      <c r="BC170" s="32"/>
      <c r="BD170" s="32"/>
      <c r="BE170" s="32"/>
      <c r="BF170" s="2"/>
      <c r="BG170" s="2"/>
      <c r="BH170" s="2"/>
      <c r="BI170" s="2"/>
      <c r="BJ170" s="2"/>
      <c r="BK170" s="96"/>
      <c r="BL170" s="32"/>
      <c r="BM170" s="32"/>
      <c r="BN170" s="32"/>
      <c r="BO170" s="32"/>
      <c r="BP170" s="2"/>
      <c r="BQ170" s="2"/>
      <c r="BR170" s="2"/>
      <c r="BS170" s="86"/>
      <c r="BT170" s="32"/>
      <c r="BU170" s="33"/>
      <c r="BV170" s="33"/>
      <c r="BW170" s="32"/>
      <c r="BX170" s="32"/>
      <c r="BY170" s="32"/>
      <c r="BZ170" s="32"/>
      <c r="CA170" s="47"/>
      <c r="CB170" s="31"/>
      <c r="CC170" s="31"/>
      <c r="CD170" s="31"/>
      <c r="CE170" s="31"/>
      <c r="CF170" s="48"/>
      <c r="CG170" s="31"/>
      <c r="CH170" s="31"/>
      <c r="CI170" s="32"/>
      <c r="CJ170" s="32"/>
      <c r="CK170" s="32"/>
      <c r="CL170" s="32"/>
      <c r="CM170" s="32"/>
      <c r="CN170" s="32"/>
      <c r="CO170" s="32"/>
      <c r="CP170" s="32"/>
      <c r="CQ170" s="32"/>
      <c r="CR170" s="32"/>
      <c r="CS170" s="32"/>
      <c r="CT170" s="32"/>
      <c r="CU170" s="32"/>
      <c r="CV170" s="32"/>
      <c r="CW170" s="32"/>
      <c r="CX170" s="32"/>
      <c r="CY170" s="32"/>
      <c r="CZ170" s="32"/>
      <c r="DA170" s="32"/>
      <c r="DB170" s="32"/>
    </row>
    <row r="171" spans="1:106" ht="15" hidden="1" customHeight="1">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c r="AE171" s="32"/>
      <c r="AF171" s="32"/>
      <c r="AG171" s="32"/>
      <c r="AH171" s="32"/>
      <c r="AI171" s="32"/>
      <c r="AJ171" s="32"/>
      <c r="AK171" s="32"/>
      <c r="AL171" s="32"/>
      <c r="AM171" s="32"/>
      <c r="AN171" s="32"/>
      <c r="AO171" s="32"/>
      <c r="AP171" s="32"/>
      <c r="AQ171" s="32"/>
      <c r="AR171" s="32"/>
      <c r="AS171" s="32"/>
      <c r="AT171" s="32"/>
      <c r="AU171" s="32"/>
      <c r="AV171" s="32"/>
      <c r="AW171" s="32"/>
      <c r="AX171" s="32"/>
      <c r="AY171" s="32"/>
      <c r="AZ171" s="32"/>
      <c r="BA171" s="32"/>
      <c r="BB171" s="32"/>
      <c r="BC171" s="32"/>
      <c r="BD171" s="32"/>
      <c r="BE171" s="32"/>
      <c r="BF171" s="2"/>
      <c r="BG171" s="2"/>
      <c r="BH171" s="2"/>
      <c r="BI171" s="2"/>
      <c r="BJ171" s="2"/>
      <c r="BK171" s="96"/>
      <c r="BL171" s="32"/>
      <c r="BM171" s="32"/>
      <c r="BN171" s="32"/>
      <c r="BO171" s="32"/>
      <c r="BP171" s="2"/>
      <c r="BQ171" s="2"/>
      <c r="BR171" s="2"/>
      <c r="BS171" s="86"/>
      <c r="BT171" s="32"/>
      <c r="BU171" s="33"/>
      <c r="BV171" s="33"/>
      <c r="BW171" s="32"/>
      <c r="BX171" s="32"/>
      <c r="BY171" s="32"/>
      <c r="BZ171" s="32"/>
      <c r="CA171" s="33"/>
      <c r="CB171" s="32"/>
      <c r="CC171" s="32"/>
      <c r="CD171" s="31"/>
      <c r="CE171" s="31"/>
      <c r="CF171" s="48"/>
      <c r="CG171" s="31"/>
      <c r="CH171" s="31"/>
      <c r="CI171" s="32"/>
      <c r="CJ171" s="32"/>
      <c r="CK171" s="32"/>
      <c r="CL171" s="32"/>
      <c r="CM171" s="32"/>
      <c r="CN171" s="32"/>
      <c r="CO171" s="32"/>
      <c r="CP171" s="32"/>
      <c r="CQ171" s="32"/>
      <c r="CR171" s="32"/>
      <c r="CS171" s="32"/>
      <c r="CT171" s="32"/>
      <c r="CU171" s="32"/>
      <c r="CV171" s="32"/>
      <c r="CW171" s="32"/>
      <c r="CX171" s="32"/>
      <c r="CY171" s="32"/>
      <c r="CZ171" s="32"/>
      <c r="DA171" s="32"/>
      <c r="DB171" s="32"/>
    </row>
    <row r="172" spans="1:106" ht="15" hidden="1" customHeight="1">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c r="AE172" s="32"/>
      <c r="AF172" s="32"/>
      <c r="AG172" s="32"/>
      <c r="AH172" s="32"/>
      <c r="AI172" s="32"/>
      <c r="AJ172" s="32"/>
      <c r="AK172" s="32"/>
      <c r="AL172" s="32"/>
      <c r="AM172" s="32"/>
      <c r="AN172" s="32"/>
      <c r="AO172" s="32"/>
      <c r="AP172" s="32"/>
      <c r="AQ172" s="32"/>
      <c r="AR172" s="32"/>
      <c r="AS172" s="32"/>
      <c r="AT172" s="32"/>
      <c r="AU172" s="32"/>
      <c r="AV172" s="32"/>
      <c r="AW172" s="32"/>
      <c r="AX172" s="32"/>
      <c r="AY172" s="32"/>
      <c r="AZ172" s="32"/>
      <c r="BA172" s="32"/>
      <c r="BB172" s="32"/>
      <c r="BC172" s="32"/>
      <c r="BD172" s="32"/>
      <c r="BE172" s="32"/>
      <c r="BF172" s="2"/>
      <c r="BG172" s="2"/>
      <c r="BH172" s="2"/>
      <c r="BI172" s="2"/>
      <c r="BJ172" s="2"/>
      <c r="BK172" s="96"/>
      <c r="BL172" s="32"/>
      <c r="BM172" s="32"/>
      <c r="BN172" s="32"/>
      <c r="BO172" s="32"/>
      <c r="BP172" s="2"/>
      <c r="BQ172" s="2"/>
      <c r="BR172" s="2"/>
      <c r="BS172" s="86"/>
      <c r="BT172" s="32"/>
      <c r="BU172" s="33"/>
      <c r="BV172" s="33"/>
      <c r="BW172" s="32"/>
      <c r="BX172" s="32"/>
      <c r="BY172" s="32"/>
      <c r="BZ172" s="32"/>
      <c r="CA172" s="33"/>
      <c r="CB172" s="32"/>
      <c r="CC172" s="32"/>
      <c r="CD172" s="31"/>
      <c r="CE172" s="31"/>
      <c r="CF172" s="48"/>
      <c r="CG172" s="31"/>
      <c r="CH172" s="31"/>
      <c r="CI172" s="32"/>
      <c r="CJ172" s="32"/>
      <c r="CK172" s="32"/>
      <c r="CL172" s="32"/>
      <c r="CM172" s="32"/>
      <c r="CN172" s="32"/>
      <c r="CO172" s="32"/>
      <c r="CP172" s="32"/>
      <c r="CQ172" s="32"/>
      <c r="CR172" s="32"/>
      <c r="CS172" s="32"/>
      <c r="CT172" s="32"/>
      <c r="CU172" s="32"/>
      <c r="CV172" s="32"/>
      <c r="CW172" s="32"/>
      <c r="CX172" s="32"/>
      <c r="CY172" s="32"/>
      <c r="CZ172" s="32"/>
      <c r="DA172" s="32"/>
      <c r="DB172" s="32"/>
    </row>
    <row r="173" spans="1:106" ht="15" hidden="1" customHeight="1">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c r="AE173" s="32"/>
      <c r="AF173" s="32"/>
      <c r="AG173" s="32"/>
      <c r="AH173" s="32"/>
      <c r="AI173" s="32"/>
      <c r="AJ173" s="32"/>
      <c r="AK173" s="32"/>
      <c r="AL173" s="32"/>
      <c r="AM173" s="32"/>
      <c r="AN173" s="32"/>
      <c r="AO173" s="32"/>
      <c r="AP173" s="32"/>
      <c r="AQ173" s="32"/>
      <c r="AR173" s="32"/>
      <c r="AS173" s="32"/>
      <c r="AT173" s="32"/>
      <c r="AU173" s="32"/>
      <c r="AV173" s="32"/>
      <c r="AW173" s="32"/>
      <c r="AX173" s="32"/>
      <c r="AY173" s="32"/>
      <c r="AZ173" s="32"/>
      <c r="BA173" s="32"/>
      <c r="BB173" s="32"/>
      <c r="BC173" s="32"/>
      <c r="BD173" s="32"/>
      <c r="BE173" s="32"/>
      <c r="BF173" s="2"/>
      <c r="BG173" s="2"/>
      <c r="BH173" s="2"/>
      <c r="BI173" s="2"/>
      <c r="BJ173" s="2"/>
      <c r="BK173" s="96"/>
      <c r="BL173" s="32"/>
      <c r="BM173" s="32"/>
      <c r="BN173" s="32"/>
      <c r="BO173" s="32"/>
      <c r="BP173" s="2"/>
      <c r="BQ173" s="2"/>
      <c r="BR173" s="2"/>
      <c r="BS173" s="86"/>
      <c r="BT173" s="32"/>
      <c r="BU173" s="33"/>
      <c r="BV173" s="33"/>
      <c r="BW173" s="32"/>
      <c r="BX173" s="32"/>
      <c r="BY173" s="32"/>
      <c r="BZ173" s="32"/>
      <c r="CA173" s="33"/>
      <c r="CB173" s="32"/>
      <c r="CC173" s="32"/>
      <c r="CD173" s="31"/>
      <c r="CE173" s="31"/>
      <c r="CF173" s="48"/>
      <c r="CG173" s="31"/>
      <c r="CH173" s="31"/>
      <c r="CI173" s="32"/>
      <c r="CJ173" s="32"/>
      <c r="CK173" s="32"/>
      <c r="CL173" s="32"/>
      <c r="CM173" s="32"/>
      <c r="CN173" s="32"/>
      <c r="CO173" s="32"/>
      <c r="CP173" s="32"/>
      <c r="CQ173" s="32"/>
      <c r="CR173" s="32"/>
      <c r="CS173" s="32"/>
      <c r="CT173" s="32"/>
      <c r="CU173" s="32"/>
      <c r="CV173" s="32"/>
      <c r="CW173" s="32"/>
      <c r="CX173" s="32"/>
      <c r="CY173" s="32"/>
      <c r="CZ173" s="32"/>
      <c r="DA173" s="32"/>
      <c r="DB173" s="32"/>
    </row>
    <row r="174" spans="1:106" ht="15" hidden="1" customHeight="1">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c r="AE174" s="32"/>
      <c r="AF174" s="32"/>
      <c r="AG174" s="32"/>
      <c r="AH174" s="32"/>
      <c r="AI174" s="32"/>
      <c r="AJ174" s="32"/>
      <c r="AK174" s="32"/>
      <c r="AL174" s="32"/>
      <c r="AM174" s="32"/>
      <c r="AN174" s="32"/>
      <c r="AO174" s="32"/>
      <c r="AP174" s="32"/>
      <c r="AQ174" s="32"/>
      <c r="AR174" s="32"/>
      <c r="AS174" s="32"/>
      <c r="AT174" s="32"/>
      <c r="AU174" s="32"/>
      <c r="AV174" s="32"/>
      <c r="AW174" s="32"/>
      <c r="AX174" s="32"/>
      <c r="AY174" s="32"/>
      <c r="AZ174" s="32"/>
      <c r="BA174" s="32"/>
      <c r="BB174" s="32"/>
      <c r="BC174" s="32"/>
      <c r="BD174" s="32"/>
      <c r="BE174" s="32"/>
      <c r="BF174" s="2"/>
      <c r="BG174" s="2"/>
      <c r="BH174" s="2"/>
      <c r="BI174" s="2"/>
      <c r="BJ174" s="2"/>
      <c r="BK174" s="96"/>
      <c r="BL174" s="32"/>
      <c r="BM174" s="32"/>
      <c r="BN174" s="32"/>
      <c r="BO174" s="32"/>
      <c r="BP174" s="2"/>
      <c r="BQ174" s="2"/>
      <c r="BR174" s="2"/>
      <c r="BS174" s="86"/>
      <c r="BT174" s="32"/>
      <c r="BU174" s="33"/>
      <c r="BV174" s="33"/>
      <c r="BW174" s="32"/>
      <c r="BX174" s="32"/>
      <c r="BY174" s="32"/>
      <c r="BZ174" s="32"/>
      <c r="CA174" s="33"/>
      <c r="CB174" s="32"/>
      <c r="CC174" s="32"/>
      <c r="CD174" s="31"/>
      <c r="CE174" s="31"/>
      <c r="CF174" s="48"/>
      <c r="CG174" s="31"/>
      <c r="CH174" s="31"/>
      <c r="CI174" s="32"/>
      <c r="CJ174" s="32"/>
      <c r="CK174" s="32"/>
      <c r="CL174" s="32"/>
      <c r="CM174" s="32"/>
      <c r="CN174" s="32"/>
      <c r="CO174" s="32"/>
      <c r="CP174" s="32"/>
      <c r="CQ174" s="32"/>
      <c r="CR174" s="32"/>
      <c r="CS174" s="32"/>
      <c r="CT174" s="32"/>
      <c r="CU174" s="32"/>
      <c r="CV174" s="32"/>
      <c r="CW174" s="32"/>
      <c r="CX174" s="32"/>
      <c r="CY174" s="32"/>
      <c r="CZ174" s="32"/>
      <c r="DA174" s="32"/>
      <c r="DB174" s="32"/>
    </row>
    <row r="175" spans="1:106" ht="15" hidden="1" customHeight="1">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c r="AE175" s="32"/>
      <c r="AF175" s="32"/>
      <c r="AG175" s="32"/>
      <c r="AH175" s="32"/>
      <c r="AI175" s="32"/>
      <c r="AJ175" s="32"/>
      <c r="AK175" s="32"/>
      <c r="AL175" s="32"/>
      <c r="AM175" s="32"/>
      <c r="AN175" s="32"/>
      <c r="AO175" s="32"/>
      <c r="AP175" s="32"/>
      <c r="AQ175" s="32"/>
      <c r="AR175" s="32"/>
      <c r="AS175" s="32"/>
      <c r="AT175" s="32"/>
      <c r="AU175" s="32"/>
      <c r="AV175" s="32"/>
      <c r="AW175" s="32"/>
      <c r="AX175" s="32"/>
      <c r="AY175" s="32"/>
      <c r="AZ175" s="32"/>
      <c r="BA175" s="32"/>
      <c r="BB175" s="32"/>
      <c r="BC175" s="32"/>
      <c r="BD175" s="32"/>
      <c r="BE175" s="32"/>
      <c r="BF175" s="2"/>
      <c r="BG175" s="2"/>
      <c r="BH175" s="2"/>
      <c r="BI175" s="2"/>
      <c r="BJ175" s="2"/>
      <c r="BK175" s="96"/>
      <c r="BL175" s="32"/>
      <c r="BM175" s="32"/>
      <c r="BN175" s="32"/>
      <c r="BO175" s="32"/>
      <c r="BP175" s="2"/>
      <c r="BQ175" s="2"/>
      <c r="BR175" s="2"/>
      <c r="BS175" s="86"/>
      <c r="BT175" s="32"/>
      <c r="BU175" s="33"/>
      <c r="BV175" s="33"/>
      <c r="BW175" s="32"/>
      <c r="BX175" s="32"/>
      <c r="BY175" s="32"/>
      <c r="BZ175" s="32"/>
      <c r="CA175" s="47"/>
      <c r="CB175" s="31"/>
      <c r="CC175" s="31"/>
      <c r="CD175" s="31"/>
      <c r="CE175" s="31"/>
      <c r="CF175" s="48"/>
      <c r="CG175" s="31"/>
      <c r="CH175" s="31"/>
      <c r="CI175" s="32"/>
      <c r="CJ175" s="32"/>
      <c r="CK175" s="32"/>
      <c r="CL175" s="32"/>
      <c r="CM175" s="32"/>
      <c r="CN175" s="32"/>
      <c r="CO175" s="32"/>
      <c r="CP175" s="32"/>
      <c r="CQ175" s="32"/>
      <c r="CR175" s="32"/>
      <c r="CS175" s="32"/>
      <c r="CT175" s="32"/>
      <c r="CU175" s="32"/>
      <c r="CV175" s="32"/>
      <c r="CW175" s="32"/>
      <c r="CX175" s="32"/>
      <c r="CY175" s="32"/>
      <c r="CZ175" s="32"/>
      <c r="DA175" s="32"/>
      <c r="DB175" s="32"/>
    </row>
    <row r="176" spans="1:106" ht="15" hidden="1" customHeight="1">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c r="AE176" s="32"/>
      <c r="AF176" s="32"/>
      <c r="AG176" s="32"/>
      <c r="AH176" s="32"/>
      <c r="AI176" s="32"/>
      <c r="AJ176" s="32"/>
      <c r="AK176" s="32"/>
      <c r="AL176" s="32"/>
      <c r="AM176" s="32"/>
      <c r="AN176" s="32"/>
      <c r="AO176" s="32"/>
      <c r="AP176" s="32"/>
      <c r="AQ176" s="32"/>
      <c r="AR176" s="32"/>
      <c r="AS176" s="32"/>
      <c r="AT176" s="32"/>
      <c r="AU176" s="32"/>
      <c r="AV176" s="32"/>
      <c r="AW176" s="32"/>
      <c r="AX176" s="32"/>
      <c r="AY176" s="32"/>
      <c r="AZ176" s="32"/>
      <c r="BA176" s="32"/>
      <c r="BB176" s="32"/>
      <c r="BC176" s="32"/>
      <c r="BD176" s="32"/>
      <c r="BE176" s="32"/>
      <c r="BF176" s="2"/>
      <c r="BG176" s="2"/>
      <c r="BH176" s="2"/>
      <c r="BI176" s="2"/>
      <c r="BJ176" s="2"/>
      <c r="BK176" s="96"/>
      <c r="BL176" s="32"/>
      <c r="BM176" s="32"/>
      <c r="BN176" s="32"/>
      <c r="BO176" s="32"/>
      <c r="BP176" s="2"/>
      <c r="BQ176" s="2"/>
      <c r="BR176" s="2"/>
      <c r="BS176" s="86"/>
      <c r="BT176" s="32"/>
      <c r="BU176" s="33"/>
      <c r="BV176" s="33"/>
      <c r="BW176" s="32"/>
      <c r="BX176" s="32"/>
      <c r="BY176" s="32"/>
      <c r="BZ176" s="32"/>
      <c r="CA176" s="33"/>
      <c r="CB176" s="32"/>
      <c r="CC176" s="32"/>
      <c r="CD176" s="31"/>
      <c r="CE176" s="31"/>
      <c r="CF176" s="48"/>
      <c r="CG176" s="31"/>
      <c r="CH176" s="31"/>
      <c r="CI176" s="32"/>
      <c r="CJ176" s="32"/>
      <c r="CK176" s="32"/>
      <c r="CL176" s="32"/>
      <c r="CM176" s="32"/>
      <c r="CN176" s="32"/>
      <c r="CO176" s="32"/>
      <c r="CP176" s="32"/>
      <c r="CQ176" s="32"/>
      <c r="CR176" s="32"/>
      <c r="CS176" s="32"/>
      <c r="CT176" s="32"/>
      <c r="CU176" s="32"/>
      <c r="CV176" s="32"/>
      <c r="CW176" s="32"/>
      <c r="CX176" s="32"/>
      <c r="CY176" s="32"/>
      <c r="CZ176" s="32"/>
      <c r="DA176" s="32"/>
      <c r="DB176" s="32"/>
    </row>
    <row r="177" spans="1:106" ht="15" hidden="1" customHeight="1">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c r="AE177" s="32"/>
      <c r="AF177" s="32"/>
      <c r="AG177" s="32"/>
      <c r="AH177" s="32"/>
      <c r="AI177" s="32"/>
      <c r="AJ177" s="32"/>
      <c r="AK177" s="32"/>
      <c r="AL177" s="32"/>
      <c r="AM177" s="32"/>
      <c r="AN177" s="32"/>
      <c r="AO177" s="32"/>
      <c r="AP177" s="32"/>
      <c r="AQ177" s="32"/>
      <c r="AR177" s="32"/>
      <c r="AS177" s="32"/>
      <c r="AT177" s="32"/>
      <c r="AU177" s="32"/>
      <c r="AV177" s="32"/>
      <c r="AW177" s="32"/>
      <c r="AX177" s="32"/>
      <c r="AY177" s="32"/>
      <c r="AZ177" s="32"/>
      <c r="BA177" s="32"/>
      <c r="BB177" s="32"/>
      <c r="BC177" s="32"/>
      <c r="BD177" s="32"/>
      <c r="BE177" s="32"/>
      <c r="BF177" s="2"/>
      <c r="BG177" s="2"/>
      <c r="BH177" s="2"/>
      <c r="BI177" s="2"/>
      <c r="BJ177" s="2"/>
      <c r="BK177" s="96"/>
      <c r="BL177" s="32"/>
      <c r="BM177" s="32"/>
      <c r="BN177" s="32"/>
      <c r="BO177" s="32"/>
      <c r="BP177" s="2"/>
      <c r="BQ177" s="2"/>
      <c r="BR177" s="2"/>
      <c r="BS177" s="86"/>
      <c r="BT177" s="32"/>
      <c r="BU177" s="33"/>
      <c r="BV177" s="33"/>
      <c r="BW177" s="32"/>
      <c r="BX177" s="32"/>
      <c r="BY177" s="32"/>
      <c r="BZ177" s="32"/>
      <c r="CA177" s="33"/>
      <c r="CB177" s="32"/>
      <c r="CC177" s="32"/>
      <c r="CD177" s="31"/>
      <c r="CE177" s="31"/>
      <c r="CF177" s="48"/>
      <c r="CG177" s="31"/>
      <c r="CH177" s="31"/>
      <c r="CI177" s="32"/>
      <c r="CJ177" s="32"/>
      <c r="CK177" s="32"/>
      <c r="CL177" s="32"/>
      <c r="CM177" s="32"/>
      <c r="CN177" s="32"/>
      <c r="CO177" s="32"/>
      <c r="CP177" s="32"/>
      <c r="CQ177" s="32"/>
      <c r="CR177" s="32"/>
      <c r="CS177" s="32"/>
      <c r="CT177" s="32"/>
      <c r="CU177" s="32"/>
      <c r="CV177" s="32"/>
      <c r="CW177" s="32"/>
      <c r="CX177" s="32"/>
      <c r="CY177" s="32"/>
      <c r="CZ177" s="32"/>
      <c r="DA177" s="32"/>
      <c r="DB177" s="32"/>
    </row>
    <row r="178" spans="1:106" ht="15" hidden="1" customHeight="1">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c r="AE178" s="32"/>
      <c r="AF178" s="32"/>
      <c r="AG178" s="32"/>
      <c r="AH178" s="32"/>
      <c r="AI178" s="32"/>
      <c r="AJ178" s="32"/>
      <c r="AK178" s="32"/>
      <c r="AL178" s="32"/>
      <c r="AM178" s="32"/>
      <c r="AN178" s="32"/>
      <c r="AO178" s="32"/>
      <c r="AP178" s="32"/>
      <c r="AQ178" s="32"/>
      <c r="AR178" s="32"/>
      <c r="AS178" s="32"/>
      <c r="AT178" s="32"/>
      <c r="AU178" s="32"/>
      <c r="AV178" s="32"/>
      <c r="AW178" s="32"/>
      <c r="AX178" s="32"/>
      <c r="AY178" s="32"/>
      <c r="AZ178" s="32"/>
      <c r="BA178" s="32"/>
      <c r="BB178" s="32"/>
      <c r="BC178" s="32"/>
      <c r="BD178" s="32"/>
      <c r="BE178" s="32"/>
      <c r="BF178" s="2"/>
      <c r="BG178" s="2"/>
      <c r="BH178" s="2"/>
      <c r="BI178" s="2"/>
      <c r="BJ178" s="2"/>
      <c r="BK178" s="96"/>
      <c r="BL178" s="32"/>
      <c r="BM178" s="32"/>
      <c r="BN178" s="32"/>
      <c r="BO178" s="32"/>
      <c r="BP178" s="2"/>
      <c r="BQ178" s="2"/>
      <c r="BR178" s="2"/>
      <c r="BS178" s="86"/>
      <c r="BT178" s="32"/>
      <c r="BU178" s="33"/>
      <c r="BV178" s="33"/>
      <c r="BW178" s="32"/>
      <c r="BX178" s="32"/>
      <c r="BY178" s="32"/>
      <c r="BZ178" s="32"/>
      <c r="CA178" s="33"/>
      <c r="CB178" s="32"/>
      <c r="CC178" s="32"/>
      <c r="CD178" s="31"/>
      <c r="CE178" s="31"/>
      <c r="CF178" s="48"/>
      <c r="CG178" s="31"/>
      <c r="CH178" s="31"/>
      <c r="CI178" s="32"/>
      <c r="CJ178" s="32"/>
      <c r="CK178" s="32"/>
      <c r="CL178" s="32"/>
      <c r="CM178" s="32"/>
      <c r="CN178" s="32"/>
      <c r="CO178" s="32"/>
      <c r="CP178" s="32"/>
      <c r="CQ178" s="32"/>
      <c r="CR178" s="32"/>
      <c r="CS178" s="32"/>
      <c r="CT178" s="32"/>
      <c r="CU178" s="32"/>
      <c r="CV178" s="32"/>
      <c r="CW178" s="32"/>
      <c r="CX178" s="32"/>
      <c r="CY178" s="32"/>
      <c r="CZ178" s="32"/>
      <c r="DA178" s="32"/>
      <c r="DB178" s="32"/>
    </row>
    <row r="179" spans="1:106" ht="15" hidden="1" customHeight="1">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c r="AE179" s="32"/>
      <c r="AF179" s="32"/>
      <c r="AG179" s="32"/>
      <c r="AH179" s="32"/>
      <c r="AI179" s="32"/>
      <c r="AJ179" s="32"/>
      <c r="AK179" s="32"/>
      <c r="AL179" s="32"/>
      <c r="AM179" s="32"/>
      <c r="AN179" s="32"/>
      <c r="AO179" s="32"/>
      <c r="AP179" s="32"/>
      <c r="AQ179" s="32"/>
      <c r="AR179" s="32"/>
      <c r="AS179" s="32"/>
      <c r="AT179" s="32"/>
      <c r="AU179" s="32"/>
      <c r="AV179" s="32"/>
      <c r="AW179" s="32"/>
      <c r="AX179" s="32"/>
      <c r="AY179" s="32"/>
      <c r="AZ179" s="32"/>
      <c r="BA179" s="32"/>
      <c r="BB179" s="32"/>
      <c r="BC179" s="32"/>
      <c r="BD179" s="32"/>
      <c r="BE179" s="32"/>
      <c r="BF179" s="2"/>
      <c r="BG179" s="2"/>
      <c r="BH179" s="2"/>
      <c r="BI179" s="2"/>
      <c r="BJ179" s="2"/>
      <c r="BK179" s="96"/>
      <c r="BL179" s="32"/>
      <c r="BM179" s="32"/>
      <c r="BN179" s="32"/>
      <c r="BO179" s="32"/>
      <c r="BP179" s="2"/>
      <c r="BQ179" s="2"/>
      <c r="BR179" s="2"/>
      <c r="BS179" s="86"/>
      <c r="BT179" s="32"/>
      <c r="BU179" s="33"/>
      <c r="BV179" s="33"/>
      <c r="BW179" s="32"/>
      <c r="BX179" s="32"/>
      <c r="BY179" s="32"/>
      <c r="BZ179" s="32"/>
      <c r="CA179" s="47"/>
      <c r="CB179" s="31"/>
      <c r="CC179" s="31"/>
      <c r="CD179" s="31"/>
      <c r="CE179" s="31"/>
      <c r="CF179" s="48"/>
      <c r="CG179" s="31"/>
      <c r="CH179" s="31"/>
      <c r="CI179" s="32"/>
      <c r="CJ179" s="32"/>
      <c r="CK179" s="32"/>
      <c r="CL179" s="32"/>
      <c r="CM179" s="32"/>
      <c r="CN179" s="32"/>
      <c r="CO179" s="32"/>
      <c r="CP179" s="32"/>
      <c r="CQ179" s="32"/>
      <c r="CR179" s="32"/>
      <c r="CS179" s="32"/>
      <c r="CT179" s="32"/>
      <c r="CU179" s="32"/>
      <c r="CV179" s="32"/>
      <c r="CW179" s="32"/>
      <c r="CX179" s="32"/>
      <c r="CY179" s="32"/>
      <c r="CZ179" s="32"/>
      <c r="DA179" s="32"/>
      <c r="DB179" s="32"/>
    </row>
    <row r="180" spans="1:106" ht="15" hidden="1" customHeight="1">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c r="AE180" s="32"/>
      <c r="AF180" s="32"/>
      <c r="AG180" s="32"/>
      <c r="AH180" s="32"/>
      <c r="AI180" s="32"/>
      <c r="AJ180" s="32"/>
      <c r="AK180" s="32"/>
      <c r="AL180" s="32"/>
      <c r="AM180" s="32"/>
      <c r="AN180" s="32"/>
      <c r="AO180" s="32"/>
      <c r="AP180" s="32"/>
      <c r="AQ180" s="32"/>
      <c r="AR180" s="32"/>
      <c r="AS180" s="32"/>
      <c r="AT180" s="32"/>
      <c r="AU180" s="32"/>
      <c r="AV180" s="32"/>
      <c r="AW180" s="32"/>
      <c r="AX180" s="32"/>
      <c r="AY180" s="32"/>
      <c r="AZ180" s="32"/>
      <c r="BA180" s="32"/>
      <c r="BB180" s="32"/>
      <c r="BC180" s="32"/>
      <c r="BD180" s="32"/>
      <c r="BE180" s="32"/>
      <c r="BF180" s="2"/>
      <c r="BG180" s="2"/>
      <c r="BH180" s="2"/>
      <c r="BI180" s="2"/>
      <c r="BJ180" s="2"/>
      <c r="BK180" s="96"/>
      <c r="BL180" s="32"/>
      <c r="BM180" s="32"/>
      <c r="BN180" s="32"/>
      <c r="BO180" s="32"/>
      <c r="BP180" s="2"/>
      <c r="BQ180" s="2"/>
      <c r="BR180" s="2"/>
      <c r="BS180" s="86"/>
      <c r="BT180" s="32"/>
      <c r="BU180" s="33"/>
      <c r="BV180" s="33"/>
      <c r="BW180" s="32"/>
      <c r="BX180" s="32"/>
      <c r="BY180" s="32"/>
      <c r="BZ180" s="32"/>
      <c r="CA180" s="47"/>
      <c r="CB180" s="31"/>
      <c r="CC180" s="31"/>
      <c r="CD180" s="31"/>
      <c r="CE180" s="31"/>
      <c r="CF180" s="48"/>
      <c r="CG180" s="31"/>
      <c r="CH180" s="31"/>
      <c r="CI180" s="32"/>
      <c r="CJ180" s="32"/>
      <c r="CK180" s="32"/>
      <c r="CL180" s="32"/>
      <c r="CM180" s="32"/>
      <c r="CN180" s="32"/>
      <c r="CO180" s="32"/>
      <c r="CP180" s="32"/>
      <c r="CQ180" s="32"/>
      <c r="CR180" s="32"/>
      <c r="CS180" s="32"/>
      <c r="CT180" s="32"/>
      <c r="CU180" s="32"/>
      <c r="CV180" s="32"/>
      <c r="CW180" s="32"/>
      <c r="CX180" s="32"/>
      <c r="CY180" s="32"/>
      <c r="CZ180" s="32"/>
      <c r="DA180" s="32"/>
      <c r="DB180" s="32"/>
    </row>
    <row r="181" spans="1:106" ht="15" hidden="1" customHeight="1">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c r="AE181" s="32"/>
      <c r="AF181" s="32"/>
      <c r="AG181" s="32"/>
      <c r="AH181" s="32"/>
      <c r="AI181" s="32"/>
      <c r="AJ181" s="32"/>
      <c r="AK181" s="32"/>
      <c r="AL181" s="32"/>
      <c r="AM181" s="32"/>
      <c r="AN181" s="32"/>
      <c r="AO181" s="32"/>
      <c r="AP181" s="32"/>
      <c r="AQ181" s="32"/>
      <c r="AR181" s="32"/>
      <c r="AS181" s="32"/>
      <c r="AT181" s="32"/>
      <c r="AU181" s="32"/>
      <c r="AV181" s="32"/>
      <c r="AW181" s="32"/>
      <c r="AX181" s="32"/>
      <c r="AY181" s="32"/>
      <c r="AZ181" s="32"/>
      <c r="BA181" s="32"/>
      <c r="BB181" s="32"/>
      <c r="BC181" s="32"/>
      <c r="BD181" s="32"/>
      <c r="BE181" s="32"/>
      <c r="BF181" s="2"/>
      <c r="BG181" s="2"/>
      <c r="BH181" s="2"/>
      <c r="BI181" s="2"/>
      <c r="BJ181" s="2"/>
      <c r="BK181" s="96"/>
      <c r="BL181" s="32"/>
      <c r="BM181" s="32"/>
      <c r="BN181" s="32"/>
      <c r="BO181" s="32"/>
      <c r="BP181" s="2"/>
      <c r="BQ181" s="2"/>
      <c r="BR181" s="2"/>
      <c r="BS181" s="86"/>
      <c r="BT181" s="32"/>
      <c r="BU181" s="33"/>
      <c r="BV181" s="33"/>
      <c r="BW181" s="32"/>
      <c r="BX181" s="32"/>
      <c r="BY181" s="32"/>
      <c r="BZ181" s="32"/>
      <c r="CA181" s="47"/>
      <c r="CB181" s="31"/>
      <c r="CC181" s="31"/>
      <c r="CD181" s="31"/>
      <c r="CE181" s="31"/>
      <c r="CF181" s="48"/>
      <c r="CG181" s="31"/>
      <c r="CH181" s="31"/>
      <c r="CI181" s="32"/>
      <c r="CJ181" s="32"/>
      <c r="CK181" s="32"/>
      <c r="CL181" s="32"/>
      <c r="CM181" s="32"/>
      <c r="CN181" s="32"/>
      <c r="CO181" s="32"/>
      <c r="CP181" s="32"/>
      <c r="CQ181" s="32"/>
      <c r="CR181" s="32"/>
      <c r="CS181" s="32"/>
      <c r="CT181" s="32"/>
      <c r="CU181" s="32"/>
      <c r="CV181" s="32"/>
      <c r="CW181" s="32"/>
      <c r="CX181" s="32"/>
      <c r="CY181" s="32"/>
      <c r="CZ181" s="32"/>
      <c r="DA181" s="32"/>
      <c r="DB181" s="32"/>
    </row>
    <row r="182" spans="1:106" ht="15" hidden="1" customHeight="1">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c r="AE182" s="32"/>
      <c r="AF182" s="32"/>
      <c r="AG182" s="32"/>
      <c r="AH182" s="32"/>
      <c r="AI182" s="32"/>
      <c r="AJ182" s="32"/>
      <c r="AK182" s="32"/>
      <c r="AL182" s="32"/>
      <c r="AM182" s="32"/>
      <c r="AN182" s="32"/>
      <c r="AO182" s="32"/>
      <c r="AP182" s="32"/>
      <c r="AQ182" s="32"/>
      <c r="AR182" s="32"/>
      <c r="AS182" s="32"/>
      <c r="AT182" s="32"/>
      <c r="AU182" s="32"/>
      <c r="AV182" s="32"/>
      <c r="AW182" s="32"/>
      <c r="AX182" s="32"/>
      <c r="AY182" s="32"/>
      <c r="AZ182" s="32"/>
      <c r="BA182" s="32"/>
      <c r="BB182" s="32"/>
      <c r="BC182" s="32"/>
      <c r="BD182" s="32"/>
      <c r="BE182" s="32"/>
      <c r="BF182" s="2"/>
      <c r="BG182" s="2"/>
      <c r="BH182" s="2"/>
      <c r="BI182" s="2"/>
      <c r="BJ182" s="2"/>
      <c r="BK182" s="96"/>
      <c r="BL182" s="32"/>
      <c r="BM182" s="32"/>
      <c r="BN182" s="32"/>
      <c r="BO182" s="32"/>
      <c r="BP182" s="2"/>
      <c r="BQ182" s="2"/>
      <c r="BR182" s="2"/>
      <c r="BS182" s="86"/>
      <c r="BT182" s="32"/>
      <c r="BU182" s="33"/>
      <c r="BV182" s="33"/>
      <c r="BW182" s="32"/>
      <c r="BX182" s="32"/>
      <c r="BY182" s="32"/>
      <c r="BZ182" s="32"/>
      <c r="CA182" s="47"/>
      <c r="CB182" s="31"/>
      <c r="CC182" s="31"/>
      <c r="CD182" s="31"/>
      <c r="CE182" s="31"/>
      <c r="CF182" s="48"/>
      <c r="CG182" s="31"/>
      <c r="CH182" s="31"/>
      <c r="CI182" s="32"/>
      <c r="CJ182" s="32"/>
      <c r="CK182" s="32"/>
      <c r="CL182" s="32"/>
      <c r="CM182" s="32"/>
      <c r="CN182" s="32"/>
      <c r="CO182" s="32"/>
      <c r="CP182" s="32"/>
      <c r="CQ182" s="32"/>
      <c r="CR182" s="32"/>
      <c r="CS182" s="32"/>
      <c r="CT182" s="32"/>
      <c r="CU182" s="32"/>
      <c r="CV182" s="32"/>
      <c r="CW182" s="32"/>
      <c r="CX182" s="32"/>
      <c r="CY182" s="32"/>
      <c r="CZ182" s="32"/>
      <c r="DA182" s="32"/>
      <c r="DB182" s="32"/>
    </row>
    <row r="183" spans="1:106" ht="15" hidden="1" customHeight="1">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c r="AE183" s="32"/>
      <c r="AF183" s="32"/>
      <c r="AG183" s="32"/>
      <c r="AH183" s="32"/>
      <c r="AI183" s="32"/>
      <c r="AJ183" s="32"/>
      <c r="AK183" s="32"/>
      <c r="AL183" s="32"/>
      <c r="AM183" s="32"/>
      <c r="AN183" s="32"/>
      <c r="AO183" s="32"/>
      <c r="AP183" s="32"/>
      <c r="AQ183" s="32"/>
      <c r="AR183" s="32"/>
      <c r="AS183" s="32"/>
      <c r="AT183" s="32"/>
      <c r="AU183" s="32"/>
      <c r="AV183" s="32"/>
      <c r="AW183" s="32"/>
      <c r="AX183" s="32"/>
      <c r="AY183" s="32"/>
      <c r="AZ183" s="32"/>
      <c r="BA183" s="32"/>
      <c r="BB183" s="32"/>
      <c r="BC183" s="32"/>
      <c r="BD183" s="32"/>
      <c r="BE183" s="32"/>
      <c r="BF183" s="2"/>
      <c r="BG183" s="2"/>
      <c r="BH183" s="2"/>
      <c r="BI183" s="2"/>
      <c r="BJ183" s="2"/>
      <c r="BK183" s="96"/>
      <c r="BL183" s="32"/>
      <c r="BM183" s="32"/>
      <c r="BN183" s="32"/>
      <c r="BO183" s="32"/>
      <c r="BP183" s="2"/>
      <c r="BQ183" s="2"/>
      <c r="BR183" s="2"/>
      <c r="BS183" s="86"/>
      <c r="BT183" s="32"/>
      <c r="BU183" s="33"/>
      <c r="BV183" s="33"/>
      <c r="BW183" s="32"/>
      <c r="BX183" s="32"/>
      <c r="BY183" s="32"/>
      <c r="BZ183" s="32"/>
      <c r="CA183" s="47"/>
      <c r="CB183" s="31"/>
      <c r="CC183" s="31"/>
      <c r="CD183" s="31"/>
      <c r="CE183" s="31"/>
      <c r="CF183" s="48"/>
      <c r="CG183" s="31"/>
      <c r="CH183" s="31"/>
      <c r="CI183" s="32"/>
      <c r="CJ183" s="32"/>
      <c r="CK183" s="32"/>
      <c r="CL183" s="32"/>
      <c r="CM183" s="32"/>
      <c r="CN183" s="32"/>
      <c r="CO183" s="32"/>
      <c r="CP183" s="32"/>
      <c r="CQ183" s="32"/>
      <c r="CR183" s="32"/>
      <c r="CS183" s="32"/>
      <c r="CT183" s="32"/>
      <c r="CU183" s="32"/>
      <c r="CV183" s="32"/>
      <c r="CW183" s="32"/>
      <c r="CX183" s="32"/>
      <c r="CY183" s="32"/>
      <c r="CZ183" s="32"/>
      <c r="DA183" s="32"/>
      <c r="DB183" s="32"/>
    </row>
    <row r="184" spans="1:106" ht="15" hidden="1" customHeight="1">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c r="AE184" s="32"/>
      <c r="AF184" s="32"/>
      <c r="AG184" s="32"/>
      <c r="AH184" s="32"/>
      <c r="AI184" s="32"/>
      <c r="AJ184" s="32"/>
      <c r="AK184" s="32"/>
      <c r="AL184" s="32"/>
      <c r="AM184" s="32"/>
      <c r="AN184" s="32"/>
      <c r="AO184" s="32"/>
      <c r="AP184" s="32"/>
      <c r="AQ184" s="32"/>
      <c r="AR184" s="32"/>
      <c r="AS184" s="32"/>
      <c r="AT184" s="32"/>
      <c r="AU184" s="32"/>
      <c r="AV184" s="32"/>
      <c r="AW184" s="32"/>
      <c r="AX184" s="32"/>
      <c r="AY184" s="32"/>
      <c r="AZ184" s="32"/>
      <c r="BA184" s="32"/>
      <c r="BB184" s="32"/>
      <c r="BC184" s="32"/>
      <c r="BD184" s="32"/>
      <c r="BE184" s="32"/>
      <c r="BF184" s="2"/>
      <c r="BG184" s="2"/>
      <c r="BH184" s="2"/>
      <c r="BI184" s="2"/>
      <c r="BJ184" s="2"/>
      <c r="BK184" s="96"/>
      <c r="BL184" s="32"/>
      <c r="BM184" s="32"/>
      <c r="BN184" s="32"/>
      <c r="BO184" s="32"/>
      <c r="BP184" s="2"/>
      <c r="BQ184" s="2"/>
      <c r="BR184" s="2"/>
      <c r="BS184" s="86"/>
      <c r="BT184" s="32"/>
      <c r="BU184" s="33"/>
      <c r="BV184" s="33"/>
      <c r="BW184" s="32"/>
      <c r="BX184" s="32"/>
      <c r="BY184" s="32"/>
      <c r="BZ184" s="32"/>
      <c r="CA184" s="47"/>
      <c r="CB184" s="31"/>
      <c r="CC184" s="31"/>
      <c r="CD184" s="31"/>
      <c r="CE184" s="31"/>
      <c r="CF184" s="48"/>
      <c r="CG184" s="31"/>
      <c r="CH184" s="31"/>
      <c r="CI184" s="32"/>
      <c r="CJ184" s="32"/>
      <c r="CK184" s="32"/>
      <c r="CL184" s="32"/>
      <c r="CM184" s="32"/>
      <c r="CN184" s="32"/>
      <c r="CO184" s="32"/>
      <c r="CP184" s="32"/>
      <c r="CQ184" s="32"/>
      <c r="CR184" s="32"/>
      <c r="CS184" s="32"/>
      <c r="CT184" s="32"/>
      <c r="CU184" s="32"/>
      <c r="CV184" s="32"/>
      <c r="CW184" s="32"/>
      <c r="CX184" s="32"/>
      <c r="CY184" s="32"/>
      <c r="CZ184" s="32"/>
      <c r="DA184" s="32"/>
      <c r="DB184" s="32"/>
    </row>
    <row r="185" spans="1:106" ht="15" hidden="1" customHeight="1">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c r="AH185" s="32"/>
      <c r="AI185" s="32"/>
      <c r="AJ185" s="32"/>
      <c r="AK185" s="32"/>
      <c r="AL185" s="32"/>
      <c r="AM185" s="32"/>
      <c r="AN185" s="32"/>
      <c r="AO185" s="32"/>
      <c r="AP185" s="32"/>
      <c r="AQ185" s="32"/>
      <c r="AR185" s="32"/>
      <c r="AS185" s="32"/>
      <c r="AT185" s="32"/>
      <c r="AU185" s="32"/>
      <c r="AV185" s="32"/>
      <c r="AW185" s="32"/>
      <c r="AX185" s="32"/>
      <c r="AY185" s="32"/>
      <c r="AZ185" s="32"/>
      <c r="BA185" s="32"/>
      <c r="BB185" s="32"/>
      <c r="BC185" s="32"/>
      <c r="BD185" s="32"/>
      <c r="BE185" s="32"/>
      <c r="BF185" s="2"/>
      <c r="BG185" s="2"/>
      <c r="BH185" s="2"/>
      <c r="BI185" s="2"/>
      <c r="BJ185" s="2"/>
      <c r="BK185" s="96"/>
      <c r="BL185" s="32"/>
      <c r="BM185" s="32"/>
      <c r="BN185" s="32"/>
      <c r="BO185" s="32"/>
      <c r="BP185" s="2"/>
      <c r="BQ185" s="2"/>
      <c r="BR185" s="2"/>
      <c r="BS185" s="86"/>
      <c r="BT185" s="32"/>
      <c r="BU185" s="33"/>
      <c r="BV185" s="33"/>
      <c r="BW185" s="32"/>
      <c r="BX185" s="32"/>
      <c r="BY185" s="32"/>
      <c r="BZ185" s="32"/>
      <c r="CA185" s="47"/>
      <c r="CB185" s="31"/>
      <c r="CC185" s="31"/>
      <c r="CD185" s="31"/>
      <c r="CE185" s="31"/>
      <c r="CF185" s="48"/>
      <c r="CG185" s="31"/>
      <c r="CH185" s="31"/>
      <c r="CI185" s="32"/>
      <c r="CJ185" s="32"/>
      <c r="CK185" s="32"/>
      <c r="CL185" s="32"/>
      <c r="CM185" s="32"/>
      <c r="CN185" s="32"/>
      <c r="CO185" s="32"/>
      <c r="CP185" s="32"/>
      <c r="CQ185" s="32"/>
      <c r="CR185" s="32"/>
      <c r="CS185" s="32"/>
      <c r="CT185" s="32"/>
      <c r="CU185" s="32"/>
      <c r="CV185" s="32"/>
      <c r="CW185" s="32"/>
      <c r="CX185" s="32"/>
      <c r="CY185" s="32"/>
      <c r="CZ185" s="32"/>
      <c r="DA185" s="32"/>
      <c r="DB185" s="32"/>
    </row>
    <row r="186" spans="1:106" ht="15" hidden="1" customHeight="1">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c r="AE186" s="32"/>
      <c r="AF186" s="32"/>
      <c r="AG186" s="32"/>
      <c r="AH186" s="32"/>
      <c r="AI186" s="32"/>
      <c r="AJ186" s="32"/>
      <c r="AK186" s="32"/>
      <c r="AL186" s="32"/>
      <c r="AM186" s="32"/>
      <c r="AN186" s="32"/>
      <c r="AO186" s="32"/>
      <c r="AP186" s="32"/>
      <c r="AQ186" s="32"/>
      <c r="AR186" s="32"/>
      <c r="AS186" s="32"/>
      <c r="AT186" s="32"/>
      <c r="AU186" s="32"/>
      <c r="AV186" s="32"/>
      <c r="AW186" s="32"/>
      <c r="AX186" s="32"/>
      <c r="AY186" s="32"/>
      <c r="AZ186" s="32"/>
      <c r="BA186" s="32"/>
      <c r="BB186" s="32"/>
      <c r="BC186" s="32"/>
      <c r="BD186" s="32"/>
      <c r="BE186" s="32"/>
      <c r="BF186" s="2"/>
      <c r="BG186" s="2"/>
      <c r="BH186" s="2"/>
      <c r="BI186" s="2"/>
      <c r="BJ186" s="2"/>
      <c r="BK186" s="96"/>
      <c r="BL186" s="32"/>
      <c r="BM186" s="32"/>
      <c r="BN186" s="32"/>
      <c r="BO186" s="32"/>
      <c r="BP186" s="2"/>
      <c r="BQ186" s="2"/>
      <c r="BR186" s="2"/>
      <c r="BS186" s="86"/>
      <c r="BT186" s="32"/>
      <c r="BU186" s="33"/>
      <c r="BV186" s="33"/>
      <c r="BW186" s="32"/>
      <c r="BX186" s="32"/>
      <c r="BY186" s="32"/>
      <c r="BZ186" s="32"/>
      <c r="CA186" s="33"/>
      <c r="CB186" s="32"/>
      <c r="CC186" s="32"/>
      <c r="CD186" s="31"/>
      <c r="CE186" s="31"/>
      <c r="CF186" s="48"/>
      <c r="CG186" s="31"/>
      <c r="CH186" s="31"/>
      <c r="CI186" s="32"/>
      <c r="CJ186" s="32"/>
      <c r="CK186" s="32"/>
      <c r="CL186" s="32"/>
      <c r="CM186" s="32"/>
      <c r="CN186" s="32"/>
      <c r="CO186" s="32"/>
      <c r="CP186" s="32"/>
      <c r="CQ186" s="32"/>
      <c r="CR186" s="32"/>
      <c r="CS186" s="32"/>
      <c r="CT186" s="32"/>
      <c r="CU186" s="32"/>
      <c r="CV186" s="32"/>
      <c r="CW186" s="32"/>
      <c r="CX186" s="32"/>
      <c r="CY186" s="32"/>
      <c r="CZ186" s="32"/>
      <c r="DA186" s="32"/>
      <c r="DB186" s="32"/>
    </row>
    <row r="187" spans="1:106" ht="15" hidden="1" customHeight="1">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c r="AE187" s="32"/>
      <c r="AF187" s="32"/>
      <c r="AG187" s="32"/>
      <c r="AH187" s="32"/>
      <c r="AI187" s="32"/>
      <c r="AJ187" s="32"/>
      <c r="AK187" s="32"/>
      <c r="AL187" s="32"/>
      <c r="AM187" s="32"/>
      <c r="AN187" s="32"/>
      <c r="AO187" s="32"/>
      <c r="AP187" s="32"/>
      <c r="AQ187" s="32"/>
      <c r="AR187" s="32"/>
      <c r="AS187" s="32"/>
      <c r="AT187" s="32"/>
      <c r="AU187" s="32"/>
      <c r="AV187" s="32"/>
      <c r="AW187" s="32"/>
      <c r="AX187" s="32"/>
      <c r="AY187" s="32"/>
      <c r="AZ187" s="32"/>
      <c r="BA187" s="32"/>
      <c r="BB187" s="32"/>
      <c r="BC187" s="32"/>
      <c r="BD187" s="32"/>
      <c r="BE187" s="32"/>
      <c r="BF187" s="2"/>
      <c r="BG187" s="2"/>
      <c r="BH187" s="2"/>
      <c r="BI187" s="2"/>
      <c r="BJ187" s="2"/>
      <c r="BK187" s="96"/>
      <c r="BL187" s="32"/>
      <c r="BM187" s="32"/>
      <c r="BN187" s="32"/>
      <c r="BO187" s="32"/>
      <c r="BP187" s="2"/>
      <c r="BQ187" s="2"/>
      <c r="BR187" s="2"/>
      <c r="BS187" s="86"/>
      <c r="BT187" s="32"/>
      <c r="BU187" s="33"/>
      <c r="BV187" s="33"/>
      <c r="BW187" s="32"/>
      <c r="BX187" s="32"/>
      <c r="BY187" s="32"/>
      <c r="BZ187" s="32"/>
      <c r="CA187" s="33"/>
      <c r="CB187" s="32"/>
      <c r="CC187" s="32"/>
      <c r="CD187" s="31"/>
      <c r="CE187" s="31"/>
      <c r="CF187" s="48"/>
      <c r="CG187" s="31"/>
      <c r="CH187" s="31"/>
      <c r="CI187" s="32"/>
      <c r="CJ187" s="32"/>
      <c r="CK187" s="32"/>
      <c r="CL187" s="32"/>
      <c r="CM187" s="32"/>
      <c r="CN187" s="32"/>
      <c r="CO187" s="32"/>
      <c r="CP187" s="32"/>
      <c r="CQ187" s="32"/>
      <c r="CR187" s="32"/>
      <c r="CS187" s="32"/>
      <c r="CT187" s="32"/>
      <c r="CU187" s="32"/>
      <c r="CV187" s="32"/>
      <c r="CW187" s="32"/>
      <c r="CX187" s="32"/>
      <c r="CY187" s="32"/>
      <c r="CZ187" s="32"/>
      <c r="DA187" s="32"/>
      <c r="DB187" s="32"/>
    </row>
    <row r="188" spans="1:106" ht="15" hidden="1" customHeight="1">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c r="AE188" s="32"/>
      <c r="AF188" s="32"/>
      <c r="AG188" s="32"/>
      <c r="AH188" s="32"/>
      <c r="AI188" s="32"/>
      <c r="AJ188" s="32"/>
      <c r="AK188" s="32"/>
      <c r="AL188" s="32"/>
      <c r="AM188" s="32"/>
      <c r="AN188" s="32"/>
      <c r="AO188" s="32"/>
      <c r="AP188" s="32"/>
      <c r="AQ188" s="32"/>
      <c r="AR188" s="32"/>
      <c r="AS188" s="32"/>
      <c r="AT188" s="32"/>
      <c r="AU188" s="32"/>
      <c r="AV188" s="32"/>
      <c r="AW188" s="32"/>
      <c r="AX188" s="32"/>
      <c r="AY188" s="32"/>
      <c r="AZ188" s="32"/>
      <c r="BA188" s="32"/>
      <c r="BB188" s="32"/>
      <c r="BC188" s="32"/>
      <c r="BD188" s="32"/>
      <c r="BE188" s="32"/>
      <c r="BF188" s="2"/>
      <c r="BG188" s="2"/>
      <c r="BH188" s="2"/>
      <c r="BI188" s="2"/>
      <c r="BJ188" s="2"/>
      <c r="BK188" s="96"/>
      <c r="BL188" s="32"/>
      <c r="BM188" s="32"/>
      <c r="BN188" s="32"/>
      <c r="BO188" s="32"/>
      <c r="BP188" s="2"/>
      <c r="BQ188" s="2"/>
      <c r="BR188" s="2"/>
      <c r="BS188" s="86"/>
      <c r="BT188" s="32"/>
      <c r="BU188" s="33"/>
      <c r="BV188" s="33"/>
      <c r="BW188" s="32"/>
      <c r="BX188" s="32"/>
      <c r="BY188" s="32"/>
      <c r="BZ188" s="32"/>
      <c r="CA188" s="33"/>
      <c r="CB188" s="32"/>
      <c r="CC188" s="32"/>
      <c r="CD188" s="31"/>
      <c r="CE188" s="31"/>
      <c r="CF188" s="48"/>
      <c r="CG188" s="31"/>
      <c r="CH188" s="31"/>
      <c r="CI188" s="32"/>
      <c r="CJ188" s="32"/>
      <c r="CK188" s="32"/>
      <c r="CL188" s="32"/>
      <c r="CM188" s="32"/>
      <c r="CN188" s="32"/>
      <c r="CO188" s="32"/>
      <c r="CP188" s="32"/>
      <c r="CQ188" s="32"/>
      <c r="CR188" s="32"/>
      <c r="CS188" s="32"/>
      <c r="CT188" s="32"/>
      <c r="CU188" s="32"/>
      <c r="CV188" s="32"/>
      <c r="CW188" s="32"/>
      <c r="CX188" s="32"/>
      <c r="CY188" s="32"/>
      <c r="CZ188" s="32"/>
      <c r="DA188" s="32"/>
      <c r="DB188" s="32"/>
    </row>
    <row r="189" spans="1:106" ht="15" hidden="1" customHeight="1">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c r="AE189" s="32"/>
      <c r="AF189" s="32"/>
      <c r="AG189" s="32"/>
      <c r="AH189" s="32"/>
      <c r="AI189" s="32"/>
      <c r="AJ189" s="32"/>
      <c r="AK189" s="32"/>
      <c r="AL189" s="32"/>
      <c r="AM189" s="32"/>
      <c r="AN189" s="32"/>
      <c r="AO189" s="32"/>
      <c r="AP189" s="32"/>
      <c r="AQ189" s="32"/>
      <c r="AR189" s="32"/>
      <c r="AS189" s="32"/>
      <c r="AT189" s="32"/>
      <c r="AU189" s="32"/>
      <c r="AV189" s="32"/>
      <c r="AW189" s="32"/>
      <c r="AX189" s="32"/>
      <c r="AY189" s="32"/>
      <c r="AZ189" s="32"/>
      <c r="BA189" s="32"/>
      <c r="BB189" s="32"/>
      <c r="BC189" s="32"/>
      <c r="BD189" s="32"/>
      <c r="BE189" s="32"/>
      <c r="BF189" s="2"/>
      <c r="BG189" s="2"/>
      <c r="BH189" s="2"/>
      <c r="BI189" s="2"/>
      <c r="BJ189" s="2"/>
      <c r="BK189" s="96"/>
      <c r="BL189" s="32"/>
      <c r="BM189" s="32"/>
      <c r="BN189" s="32"/>
      <c r="BO189" s="32"/>
      <c r="BP189" s="2"/>
      <c r="BQ189" s="2"/>
      <c r="BR189" s="2"/>
      <c r="BS189" s="86"/>
      <c r="BT189" s="32"/>
      <c r="BU189" s="33"/>
      <c r="BV189" s="33"/>
      <c r="BW189" s="32"/>
      <c r="BX189" s="32"/>
      <c r="BY189" s="32"/>
      <c r="BZ189" s="32"/>
      <c r="CA189" s="33"/>
      <c r="CB189" s="32"/>
      <c r="CC189" s="32"/>
      <c r="CD189" s="31"/>
      <c r="CE189" s="31"/>
      <c r="CF189" s="48"/>
      <c r="CG189" s="31"/>
      <c r="CH189" s="31"/>
      <c r="CI189" s="32"/>
      <c r="CJ189" s="32"/>
      <c r="CK189" s="32"/>
      <c r="CL189" s="32"/>
      <c r="CM189" s="32"/>
      <c r="CN189" s="32"/>
      <c r="CO189" s="32"/>
      <c r="CP189" s="32"/>
      <c r="CQ189" s="32"/>
      <c r="CR189" s="32"/>
      <c r="CS189" s="32"/>
      <c r="CT189" s="32"/>
      <c r="CU189" s="32"/>
      <c r="CV189" s="32"/>
      <c r="CW189" s="32"/>
      <c r="CX189" s="32"/>
      <c r="CY189" s="32"/>
      <c r="CZ189" s="32"/>
      <c r="DA189" s="32"/>
      <c r="DB189" s="32"/>
    </row>
    <row r="190" spans="1:106" ht="15" hidden="1" customHeight="1">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c r="AE190" s="32"/>
      <c r="AF190" s="32"/>
      <c r="AG190" s="32"/>
      <c r="AH190" s="32"/>
      <c r="AI190" s="32"/>
      <c r="AJ190" s="32"/>
      <c r="AK190" s="32"/>
      <c r="AL190" s="32"/>
      <c r="AM190" s="32"/>
      <c r="AN190" s="32"/>
      <c r="AO190" s="32"/>
      <c r="AP190" s="32"/>
      <c r="AQ190" s="32"/>
      <c r="AR190" s="32"/>
      <c r="AS190" s="32"/>
      <c r="AT190" s="32"/>
      <c r="AU190" s="32"/>
      <c r="AV190" s="32"/>
      <c r="AW190" s="32"/>
      <c r="AX190" s="32"/>
      <c r="AY190" s="32"/>
      <c r="AZ190" s="32"/>
      <c r="BA190" s="32"/>
      <c r="BB190" s="32"/>
      <c r="BC190" s="32"/>
      <c r="BD190" s="32"/>
      <c r="BE190" s="32"/>
      <c r="BF190" s="2"/>
      <c r="BG190" s="2"/>
      <c r="BH190" s="2"/>
      <c r="BI190" s="2"/>
      <c r="BJ190" s="2"/>
      <c r="BK190" s="96"/>
      <c r="BL190" s="32"/>
      <c r="BM190" s="32"/>
      <c r="BN190" s="32"/>
      <c r="BO190" s="32"/>
      <c r="BP190" s="2"/>
      <c r="BQ190" s="2"/>
      <c r="BR190" s="2"/>
      <c r="BS190" s="86"/>
      <c r="BT190" s="32"/>
      <c r="BU190" s="32"/>
      <c r="BV190" s="33"/>
      <c r="BW190" s="32"/>
      <c r="BX190" s="32"/>
      <c r="BY190" s="32"/>
      <c r="BZ190" s="99"/>
      <c r="CA190" s="31"/>
      <c r="CB190" s="31"/>
      <c r="CC190" s="31"/>
      <c r="CD190" s="31"/>
      <c r="CE190" s="31"/>
      <c r="CF190" s="48"/>
      <c r="CG190" s="31"/>
      <c r="CH190" s="31"/>
      <c r="CI190" s="32"/>
      <c r="CJ190" s="32"/>
      <c r="CK190" s="32"/>
      <c r="CL190" s="32"/>
      <c r="CM190" s="32"/>
      <c r="CN190" s="32"/>
      <c r="CO190" s="32"/>
      <c r="CP190" s="32"/>
      <c r="CQ190" s="32"/>
      <c r="CR190" s="32"/>
      <c r="CS190" s="32"/>
      <c r="CT190" s="32"/>
      <c r="CU190" s="32"/>
      <c r="CV190" s="32"/>
      <c r="CW190" s="32"/>
      <c r="CX190" s="32"/>
      <c r="CY190" s="32"/>
      <c r="CZ190" s="32"/>
      <c r="DA190" s="32"/>
      <c r="DB190" s="32"/>
    </row>
    <row r="191" spans="1:106" ht="15" hidden="1" customHeight="1">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c r="AE191" s="32"/>
      <c r="AF191" s="32"/>
      <c r="AG191" s="32"/>
      <c r="AH191" s="32"/>
      <c r="AI191" s="32"/>
      <c r="AJ191" s="32"/>
      <c r="AK191" s="32"/>
      <c r="AL191" s="32"/>
      <c r="AM191" s="32"/>
      <c r="AN191" s="32"/>
      <c r="AO191" s="32"/>
      <c r="AP191" s="32"/>
      <c r="AQ191" s="32"/>
      <c r="AR191" s="32"/>
      <c r="AS191" s="32"/>
      <c r="AT191" s="32"/>
      <c r="AU191" s="32"/>
      <c r="AV191" s="32"/>
      <c r="AW191" s="32"/>
      <c r="AX191" s="32"/>
      <c r="AY191" s="32"/>
      <c r="AZ191" s="32"/>
      <c r="BA191" s="32"/>
      <c r="BB191" s="32"/>
      <c r="BC191" s="32"/>
      <c r="BD191" s="32"/>
      <c r="BE191" s="32"/>
      <c r="BF191" s="2"/>
      <c r="BG191" s="2"/>
      <c r="BH191" s="2"/>
      <c r="BI191" s="2"/>
      <c r="BJ191" s="2"/>
      <c r="BK191" s="96"/>
      <c r="BL191" s="32"/>
      <c r="BM191" s="32"/>
      <c r="BN191" s="32"/>
      <c r="BO191" s="32"/>
      <c r="BP191" s="2"/>
      <c r="BQ191" s="2"/>
      <c r="BR191" s="2"/>
      <c r="BS191" s="86"/>
      <c r="BT191" s="32"/>
      <c r="BU191" s="33"/>
      <c r="BV191" s="33"/>
      <c r="BW191" s="32"/>
      <c r="BX191" s="32"/>
      <c r="BY191" s="32"/>
      <c r="BZ191" s="32"/>
      <c r="CA191" s="47"/>
      <c r="CB191" s="31"/>
      <c r="CC191" s="31"/>
      <c r="CD191" s="31"/>
      <c r="CE191" s="31"/>
      <c r="CF191" s="48"/>
      <c r="CG191" s="31"/>
      <c r="CH191" s="31"/>
      <c r="CI191" s="32"/>
      <c r="CJ191" s="32"/>
      <c r="CK191" s="32"/>
      <c r="CL191" s="32"/>
      <c r="CM191" s="32"/>
      <c r="CN191" s="32"/>
      <c r="CO191" s="32"/>
      <c r="CP191" s="32"/>
      <c r="CQ191" s="32"/>
      <c r="CR191" s="32"/>
      <c r="CS191" s="32"/>
      <c r="CT191" s="32"/>
      <c r="CU191" s="32"/>
      <c r="CV191" s="32"/>
      <c r="CW191" s="32"/>
      <c r="CX191" s="32"/>
      <c r="CY191" s="32"/>
      <c r="CZ191" s="32"/>
      <c r="DA191" s="32"/>
      <c r="DB191" s="32"/>
    </row>
    <row r="192" spans="1:106" ht="15" hidden="1" customHeight="1">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c r="AP192" s="32"/>
      <c r="AQ192" s="32"/>
      <c r="AR192" s="32"/>
      <c r="AS192" s="32"/>
      <c r="AT192" s="32"/>
      <c r="AU192" s="32"/>
      <c r="AV192" s="32"/>
      <c r="AW192" s="32"/>
      <c r="AX192" s="32"/>
      <c r="AY192" s="32"/>
      <c r="AZ192" s="32"/>
      <c r="BA192" s="32"/>
      <c r="BB192" s="32"/>
      <c r="BC192" s="32"/>
      <c r="BD192" s="32"/>
      <c r="BE192" s="32"/>
      <c r="BF192" s="2"/>
      <c r="BG192" s="2"/>
      <c r="BH192" s="2"/>
      <c r="BI192" s="2"/>
      <c r="BJ192" s="2"/>
      <c r="BK192" s="96"/>
      <c r="BL192" s="32"/>
      <c r="BM192" s="32"/>
      <c r="BN192" s="32"/>
      <c r="BO192" s="32"/>
      <c r="BP192" s="2"/>
      <c r="BQ192" s="2"/>
      <c r="BR192" s="2"/>
      <c r="BS192" s="86"/>
      <c r="BT192" s="32"/>
      <c r="BU192" s="33"/>
      <c r="BV192" s="33"/>
      <c r="BW192" s="32"/>
      <c r="BX192" s="32"/>
      <c r="BY192" s="32"/>
      <c r="BZ192" s="32"/>
      <c r="CA192" s="47"/>
      <c r="CB192" s="31"/>
      <c r="CC192" s="31"/>
      <c r="CD192" s="31"/>
      <c r="CE192" s="31"/>
      <c r="CF192" s="48"/>
      <c r="CG192" s="31"/>
      <c r="CH192" s="31"/>
      <c r="CI192" s="32"/>
      <c r="CJ192" s="32"/>
      <c r="CK192" s="32"/>
      <c r="CL192" s="32"/>
      <c r="CM192" s="32"/>
      <c r="CN192" s="32"/>
      <c r="CO192" s="32"/>
      <c r="CP192" s="32"/>
      <c r="CQ192" s="32"/>
      <c r="CR192" s="32"/>
      <c r="CS192" s="32"/>
      <c r="CT192" s="32"/>
      <c r="CU192" s="32"/>
      <c r="CV192" s="32"/>
      <c r="CW192" s="32"/>
      <c r="CX192" s="32"/>
      <c r="CY192" s="32"/>
      <c r="CZ192" s="32"/>
      <c r="DA192" s="32"/>
      <c r="DB192" s="32"/>
    </row>
    <row r="193" spans="1:106" ht="15" hidden="1" customHeight="1">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c r="AN193" s="32"/>
      <c r="AO193" s="32"/>
      <c r="AP193" s="32"/>
      <c r="AQ193" s="32"/>
      <c r="AR193" s="32"/>
      <c r="AS193" s="32"/>
      <c r="AT193" s="32"/>
      <c r="AU193" s="32"/>
      <c r="AV193" s="32"/>
      <c r="AW193" s="32"/>
      <c r="AX193" s="32"/>
      <c r="AY193" s="32"/>
      <c r="AZ193" s="32"/>
      <c r="BA193" s="32"/>
      <c r="BB193" s="32"/>
      <c r="BC193" s="32"/>
      <c r="BD193" s="32"/>
      <c r="BE193" s="32"/>
      <c r="BF193" s="2"/>
      <c r="BG193" s="2"/>
      <c r="BH193" s="2"/>
      <c r="BI193" s="2"/>
      <c r="BJ193" s="2"/>
      <c r="BK193" s="96"/>
      <c r="BL193" s="32"/>
      <c r="BM193" s="32"/>
      <c r="BN193" s="32"/>
      <c r="BO193" s="32"/>
      <c r="BP193" s="2"/>
      <c r="BQ193" s="2"/>
      <c r="BR193" s="2"/>
      <c r="BS193" s="86"/>
      <c r="BT193" s="32"/>
      <c r="BU193" s="33"/>
      <c r="BV193" s="33"/>
      <c r="BW193" s="32"/>
      <c r="BX193" s="32"/>
      <c r="BY193" s="32"/>
      <c r="BZ193" s="32"/>
      <c r="CA193" s="47"/>
      <c r="CB193" s="31"/>
      <c r="CC193" s="31"/>
      <c r="CD193" s="31"/>
      <c r="CE193" s="31"/>
      <c r="CF193" s="48"/>
      <c r="CG193" s="31"/>
      <c r="CH193" s="31"/>
      <c r="CI193" s="32"/>
      <c r="CJ193" s="32"/>
      <c r="CK193" s="32"/>
      <c r="CL193" s="32"/>
      <c r="CM193" s="32"/>
      <c r="CN193" s="32"/>
      <c r="CO193" s="32"/>
      <c r="CP193" s="32"/>
      <c r="CQ193" s="32"/>
      <c r="CR193" s="32"/>
      <c r="CS193" s="32"/>
      <c r="CT193" s="32"/>
      <c r="CU193" s="32"/>
      <c r="CV193" s="32"/>
      <c r="CW193" s="32"/>
      <c r="CX193" s="32"/>
      <c r="CY193" s="32"/>
      <c r="CZ193" s="32"/>
      <c r="DA193" s="32"/>
      <c r="DB193" s="32"/>
    </row>
    <row r="194" spans="1:106" ht="15" hidden="1" customHeight="1">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c r="AE194" s="32"/>
      <c r="AF194" s="32"/>
      <c r="AG194" s="32"/>
      <c r="AH194" s="32"/>
      <c r="AI194" s="32"/>
      <c r="AJ194" s="32"/>
      <c r="AK194" s="32"/>
      <c r="AL194" s="32"/>
      <c r="AM194" s="32"/>
      <c r="AN194" s="32"/>
      <c r="AO194" s="32"/>
      <c r="AP194" s="32"/>
      <c r="AQ194" s="32"/>
      <c r="AR194" s="32"/>
      <c r="AS194" s="32"/>
      <c r="AT194" s="32"/>
      <c r="AU194" s="32"/>
      <c r="AV194" s="32"/>
      <c r="AW194" s="32"/>
      <c r="AX194" s="32"/>
      <c r="AY194" s="32"/>
      <c r="AZ194" s="32"/>
      <c r="BA194" s="32"/>
      <c r="BB194" s="32"/>
      <c r="BC194" s="32"/>
      <c r="BD194" s="32"/>
      <c r="BE194" s="32"/>
      <c r="BF194" s="2"/>
      <c r="BG194" s="2"/>
      <c r="BH194" s="2"/>
      <c r="BI194" s="2"/>
      <c r="BJ194" s="2"/>
      <c r="BK194" s="96"/>
      <c r="BL194" s="32"/>
      <c r="BM194" s="32"/>
      <c r="BN194" s="32"/>
      <c r="BO194" s="32"/>
      <c r="BP194" s="2"/>
      <c r="BQ194" s="2"/>
      <c r="BR194" s="2"/>
      <c r="BS194" s="86"/>
      <c r="BT194" s="32"/>
      <c r="BU194" s="33"/>
      <c r="BV194" s="33"/>
      <c r="BW194" s="32"/>
      <c r="BX194" s="32"/>
      <c r="BY194" s="32"/>
      <c r="BZ194" s="32"/>
      <c r="CA194" s="47"/>
      <c r="CB194" s="31"/>
      <c r="CC194" s="31"/>
      <c r="CD194" s="31"/>
      <c r="CE194" s="31"/>
      <c r="CF194" s="48"/>
      <c r="CG194" s="31"/>
      <c r="CH194" s="31"/>
      <c r="CI194" s="32"/>
      <c r="CJ194" s="32"/>
      <c r="CK194" s="32"/>
      <c r="CL194" s="32"/>
      <c r="CM194" s="32"/>
      <c r="CN194" s="32"/>
      <c r="CO194" s="32"/>
      <c r="CP194" s="32"/>
      <c r="CQ194" s="32"/>
      <c r="CR194" s="32"/>
      <c r="CS194" s="32"/>
      <c r="CT194" s="32"/>
      <c r="CU194" s="32"/>
      <c r="CV194" s="32"/>
      <c r="CW194" s="32"/>
      <c r="CX194" s="32"/>
      <c r="CY194" s="32"/>
      <c r="CZ194" s="32"/>
      <c r="DA194" s="32"/>
      <c r="DB194" s="32"/>
    </row>
    <row r="195" spans="1:106" ht="15" hidden="1" customHeight="1">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c r="AE195" s="32"/>
      <c r="AF195" s="32"/>
      <c r="AG195" s="32"/>
      <c r="AH195" s="32"/>
      <c r="AI195" s="32"/>
      <c r="AJ195" s="32"/>
      <c r="AK195" s="32"/>
      <c r="AL195" s="32"/>
      <c r="AM195" s="32"/>
      <c r="AN195" s="32"/>
      <c r="AO195" s="32"/>
      <c r="AP195" s="32"/>
      <c r="AQ195" s="32"/>
      <c r="AR195" s="32"/>
      <c r="AS195" s="32"/>
      <c r="AT195" s="32"/>
      <c r="AU195" s="32"/>
      <c r="AV195" s="32"/>
      <c r="AW195" s="32"/>
      <c r="AX195" s="32"/>
      <c r="AY195" s="32"/>
      <c r="AZ195" s="32"/>
      <c r="BA195" s="32"/>
      <c r="BB195" s="32"/>
      <c r="BC195" s="32"/>
      <c r="BD195" s="32"/>
      <c r="BE195" s="32"/>
      <c r="BF195" s="2"/>
      <c r="BG195" s="2"/>
      <c r="BH195" s="2"/>
      <c r="BI195" s="2"/>
      <c r="BJ195" s="2"/>
      <c r="BK195" s="96"/>
      <c r="BL195" s="32"/>
      <c r="BM195" s="32"/>
      <c r="BN195" s="32"/>
      <c r="BO195" s="32"/>
      <c r="BP195" s="2"/>
      <c r="BQ195" s="2"/>
      <c r="BR195" s="2"/>
      <c r="BS195" s="86"/>
      <c r="BT195" s="32"/>
      <c r="BU195" s="33"/>
      <c r="BV195" s="33"/>
      <c r="BW195" s="32"/>
      <c r="BX195" s="32"/>
      <c r="BY195" s="32"/>
      <c r="BZ195" s="32"/>
      <c r="CA195" s="47"/>
      <c r="CB195" s="31"/>
      <c r="CC195" s="31"/>
      <c r="CD195" s="31"/>
      <c r="CE195" s="31"/>
      <c r="CF195" s="48"/>
      <c r="CG195" s="31"/>
      <c r="CH195" s="31"/>
      <c r="CI195" s="32"/>
      <c r="CJ195" s="32"/>
      <c r="CK195" s="32"/>
      <c r="CL195" s="32"/>
      <c r="CM195" s="32"/>
      <c r="CN195" s="32"/>
      <c r="CO195" s="32"/>
      <c r="CP195" s="32"/>
      <c r="CQ195" s="32"/>
      <c r="CR195" s="32"/>
      <c r="CS195" s="32"/>
      <c r="CT195" s="32"/>
      <c r="CU195" s="32"/>
      <c r="CV195" s="32"/>
      <c r="CW195" s="32"/>
      <c r="CX195" s="32"/>
      <c r="CY195" s="32"/>
      <c r="CZ195" s="32"/>
      <c r="DA195" s="32"/>
      <c r="DB195" s="32"/>
    </row>
    <row r="196" spans="1:106" ht="15" hidden="1" customHeight="1">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c r="AE196" s="32"/>
      <c r="AF196" s="32"/>
      <c r="AG196" s="32"/>
      <c r="AH196" s="32"/>
      <c r="AI196" s="32"/>
      <c r="AJ196" s="32"/>
      <c r="AK196" s="32"/>
      <c r="AL196" s="32"/>
      <c r="AM196" s="32"/>
      <c r="AN196" s="32"/>
      <c r="AO196" s="32"/>
      <c r="AP196" s="32"/>
      <c r="AQ196" s="32"/>
      <c r="AR196" s="32"/>
      <c r="AS196" s="32"/>
      <c r="AT196" s="32"/>
      <c r="AU196" s="32"/>
      <c r="AV196" s="32"/>
      <c r="AW196" s="32"/>
      <c r="AX196" s="32"/>
      <c r="AY196" s="32"/>
      <c r="AZ196" s="32"/>
      <c r="BA196" s="32"/>
      <c r="BB196" s="32"/>
      <c r="BC196" s="32"/>
      <c r="BD196" s="32"/>
      <c r="BE196" s="32"/>
      <c r="BF196" s="2"/>
      <c r="BG196" s="2"/>
      <c r="BH196" s="2"/>
      <c r="BI196" s="2"/>
      <c r="BJ196" s="2"/>
      <c r="BK196" s="96"/>
      <c r="BL196" s="32"/>
      <c r="BM196" s="32"/>
      <c r="BN196" s="32"/>
      <c r="BO196" s="32"/>
      <c r="BP196" s="2"/>
      <c r="BQ196" s="2"/>
      <c r="BR196" s="2"/>
      <c r="BS196" s="86"/>
      <c r="BT196" s="32"/>
      <c r="BU196" s="33"/>
      <c r="BV196" s="33"/>
      <c r="BW196" s="32"/>
      <c r="BX196" s="32"/>
      <c r="BY196" s="32"/>
      <c r="BZ196" s="32"/>
      <c r="CA196" s="33"/>
      <c r="CB196" s="32"/>
      <c r="CC196" s="32"/>
      <c r="CD196" s="31"/>
      <c r="CE196" s="31"/>
      <c r="CF196" s="48"/>
      <c r="CG196" s="31"/>
      <c r="CH196" s="31"/>
      <c r="CI196" s="32"/>
      <c r="CJ196" s="32"/>
      <c r="CK196" s="32"/>
      <c r="CL196" s="32"/>
      <c r="CM196" s="32"/>
      <c r="CN196" s="32"/>
      <c r="CO196" s="32"/>
      <c r="CP196" s="32"/>
      <c r="CQ196" s="32"/>
      <c r="CR196" s="32"/>
      <c r="CS196" s="32"/>
      <c r="CT196" s="32"/>
      <c r="CU196" s="32"/>
      <c r="CV196" s="32"/>
      <c r="CW196" s="32"/>
      <c r="CX196" s="32"/>
      <c r="CY196" s="32"/>
      <c r="CZ196" s="32"/>
      <c r="DA196" s="32"/>
      <c r="DB196" s="32"/>
    </row>
    <row r="197" spans="1:106" ht="15" hidden="1" customHeight="1">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c r="AE197" s="32"/>
      <c r="AF197" s="32"/>
      <c r="AG197" s="32"/>
      <c r="AH197" s="32"/>
      <c r="AI197" s="32"/>
      <c r="AJ197" s="32"/>
      <c r="AK197" s="32"/>
      <c r="AL197" s="32"/>
      <c r="AM197" s="32"/>
      <c r="AN197" s="32"/>
      <c r="AO197" s="32"/>
      <c r="AP197" s="32"/>
      <c r="AQ197" s="32"/>
      <c r="AR197" s="32"/>
      <c r="AS197" s="32"/>
      <c r="AT197" s="32"/>
      <c r="AU197" s="32"/>
      <c r="AV197" s="32"/>
      <c r="AW197" s="32"/>
      <c r="AX197" s="32"/>
      <c r="AY197" s="32"/>
      <c r="AZ197" s="32"/>
      <c r="BA197" s="32"/>
      <c r="BB197" s="32"/>
      <c r="BC197" s="32"/>
      <c r="BD197" s="32"/>
      <c r="BE197" s="32"/>
      <c r="BF197" s="2"/>
      <c r="BG197" s="2"/>
      <c r="BH197" s="2"/>
      <c r="BI197" s="2"/>
      <c r="BJ197" s="2"/>
      <c r="BK197" s="96"/>
      <c r="BL197" s="32"/>
      <c r="BM197" s="32"/>
      <c r="BN197" s="32"/>
      <c r="BO197" s="32"/>
      <c r="BP197" s="2"/>
      <c r="BQ197" s="2"/>
      <c r="BR197" s="2"/>
      <c r="BS197" s="86"/>
      <c r="BT197" s="32"/>
      <c r="BU197" s="33"/>
      <c r="BV197" s="33"/>
      <c r="BW197" s="32"/>
      <c r="BX197" s="32"/>
      <c r="BY197" s="32"/>
      <c r="BZ197" s="32"/>
      <c r="CA197" s="33"/>
      <c r="CB197" s="32"/>
      <c r="CC197" s="32"/>
      <c r="CD197" s="31"/>
      <c r="CE197" s="31"/>
      <c r="CF197" s="48"/>
      <c r="CG197" s="31"/>
      <c r="CH197" s="31"/>
      <c r="CI197" s="32"/>
      <c r="CJ197" s="32"/>
      <c r="CK197" s="32"/>
      <c r="CL197" s="32"/>
      <c r="CM197" s="32"/>
      <c r="CN197" s="32"/>
      <c r="CO197" s="32"/>
      <c r="CP197" s="32"/>
      <c r="CQ197" s="32"/>
      <c r="CR197" s="32"/>
      <c r="CS197" s="32"/>
      <c r="CT197" s="32"/>
      <c r="CU197" s="32"/>
      <c r="CV197" s="32"/>
      <c r="CW197" s="32"/>
      <c r="CX197" s="32"/>
      <c r="CY197" s="32"/>
      <c r="CZ197" s="32"/>
      <c r="DA197" s="32"/>
      <c r="DB197" s="32"/>
    </row>
    <row r="198" spans="1:106" ht="15" hidden="1" customHeight="1">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c r="AE198" s="32"/>
      <c r="AF198" s="32"/>
      <c r="AG198" s="32"/>
      <c r="AH198" s="32"/>
      <c r="AI198" s="32"/>
      <c r="AJ198" s="32"/>
      <c r="AK198" s="32"/>
      <c r="AL198" s="32"/>
      <c r="AM198" s="32"/>
      <c r="AN198" s="32"/>
      <c r="AO198" s="32"/>
      <c r="AP198" s="32"/>
      <c r="AQ198" s="32"/>
      <c r="AR198" s="32"/>
      <c r="AS198" s="32"/>
      <c r="AT198" s="32"/>
      <c r="AU198" s="32"/>
      <c r="AV198" s="32"/>
      <c r="AW198" s="32"/>
      <c r="AX198" s="32"/>
      <c r="AY198" s="32"/>
      <c r="AZ198" s="32"/>
      <c r="BA198" s="32"/>
      <c r="BB198" s="32"/>
      <c r="BC198" s="32"/>
      <c r="BD198" s="32"/>
      <c r="BE198" s="32"/>
      <c r="BF198" s="2"/>
      <c r="BG198" s="2"/>
      <c r="BH198" s="2"/>
      <c r="BI198" s="2"/>
      <c r="BJ198" s="2"/>
      <c r="BK198" s="96"/>
      <c r="BL198" s="32"/>
      <c r="BM198" s="32"/>
      <c r="BN198" s="32"/>
      <c r="BO198" s="32"/>
      <c r="BP198" s="2"/>
      <c r="BQ198" s="2"/>
      <c r="BR198" s="2"/>
      <c r="BS198" s="86"/>
      <c r="BT198" s="32"/>
      <c r="BU198" s="33"/>
      <c r="BV198" s="33"/>
      <c r="BW198" s="32"/>
      <c r="BX198" s="32"/>
      <c r="BY198" s="32"/>
      <c r="BZ198" s="32"/>
      <c r="CA198" s="33"/>
      <c r="CB198" s="32"/>
      <c r="CC198" s="32"/>
      <c r="CD198" s="31"/>
      <c r="CE198" s="31"/>
      <c r="CF198" s="48"/>
      <c r="CG198" s="31"/>
      <c r="CH198" s="31"/>
      <c r="CI198" s="32"/>
      <c r="CJ198" s="32"/>
      <c r="CK198" s="32"/>
      <c r="CL198" s="32"/>
      <c r="CM198" s="32"/>
      <c r="CN198" s="32"/>
      <c r="CO198" s="32"/>
      <c r="CP198" s="32"/>
      <c r="CQ198" s="32"/>
      <c r="CR198" s="32"/>
      <c r="CS198" s="32"/>
      <c r="CT198" s="32"/>
      <c r="CU198" s="32"/>
      <c r="CV198" s="32"/>
      <c r="CW198" s="32"/>
      <c r="CX198" s="32"/>
      <c r="CY198" s="32"/>
      <c r="CZ198" s="32"/>
      <c r="DA198" s="32"/>
      <c r="DB198" s="32"/>
    </row>
    <row r="199" spans="1:106" ht="15" hidden="1" customHeight="1">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c r="AE199" s="32"/>
      <c r="AF199" s="32"/>
      <c r="AG199" s="32"/>
      <c r="AH199" s="32"/>
      <c r="AI199" s="32"/>
      <c r="AJ199" s="32"/>
      <c r="AK199" s="32"/>
      <c r="AL199" s="32"/>
      <c r="AM199" s="32"/>
      <c r="AN199" s="32"/>
      <c r="AO199" s="32"/>
      <c r="AP199" s="32"/>
      <c r="AQ199" s="32"/>
      <c r="AR199" s="32"/>
      <c r="AS199" s="32"/>
      <c r="AT199" s="32"/>
      <c r="AU199" s="32"/>
      <c r="AV199" s="32"/>
      <c r="AW199" s="32"/>
      <c r="AX199" s="32"/>
      <c r="AY199" s="32"/>
      <c r="AZ199" s="32"/>
      <c r="BA199" s="32"/>
      <c r="BB199" s="32"/>
      <c r="BC199" s="32"/>
      <c r="BD199" s="32"/>
      <c r="BE199" s="32"/>
      <c r="BF199" s="2"/>
      <c r="BG199" s="2"/>
      <c r="BH199" s="2"/>
      <c r="BI199" s="2"/>
      <c r="BJ199" s="2"/>
      <c r="BK199" s="96"/>
      <c r="BL199" s="32"/>
      <c r="BM199" s="32"/>
      <c r="BN199" s="32"/>
      <c r="BO199" s="32"/>
      <c r="BP199" s="2"/>
      <c r="BQ199" s="2"/>
      <c r="BR199" s="2"/>
      <c r="BS199" s="86"/>
      <c r="BT199" s="32"/>
      <c r="BU199" s="33"/>
      <c r="BV199" s="33"/>
      <c r="BW199" s="32"/>
      <c r="BX199" s="32"/>
      <c r="BY199" s="32"/>
      <c r="BZ199" s="32"/>
      <c r="CA199" s="33"/>
      <c r="CB199" s="32"/>
      <c r="CC199" s="32"/>
      <c r="CD199" s="31"/>
      <c r="CE199" s="31"/>
      <c r="CF199" s="48"/>
      <c r="CG199" s="31"/>
      <c r="CH199" s="31"/>
      <c r="CI199" s="32"/>
      <c r="CJ199" s="32"/>
      <c r="CK199" s="32"/>
      <c r="CL199" s="32"/>
      <c r="CM199" s="32"/>
      <c r="CN199" s="32"/>
      <c r="CO199" s="32"/>
      <c r="CP199" s="32"/>
      <c r="CQ199" s="32"/>
      <c r="CR199" s="32"/>
      <c r="CS199" s="32"/>
      <c r="CT199" s="32"/>
      <c r="CU199" s="32"/>
      <c r="CV199" s="32"/>
      <c r="CW199" s="32"/>
      <c r="CX199" s="32"/>
      <c r="CY199" s="32"/>
      <c r="CZ199" s="32"/>
      <c r="DA199" s="32"/>
      <c r="DB199" s="32"/>
    </row>
    <row r="200" spans="1:106" ht="15" hidden="1" customHeight="1">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c r="AE200" s="32"/>
      <c r="AF200" s="32"/>
      <c r="AG200" s="32"/>
      <c r="AH200" s="32"/>
      <c r="AI200" s="32"/>
      <c r="AJ200" s="32"/>
      <c r="AK200" s="32"/>
      <c r="AL200" s="32"/>
      <c r="AM200" s="32"/>
      <c r="AN200" s="32"/>
      <c r="AO200" s="32"/>
      <c r="AP200" s="32"/>
      <c r="AQ200" s="32"/>
      <c r="AR200" s="32"/>
      <c r="AS200" s="32"/>
      <c r="AT200" s="32"/>
      <c r="AU200" s="32"/>
      <c r="AV200" s="32"/>
      <c r="AW200" s="32"/>
      <c r="AX200" s="32"/>
      <c r="AY200" s="32"/>
      <c r="AZ200" s="32"/>
      <c r="BA200" s="32"/>
      <c r="BB200" s="32"/>
      <c r="BC200" s="32"/>
      <c r="BD200" s="32"/>
      <c r="BE200" s="32"/>
      <c r="BF200" s="2"/>
      <c r="BG200" s="2"/>
      <c r="BH200" s="2"/>
      <c r="BI200" s="2"/>
      <c r="BJ200" s="2"/>
      <c r="BK200" s="96"/>
      <c r="BL200" s="32"/>
      <c r="BM200" s="32"/>
      <c r="BN200" s="32"/>
      <c r="BO200" s="32"/>
      <c r="BP200" s="2"/>
      <c r="BQ200" s="2"/>
      <c r="BR200" s="2"/>
      <c r="BS200" s="86"/>
      <c r="BT200" s="32"/>
      <c r="BU200" s="33"/>
      <c r="BV200" s="33"/>
      <c r="BW200" s="32"/>
      <c r="BX200" s="32"/>
      <c r="BY200" s="32"/>
      <c r="BZ200" s="32"/>
      <c r="CA200" s="33"/>
      <c r="CB200" s="32"/>
      <c r="CC200" s="32"/>
      <c r="CD200" s="31"/>
      <c r="CE200" s="31"/>
      <c r="CF200" s="48"/>
      <c r="CG200" s="31"/>
      <c r="CH200" s="31"/>
      <c r="CI200" s="32"/>
      <c r="CJ200" s="32"/>
      <c r="CK200" s="32"/>
      <c r="CL200" s="32"/>
      <c r="CM200" s="32"/>
      <c r="CN200" s="32"/>
      <c r="CO200" s="32"/>
      <c r="CP200" s="32"/>
      <c r="CQ200" s="32"/>
      <c r="CR200" s="32"/>
      <c r="CS200" s="32"/>
      <c r="CT200" s="32"/>
      <c r="CU200" s="32"/>
      <c r="CV200" s="32"/>
      <c r="CW200" s="32"/>
      <c r="CX200" s="32"/>
      <c r="CY200" s="32"/>
      <c r="CZ200" s="32"/>
      <c r="DA200" s="32"/>
      <c r="DB200" s="32"/>
    </row>
    <row r="201" spans="1:106" ht="15" hidden="1" customHeight="1">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c r="AE201" s="32"/>
      <c r="AF201" s="32"/>
      <c r="AG201" s="32"/>
      <c r="AH201" s="32"/>
      <c r="AI201" s="32"/>
      <c r="AJ201" s="32"/>
      <c r="AK201" s="32"/>
      <c r="AL201" s="32"/>
      <c r="AM201" s="32"/>
      <c r="AN201" s="32"/>
      <c r="AO201" s="32"/>
      <c r="AP201" s="32"/>
      <c r="AQ201" s="32"/>
      <c r="AR201" s="32"/>
      <c r="AS201" s="32"/>
      <c r="AT201" s="32"/>
      <c r="AU201" s="32"/>
      <c r="AV201" s="32"/>
      <c r="AW201" s="32"/>
      <c r="AX201" s="32"/>
      <c r="AY201" s="32"/>
      <c r="AZ201" s="32"/>
      <c r="BA201" s="32"/>
      <c r="BB201" s="32"/>
      <c r="BC201" s="32"/>
      <c r="BD201" s="32"/>
      <c r="BE201" s="32"/>
      <c r="BF201" s="2"/>
      <c r="BG201" s="2"/>
      <c r="BH201" s="2"/>
      <c r="BI201" s="2"/>
      <c r="BJ201" s="2"/>
      <c r="BK201" s="96"/>
      <c r="BL201" s="32"/>
      <c r="BM201" s="32"/>
      <c r="BN201" s="32"/>
      <c r="BO201" s="32"/>
      <c r="BP201" s="2"/>
      <c r="BQ201" s="2"/>
      <c r="BR201" s="2"/>
      <c r="BS201" s="86"/>
      <c r="BT201" s="32"/>
      <c r="BU201" s="33"/>
      <c r="BV201" s="33"/>
      <c r="BW201" s="32"/>
      <c r="BX201" s="32"/>
      <c r="BY201" s="32"/>
      <c r="BZ201" s="32"/>
      <c r="CA201" s="47"/>
      <c r="CB201" s="31"/>
      <c r="CC201" s="31"/>
      <c r="CD201" s="31"/>
      <c r="CE201" s="31"/>
      <c r="CF201" s="48"/>
      <c r="CG201" s="31"/>
      <c r="CH201" s="31"/>
      <c r="CI201" s="32"/>
      <c r="CJ201" s="32"/>
      <c r="CK201" s="32"/>
      <c r="CL201" s="32"/>
      <c r="CM201" s="32"/>
      <c r="CN201" s="32"/>
      <c r="CO201" s="32"/>
      <c r="CP201" s="32"/>
      <c r="CQ201" s="32"/>
      <c r="CR201" s="32"/>
      <c r="CS201" s="32"/>
      <c r="CT201" s="32"/>
      <c r="CU201" s="32"/>
      <c r="CV201" s="32"/>
      <c r="CW201" s="32"/>
      <c r="CX201" s="32"/>
      <c r="CY201" s="32"/>
      <c r="CZ201" s="32"/>
      <c r="DA201" s="32"/>
      <c r="DB201" s="32"/>
    </row>
    <row r="202" spans="1:106" ht="15" hidden="1" customHeight="1">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c r="AE202" s="32"/>
      <c r="AF202" s="32"/>
      <c r="AG202" s="32"/>
      <c r="AH202" s="32"/>
      <c r="AI202" s="32"/>
      <c r="AJ202" s="32"/>
      <c r="AK202" s="32"/>
      <c r="AL202" s="32"/>
      <c r="AM202" s="32"/>
      <c r="AN202" s="32"/>
      <c r="AO202" s="32"/>
      <c r="AP202" s="32"/>
      <c r="AQ202" s="32"/>
      <c r="AR202" s="32"/>
      <c r="AS202" s="32"/>
      <c r="AT202" s="32"/>
      <c r="AU202" s="32"/>
      <c r="AV202" s="32"/>
      <c r="AW202" s="32"/>
      <c r="AX202" s="32"/>
      <c r="AY202" s="32"/>
      <c r="AZ202" s="32"/>
      <c r="BA202" s="32"/>
      <c r="BB202" s="32"/>
      <c r="BC202" s="32"/>
      <c r="BD202" s="32"/>
      <c r="BE202" s="32"/>
      <c r="BF202" s="2"/>
      <c r="BG202" s="2"/>
      <c r="BH202" s="2"/>
      <c r="BI202" s="2"/>
      <c r="BJ202" s="2"/>
      <c r="BK202" s="96"/>
      <c r="BL202" s="32"/>
      <c r="BM202" s="32"/>
      <c r="BN202" s="32"/>
      <c r="BO202" s="32"/>
      <c r="BP202" s="2"/>
      <c r="BQ202" s="2"/>
      <c r="BR202" s="2"/>
      <c r="BS202" s="86"/>
      <c r="BT202" s="32"/>
      <c r="BU202" s="33"/>
      <c r="BV202" s="33"/>
      <c r="BW202" s="32"/>
      <c r="BX202" s="32"/>
      <c r="BY202" s="32"/>
      <c r="BZ202" s="99"/>
      <c r="CA202" s="31"/>
      <c r="CB202" s="31"/>
      <c r="CC202" s="31"/>
      <c r="CD202" s="31"/>
      <c r="CE202" s="31"/>
      <c r="CF202" s="48"/>
      <c r="CG202" s="31"/>
      <c r="CH202" s="31"/>
      <c r="CI202" s="32"/>
      <c r="CJ202" s="32"/>
      <c r="CK202" s="32"/>
      <c r="CL202" s="32"/>
      <c r="CM202" s="32"/>
      <c r="CN202" s="32"/>
      <c r="CO202" s="32"/>
      <c r="CP202" s="32"/>
      <c r="CQ202" s="32"/>
      <c r="CR202" s="32"/>
      <c r="CS202" s="32"/>
      <c r="CT202" s="32"/>
      <c r="CU202" s="32"/>
      <c r="CV202" s="32"/>
      <c r="CW202" s="32"/>
      <c r="CX202" s="32"/>
      <c r="CY202" s="32"/>
      <c r="CZ202" s="32"/>
      <c r="DA202" s="32"/>
      <c r="DB202" s="32"/>
    </row>
    <row r="203" spans="1:106" ht="15" hidden="1" customHeight="1">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c r="AE203" s="32"/>
      <c r="AF203" s="32"/>
      <c r="AG203" s="32"/>
      <c r="AH203" s="32"/>
      <c r="AI203" s="32"/>
      <c r="AJ203" s="32"/>
      <c r="AK203" s="32"/>
      <c r="AL203" s="32"/>
      <c r="AM203" s="32"/>
      <c r="AN203" s="32"/>
      <c r="AO203" s="32"/>
      <c r="AP203" s="32"/>
      <c r="AQ203" s="32"/>
      <c r="AR203" s="32"/>
      <c r="AS203" s="32"/>
      <c r="AT203" s="32"/>
      <c r="AU203" s="32"/>
      <c r="AV203" s="32"/>
      <c r="AW203" s="32"/>
      <c r="AX203" s="32"/>
      <c r="AY203" s="32"/>
      <c r="AZ203" s="32"/>
      <c r="BA203" s="32"/>
      <c r="BB203" s="32"/>
      <c r="BC203" s="32"/>
      <c r="BD203" s="32"/>
      <c r="BE203" s="32"/>
      <c r="BF203" s="2"/>
      <c r="BG203" s="2"/>
      <c r="BH203" s="2"/>
      <c r="BI203" s="2"/>
      <c r="BJ203" s="2"/>
      <c r="BK203" s="96"/>
      <c r="BL203" s="32"/>
      <c r="BM203" s="32"/>
      <c r="BN203" s="32"/>
      <c r="BO203" s="32"/>
      <c r="BP203" s="2"/>
      <c r="BQ203" s="2"/>
      <c r="BR203" s="2"/>
      <c r="BS203" s="86"/>
      <c r="BT203" s="32"/>
      <c r="BU203" s="33"/>
      <c r="BV203" s="33"/>
      <c r="BW203" s="32"/>
      <c r="BX203" s="32"/>
      <c r="BY203" s="32"/>
      <c r="BZ203" s="32"/>
      <c r="CA203" s="47"/>
      <c r="CB203" s="31"/>
      <c r="CC203" s="31"/>
      <c r="CD203" s="31"/>
      <c r="CE203" s="31"/>
      <c r="CF203" s="48"/>
      <c r="CG203" s="31"/>
      <c r="CH203" s="31"/>
      <c r="CI203" s="32"/>
      <c r="CJ203" s="32"/>
      <c r="CK203" s="32"/>
      <c r="CL203" s="32"/>
      <c r="CM203" s="32"/>
      <c r="CN203" s="32"/>
      <c r="CO203" s="32"/>
      <c r="CP203" s="32"/>
      <c r="CQ203" s="32"/>
      <c r="CR203" s="32"/>
      <c r="CS203" s="32"/>
      <c r="CT203" s="32"/>
      <c r="CU203" s="32"/>
      <c r="CV203" s="32"/>
      <c r="CW203" s="32"/>
      <c r="CX203" s="32"/>
      <c r="CY203" s="32"/>
      <c r="CZ203" s="32"/>
      <c r="DA203" s="32"/>
      <c r="DB203" s="32"/>
    </row>
    <row r="204" spans="1:106" ht="15" hidden="1" customHeight="1">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c r="AE204" s="32"/>
      <c r="AF204" s="32"/>
      <c r="AG204" s="32"/>
      <c r="AH204" s="32"/>
      <c r="AI204" s="32"/>
      <c r="AJ204" s="32"/>
      <c r="AK204" s="32"/>
      <c r="AL204" s="32"/>
      <c r="AM204" s="32"/>
      <c r="AN204" s="32"/>
      <c r="AO204" s="32"/>
      <c r="AP204" s="32"/>
      <c r="AQ204" s="32"/>
      <c r="AR204" s="32"/>
      <c r="AS204" s="32"/>
      <c r="AT204" s="32"/>
      <c r="AU204" s="32"/>
      <c r="AV204" s="32"/>
      <c r="AW204" s="32"/>
      <c r="AX204" s="32"/>
      <c r="AY204" s="32"/>
      <c r="AZ204" s="32"/>
      <c r="BA204" s="32"/>
      <c r="BB204" s="32"/>
      <c r="BC204" s="32"/>
      <c r="BD204" s="32"/>
      <c r="BE204" s="32"/>
      <c r="BF204" s="2"/>
      <c r="BG204" s="2"/>
      <c r="BH204" s="2"/>
      <c r="BI204" s="2"/>
      <c r="BJ204" s="2"/>
      <c r="BK204" s="96"/>
      <c r="BL204" s="32"/>
      <c r="BM204" s="32"/>
      <c r="BN204" s="32"/>
      <c r="BO204" s="32"/>
      <c r="BP204" s="2"/>
      <c r="BQ204" s="2"/>
      <c r="BR204" s="2"/>
      <c r="BS204" s="86"/>
      <c r="BT204" s="32"/>
      <c r="BU204" s="33"/>
      <c r="BV204" s="33"/>
      <c r="BW204" s="32"/>
      <c r="BX204" s="32"/>
      <c r="BY204" s="32"/>
      <c r="BZ204" s="32"/>
      <c r="CA204" s="47"/>
      <c r="CB204" s="31"/>
      <c r="CC204" s="31"/>
      <c r="CD204" s="31"/>
      <c r="CE204" s="31"/>
      <c r="CF204" s="48"/>
      <c r="CG204" s="31"/>
      <c r="CH204" s="31"/>
      <c r="CI204" s="32"/>
      <c r="CJ204" s="32"/>
      <c r="CK204" s="32"/>
      <c r="CL204" s="32"/>
      <c r="CM204" s="32"/>
      <c r="CN204" s="32"/>
      <c r="CO204" s="32"/>
      <c r="CP204" s="32"/>
      <c r="CQ204" s="32"/>
      <c r="CR204" s="32"/>
      <c r="CS204" s="32"/>
      <c r="CT204" s="32"/>
      <c r="CU204" s="32"/>
      <c r="CV204" s="32"/>
      <c r="CW204" s="32"/>
      <c r="CX204" s="32"/>
      <c r="CY204" s="32"/>
      <c r="CZ204" s="32"/>
      <c r="DA204" s="32"/>
      <c r="DB204" s="32"/>
    </row>
    <row r="205" spans="1:106" ht="15" hidden="1" customHeight="1">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c r="AE205" s="32"/>
      <c r="AF205" s="32"/>
      <c r="AG205" s="32"/>
      <c r="AH205" s="32"/>
      <c r="AI205" s="32"/>
      <c r="AJ205" s="32"/>
      <c r="AK205" s="32"/>
      <c r="AL205" s="32"/>
      <c r="AM205" s="32"/>
      <c r="AN205" s="32"/>
      <c r="AO205" s="32"/>
      <c r="AP205" s="32"/>
      <c r="AQ205" s="32"/>
      <c r="AR205" s="32"/>
      <c r="AS205" s="32"/>
      <c r="AT205" s="32"/>
      <c r="AU205" s="32"/>
      <c r="AV205" s="32"/>
      <c r="AW205" s="32"/>
      <c r="AX205" s="32"/>
      <c r="AY205" s="32"/>
      <c r="AZ205" s="32"/>
      <c r="BA205" s="32"/>
      <c r="BB205" s="32"/>
      <c r="BC205" s="32"/>
      <c r="BD205" s="32"/>
      <c r="BE205" s="32"/>
      <c r="BF205" s="2"/>
      <c r="BG205" s="2"/>
      <c r="BH205" s="2"/>
      <c r="BI205" s="2"/>
      <c r="BJ205" s="2"/>
      <c r="BK205" s="96"/>
      <c r="BL205" s="32"/>
      <c r="BM205" s="32"/>
      <c r="BN205" s="32"/>
      <c r="BO205" s="32"/>
      <c r="BP205" s="2"/>
      <c r="BQ205" s="2"/>
      <c r="BR205" s="2"/>
      <c r="BS205" s="86"/>
      <c r="BT205" s="32"/>
      <c r="BU205" s="33"/>
      <c r="BV205" s="33"/>
      <c r="BW205" s="32"/>
      <c r="BX205" s="32"/>
      <c r="BY205" s="32"/>
      <c r="BZ205" s="32"/>
      <c r="CA205" s="47"/>
      <c r="CB205" s="31"/>
      <c r="CC205" s="31"/>
      <c r="CD205" s="31"/>
      <c r="CE205" s="31"/>
      <c r="CF205" s="48"/>
      <c r="CG205" s="31"/>
      <c r="CH205" s="31"/>
      <c r="CI205" s="32"/>
      <c r="CJ205" s="32"/>
      <c r="CK205" s="32"/>
      <c r="CL205" s="32"/>
      <c r="CM205" s="32"/>
      <c r="CN205" s="32"/>
      <c r="CO205" s="32"/>
      <c r="CP205" s="32"/>
      <c r="CQ205" s="32"/>
      <c r="CR205" s="32"/>
      <c r="CS205" s="32"/>
      <c r="CT205" s="32"/>
      <c r="CU205" s="32"/>
      <c r="CV205" s="32"/>
      <c r="CW205" s="32"/>
      <c r="CX205" s="32"/>
      <c r="CY205" s="32"/>
      <c r="CZ205" s="32"/>
      <c r="DA205" s="32"/>
      <c r="DB205" s="32"/>
    </row>
    <row r="206" spans="1:106" ht="15" hidden="1" customHeight="1">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c r="AE206" s="32"/>
      <c r="AF206" s="32"/>
      <c r="AG206" s="32"/>
      <c r="AH206" s="32"/>
      <c r="AI206" s="32"/>
      <c r="AJ206" s="32"/>
      <c r="AK206" s="32"/>
      <c r="AL206" s="32"/>
      <c r="AM206" s="32"/>
      <c r="AN206" s="32"/>
      <c r="AO206" s="32"/>
      <c r="AP206" s="32"/>
      <c r="AQ206" s="32"/>
      <c r="AR206" s="32"/>
      <c r="AS206" s="32"/>
      <c r="AT206" s="32"/>
      <c r="AU206" s="32"/>
      <c r="AV206" s="32"/>
      <c r="AW206" s="32"/>
      <c r="AX206" s="32"/>
      <c r="AY206" s="32"/>
      <c r="AZ206" s="32"/>
      <c r="BA206" s="32"/>
      <c r="BB206" s="32"/>
      <c r="BC206" s="32"/>
      <c r="BD206" s="32"/>
      <c r="BE206" s="32"/>
      <c r="BF206" s="2"/>
      <c r="BG206" s="2"/>
      <c r="BH206" s="2"/>
      <c r="BI206" s="2"/>
      <c r="BJ206" s="2"/>
      <c r="BK206" s="96"/>
      <c r="BL206" s="32"/>
      <c r="BM206" s="32"/>
      <c r="BN206" s="32"/>
      <c r="BO206" s="32"/>
      <c r="BP206" s="2"/>
      <c r="BQ206" s="2"/>
      <c r="BR206" s="2"/>
      <c r="BS206" s="86"/>
      <c r="BT206" s="32"/>
      <c r="BU206" s="33"/>
      <c r="BV206" s="33"/>
      <c r="BW206" s="32"/>
      <c r="BX206" s="32"/>
      <c r="BY206" s="32"/>
      <c r="BZ206" s="32"/>
      <c r="CA206" s="47"/>
      <c r="CB206" s="31"/>
      <c r="CC206" s="31"/>
      <c r="CD206" s="31"/>
      <c r="CE206" s="31"/>
      <c r="CF206" s="48"/>
      <c r="CG206" s="31"/>
      <c r="CH206" s="31"/>
      <c r="CI206" s="32"/>
      <c r="CJ206" s="32"/>
      <c r="CK206" s="32"/>
      <c r="CL206" s="32"/>
      <c r="CM206" s="32"/>
      <c r="CN206" s="32"/>
      <c r="CO206" s="32"/>
      <c r="CP206" s="32"/>
      <c r="CQ206" s="32"/>
      <c r="CR206" s="32"/>
      <c r="CS206" s="32"/>
      <c r="CT206" s="32"/>
      <c r="CU206" s="32"/>
      <c r="CV206" s="32"/>
      <c r="CW206" s="32"/>
      <c r="CX206" s="32"/>
      <c r="CY206" s="32"/>
      <c r="CZ206" s="32"/>
      <c r="DA206" s="32"/>
      <c r="DB206" s="32"/>
    </row>
    <row r="207" spans="1:106" ht="15" hidden="1" customHeight="1">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c r="AE207" s="32"/>
      <c r="AF207" s="32"/>
      <c r="AG207" s="32"/>
      <c r="AH207" s="32"/>
      <c r="AI207" s="32"/>
      <c r="AJ207" s="32"/>
      <c r="AK207" s="32"/>
      <c r="AL207" s="32"/>
      <c r="AM207" s="32"/>
      <c r="AN207" s="32"/>
      <c r="AO207" s="32"/>
      <c r="AP207" s="32"/>
      <c r="AQ207" s="32"/>
      <c r="AR207" s="32"/>
      <c r="AS207" s="32"/>
      <c r="AT207" s="32"/>
      <c r="AU207" s="32"/>
      <c r="AV207" s="32"/>
      <c r="AW207" s="32"/>
      <c r="AX207" s="32"/>
      <c r="AY207" s="32"/>
      <c r="AZ207" s="32"/>
      <c r="BA207" s="32"/>
      <c r="BB207" s="32"/>
      <c r="BC207" s="32"/>
      <c r="BD207" s="32"/>
      <c r="BE207" s="32"/>
      <c r="BF207" s="2"/>
      <c r="BG207" s="2"/>
      <c r="BH207" s="2"/>
      <c r="BI207" s="2"/>
      <c r="BJ207" s="2"/>
      <c r="BK207" s="96"/>
      <c r="BL207" s="32"/>
      <c r="BM207" s="32"/>
      <c r="BN207" s="32"/>
      <c r="BO207" s="32"/>
      <c r="BP207" s="2"/>
      <c r="BQ207" s="2"/>
      <c r="BR207" s="2"/>
      <c r="BS207" s="86"/>
      <c r="BT207" s="32"/>
      <c r="BU207" s="33"/>
      <c r="BV207" s="33"/>
      <c r="BW207" s="32"/>
      <c r="BX207" s="32"/>
      <c r="BY207" s="32"/>
      <c r="BZ207" s="32"/>
      <c r="CA207" s="47"/>
      <c r="CB207" s="31"/>
      <c r="CC207" s="31"/>
      <c r="CD207" s="31"/>
      <c r="CE207" s="31"/>
      <c r="CF207" s="48"/>
      <c r="CG207" s="31"/>
      <c r="CH207" s="31"/>
      <c r="CI207" s="32"/>
      <c r="CJ207" s="32"/>
      <c r="CK207" s="32"/>
      <c r="CL207" s="32"/>
      <c r="CM207" s="32"/>
      <c r="CN207" s="32"/>
      <c r="CO207" s="32"/>
      <c r="CP207" s="32"/>
      <c r="CQ207" s="32"/>
      <c r="CR207" s="32"/>
      <c r="CS207" s="32"/>
      <c r="CT207" s="32"/>
      <c r="CU207" s="32"/>
      <c r="CV207" s="32"/>
      <c r="CW207" s="32"/>
      <c r="CX207" s="32"/>
      <c r="CY207" s="32"/>
      <c r="CZ207" s="32"/>
      <c r="DA207" s="32"/>
      <c r="DB207" s="32"/>
    </row>
    <row r="208" spans="1:106" ht="15" hidden="1" customHeight="1">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c r="AE208" s="32"/>
      <c r="AF208" s="32"/>
      <c r="AG208" s="32"/>
      <c r="AH208" s="32"/>
      <c r="AI208" s="32"/>
      <c r="AJ208" s="32"/>
      <c r="AK208" s="32"/>
      <c r="AL208" s="32"/>
      <c r="AM208" s="32"/>
      <c r="AN208" s="32"/>
      <c r="AO208" s="32"/>
      <c r="AP208" s="32"/>
      <c r="AQ208" s="32"/>
      <c r="AR208" s="32"/>
      <c r="AS208" s="32"/>
      <c r="AT208" s="32"/>
      <c r="AU208" s="32"/>
      <c r="AV208" s="32"/>
      <c r="AW208" s="32"/>
      <c r="AX208" s="32"/>
      <c r="AY208" s="32"/>
      <c r="AZ208" s="32"/>
      <c r="BA208" s="32"/>
      <c r="BB208" s="32"/>
      <c r="BC208" s="32"/>
      <c r="BD208" s="32"/>
      <c r="BE208" s="32"/>
      <c r="BF208" s="2"/>
      <c r="BG208" s="2"/>
      <c r="BH208" s="2"/>
      <c r="BI208" s="2"/>
      <c r="BJ208" s="2"/>
      <c r="BK208" s="96"/>
      <c r="BL208" s="32"/>
      <c r="BM208" s="32"/>
      <c r="BN208" s="32"/>
      <c r="BO208" s="32"/>
      <c r="BP208" s="2"/>
      <c r="BQ208" s="2"/>
      <c r="BR208" s="2"/>
      <c r="BS208" s="86"/>
      <c r="BT208" s="32"/>
      <c r="BU208" s="33"/>
      <c r="BV208" s="33"/>
      <c r="BW208" s="32"/>
      <c r="BX208" s="32"/>
      <c r="BY208" s="32"/>
      <c r="BZ208" s="32"/>
      <c r="CA208" s="33"/>
      <c r="CB208" s="32"/>
      <c r="CC208" s="32"/>
      <c r="CD208" s="31"/>
      <c r="CE208" s="31"/>
      <c r="CF208" s="48"/>
      <c r="CG208" s="31"/>
      <c r="CH208" s="31"/>
      <c r="CI208" s="32"/>
      <c r="CJ208" s="32"/>
      <c r="CK208" s="32"/>
      <c r="CL208" s="32"/>
      <c r="CM208" s="32"/>
      <c r="CN208" s="32"/>
      <c r="CO208" s="32"/>
      <c r="CP208" s="32"/>
      <c r="CQ208" s="32"/>
      <c r="CR208" s="32"/>
      <c r="CS208" s="32"/>
      <c r="CT208" s="32"/>
      <c r="CU208" s="32"/>
      <c r="CV208" s="32"/>
      <c r="CW208" s="32"/>
      <c r="CX208" s="32"/>
      <c r="CY208" s="32"/>
      <c r="CZ208" s="32"/>
      <c r="DA208" s="32"/>
      <c r="DB208" s="32"/>
    </row>
    <row r="209" spans="1:106" ht="15" hidden="1" customHeight="1">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c r="AE209" s="32"/>
      <c r="AF209" s="32"/>
      <c r="AG209" s="32"/>
      <c r="AH209" s="32"/>
      <c r="AI209" s="32"/>
      <c r="AJ209" s="32"/>
      <c r="AK209" s="32"/>
      <c r="AL209" s="32"/>
      <c r="AM209" s="32"/>
      <c r="AN209" s="32"/>
      <c r="AO209" s="32"/>
      <c r="AP209" s="32"/>
      <c r="AQ209" s="32"/>
      <c r="AR209" s="32"/>
      <c r="AS209" s="32"/>
      <c r="AT209" s="32"/>
      <c r="AU209" s="32"/>
      <c r="AV209" s="32"/>
      <c r="AW209" s="32"/>
      <c r="AX209" s="32"/>
      <c r="AY209" s="32"/>
      <c r="AZ209" s="32"/>
      <c r="BA209" s="32"/>
      <c r="BB209" s="32"/>
      <c r="BC209" s="32"/>
      <c r="BD209" s="32"/>
      <c r="BE209" s="32"/>
      <c r="BF209" s="2"/>
      <c r="BG209" s="2"/>
      <c r="BH209" s="2"/>
      <c r="BI209" s="2"/>
      <c r="BJ209" s="2"/>
      <c r="BK209" s="96"/>
      <c r="BL209" s="32"/>
      <c r="BM209" s="32"/>
      <c r="BN209" s="32"/>
      <c r="BO209" s="32"/>
      <c r="BP209" s="2"/>
      <c r="BQ209" s="2"/>
      <c r="BR209" s="2"/>
      <c r="BS209" s="86"/>
      <c r="BT209" s="32"/>
      <c r="BU209" s="33"/>
      <c r="BV209" s="33"/>
      <c r="BW209" s="32"/>
      <c r="BX209" s="32"/>
      <c r="BY209" s="32"/>
      <c r="BZ209" s="32"/>
      <c r="CA209" s="33"/>
      <c r="CB209" s="32"/>
      <c r="CC209" s="32"/>
      <c r="CD209" s="31"/>
      <c r="CE209" s="31"/>
      <c r="CF209" s="48"/>
      <c r="CG209" s="31"/>
      <c r="CH209" s="31"/>
      <c r="CI209" s="32"/>
      <c r="CJ209" s="32"/>
      <c r="CK209" s="32"/>
      <c r="CL209" s="32"/>
      <c r="CM209" s="32"/>
      <c r="CN209" s="32"/>
      <c r="CO209" s="32"/>
      <c r="CP209" s="32"/>
      <c r="CQ209" s="32"/>
      <c r="CR209" s="32"/>
      <c r="CS209" s="32"/>
      <c r="CT209" s="32"/>
      <c r="CU209" s="32"/>
      <c r="CV209" s="32"/>
      <c r="CW209" s="32"/>
      <c r="CX209" s="32"/>
      <c r="CY209" s="32"/>
      <c r="CZ209" s="32"/>
      <c r="DA209" s="32"/>
      <c r="DB209" s="32"/>
    </row>
    <row r="210" spans="1:106" ht="15" hidden="1" customHeight="1">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c r="AE210" s="32"/>
      <c r="AF210" s="32"/>
      <c r="AG210" s="32"/>
      <c r="AH210" s="32"/>
      <c r="AI210" s="32"/>
      <c r="AJ210" s="32"/>
      <c r="AK210" s="32"/>
      <c r="AL210" s="32"/>
      <c r="AM210" s="32"/>
      <c r="AN210" s="32"/>
      <c r="AO210" s="32"/>
      <c r="AP210" s="32"/>
      <c r="AQ210" s="32"/>
      <c r="AR210" s="32"/>
      <c r="AS210" s="32"/>
      <c r="AT210" s="32"/>
      <c r="AU210" s="32"/>
      <c r="AV210" s="32"/>
      <c r="AW210" s="32"/>
      <c r="AX210" s="32"/>
      <c r="AY210" s="32"/>
      <c r="AZ210" s="32"/>
      <c r="BA210" s="32"/>
      <c r="BB210" s="32"/>
      <c r="BC210" s="32"/>
      <c r="BD210" s="32"/>
      <c r="BE210" s="32"/>
      <c r="BF210" s="2"/>
      <c r="BG210" s="2"/>
      <c r="BH210" s="2"/>
      <c r="BI210" s="2"/>
      <c r="BJ210" s="2"/>
      <c r="BK210" s="96"/>
      <c r="BL210" s="32"/>
      <c r="BM210" s="32"/>
      <c r="BN210" s="32"/>
      <c r="BO210" s="32"/>
      <c r="BP210" s="2"/>
      <c r="BQ210" s="2"/>
      <c r="BR210" s="2"/>
      <c r="BS210" s="86"/>
      <c r="BT210" s="32"/>
      <c r="BU210" s="33"/>
      <c r="BV210" s="33"/>
      <c r="BW210" s="32"/>
      <c r="BX210" s="32"/>
      <c r="BY210" s="32"/>
      <c r="BZ210" s="32"/>
      <c r="CA210" s="33"/>
      <c r="CB210" s="32"/>
      <c r="CC210" s="32"/>
      <c r="CD210" s="31"/>
      <c r="CE210" s="31"/>
      <c r="CF210" s="48"/>
      <c r="CG210" s="31"/>
      <c r="CH210" s="31"/>
      <c r="CI210" s="32"/>
      <c r="CJ210" s="32"/>
      <c r="CK210" s="32"/>
      <c r="CL210" s="32"/>
      <c r="CM210" s="32"/>
      <c r="CN210" s="32"/>
      <c r="CO210" s="32"/>
      <c r="CP210" s="32"/>
      <c r="CQ210" s="32"/>
      <c r="CR210" s="32"/>
      <c r="CS210" s="32"/>
      <c r="CT210" s="32"/>
      <c r="CU210" s="32"/>
      <c r="CV210" s="32"/>
      <c r="CW210" s="32"/>
      <c r="CX210" s="32"/>
      <c r="CY210" s="32"/>
      <c r="CZ210" s="32"/>
      <c r="DA210" s="32"/>
      <c r="DB210" s="32"/>
    </row>
    <row r="211" spans="1:106" ht="15" hidden="1" customHeight="1">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c r="AE211" s="32"/>
      <c r="AF211" s="32"/>
      <c r="AG211" s="32"/>
      <c r="AH211" s="32"/>
      <c r="AI211" s="32"/>
      <c r="AJ211" s="32"/>
      <c r="AK211" s="32"/>
      <c r="AL211" s="32"/>
      <c r="AM211" s="32"/>
      <c r="AN211" s="32"/>
      <c r="AO211" s="32"/>
      <c r="AP211" s="32"/>
      <c r="AQ211" s="32"/>
      <c r="AR211" s="32"/>
      <c r="AS211" s="32"/>
      <c r="AT211" s="32"/>
      <c r="AU211" s="32"/>
      <c r="AV211" s="32"/>
      <c r="AW211" s="32"/>
      <c r="AX211" s="32"/>
      <c r="AY211" s="32"/>
      <c r="AZ211" s="32"/>
      <c r="BA211" s="32"/>
      <c r="BB211" s="32"/>
      <c r="BC211" s="32"/>
      <c r="BD211" s="32"/>
      <c r="BE211" s="32"/>
      <c r="BF211" s="2"/>
      <c r="BG211" s="2"/>
      <c r="BH211" s="2"/>
      <c r="BI211" s="2"/>
      <c r="BJ211" s="2"/>
      <c r="BK211" s="96"/>
      <c r="BL211" s="32"/>
      <c r="BM211" s="32"/>
      <c r="BN211" s="32"/>
      <c r="BO211" s="32"/>
      <c r="BP211" s="2"/>
      <c r="BQ211" s="2"/>
      <c r="BR211" s="2"/>
      <c r="BS211" s="86"/>
      <c r="BT211" s="32"/>
      <c r="BU211" s="33"/>
      <c r="BV211" s="33"/>
      <c r="BW211" s="32"/>
      <c r="BX211" s="32"/>
      <c r="BY211" s="32"/>
      <c r="BZ211" s="32"/>
      <c r="CA211" s="33"/>
      <c r="CB211" s="32"/>
      <c r="CC211" s="32"/>
      <c r="CD211" s="31"/>
      <c r="CE211" s="31"/>
      <c r="CF211" s="48"/>
      <c r="CG211" s="31"/>
      <c r="CH211" s="31"/>
      <c r="CI211" s="32"/>
      <c r="CJ211" s="32"/>
      <c r="CK211" s="32"/>
      <c r="CL211" s="32"/>
      <c r="CM211" s="32"/>
      <c r="CN211" s="32"/>
      <c r="CO211" s="32"/>
      <c r="CP211" s="32"/>
      <c r="CQ211" s="32"/>
      <c r="CR211" s="32"/>
      <c r="CS211" s="32"/>
      <c r="CT211" s="32"/>
      <c r="CU211" s="32"/>
      <c r="CV211" s="32"/>
      <c r="CW211" s="32"/>
      <c r="CX211" s="32"/>
      <c r="CY211" s="32"/>
      <c r="CZ211" s="32"/>
      <c r="DA211" s="32"/>
      <c r="DB211" s="32"/>
    </row>
    <row r="212" spans="1:106" ht="15" hidden="1" customHeight="1">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c r="AI212" s="32"/>
      <c r="AJ212" s="32"/>
      <c r="AK212" s="32"/>
      <c r="AL212" s="32"/>
      <c r="AM212" s="32"/>
      <c r="AN212" s="32"/>
      <c r="AO212" s="32"/>
      <c r="AP212" s="32"/>
      <c r="AQ212" s="32"/>
      <c r="AR212" s="32"/>
      <c r="AS212" s="32"/>
      <c r="AT212" s="32"/>
      <c r="AU212" s="32"/>
      <c r="AV212" s="32"/>
      <c r="AW212" s="32"/>
      <c r="AX212" s="32"/>
      <c r="AY212" s="32"/>
      <c r="AZ212" s="32"/>
      <c r="BA212" s="32"/>
      <c r="BB212" s="32"/>
      <c r="BC212" s="32"/>
      <c r="BD212" s="32"/>
      <c r="BE212" s="32"/>
      <c r="BF212" s="2"/>
      <c r="BG212" s="2"/>
      <c r="BH212" s="2"/>
      <c r="BI212" s="2"/>
      <c r="BJ212" s="2"/>
      <c r="BK212" s="96"/>
      <c r="BL212" s="32"/>
      <c r="BM212" s="32"/>
      <c r="BN212" s="32"/>
      <c r="BO212" s="32"/>
      <c r="BP212" s="2"/>
      <c r="BQ212" s="2"/>
      <c r="BR212" s="2"/>
      <c r="BS212" s="86"/>
      <c r="BT212" s="32"/>
      <c r="BU212" s="33"/>
      <c r="BV212" s="33"/>
      <c r="BW212" s="32"/>
      <c r="BX212" s="32"/>
      <c r="BY212" s="32"/>
      <c r="BZ212" s="32"/>
      <c r="CA212" s="47"/>
      <c r="CB212" s="31"/>
      <c r="CC212" s="31"/>
      <c r="CD212" s="31"/>
      <c r="CE212" s="31"/>
      <c r="CF212" s="48"/>
      <c r="CG212" s="31"/>
      <c r="CH212" s="31"/>
      <c r="CI212" s="32"/>
      <c r="CJ212" s="32"/>
      <c r="CK212" s="32"/>
      <c r="CL212" s="32"/>
      <c r="CM212" s="32"/>
      <c r="CN212" s="32"/>
      <c r="CO212" s="32"/>
      <c r="CP212" s="32"/>
      <c r="CQ212" s="32"/>
      <c r="CR212" s="32"/>
      <c r="CS212" s="32"/>
      <c r="CT212" s="32"/>
      <c r="CU212" s="32"/>
      <c r="CV212" s="32"/>
      <c r="CW212" s="32"/>
      <c r="CX212" s="32"/>
      <c r="CY212" s="32"/>
      <c r="CZ212" s="32"/>
      <c r="DA212" s="32"/>
      <c r="DB212" s="32"/>
    </row>
    <row r="213" spans="1:106" ht="15" hidden="1" customHeight="1">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c r="AE213" s="32"/>
      <c r="AF213" s="32"/>
      <c r="AG213" s="32"/>
      <c r="AH213" s="32"/>
      <c r="AI213" s="32"/>
      <c r="AJ213" s="32"/>
      <c r="AK213" s="32"/>
      <c r="AL213" s="32"/>
      <c r="AM213" s="32"/>
      <c r="AN213" s="32"/>
      <c r="AO213" s="32"/>
      <c r="AP213" s="32"/>
      <c r="AQ213" s="32"/>
      <c r="AR213" s="32"/>
      <c r="AS213" s="32"/>
      <c r="AT213" s="32"/>
      <c r="AU213" s="32"/>
      <c r="AV213" s="32"/>
      <c r="AW213" s="32"/>
      <c r="AX213" s="32"/>
      <c r="AY213" s="32"/>
      <c r="AZ213" s="32"/>
      <c r="BA213" s="32"/>
      <c r="BB213" s="32"/>
      <c r="BC213" s="32"/>
      <c r="BD213" s="32"/>
      <c r="BE213" s="32"/>
      <c r="BF213" s="2"/>
      <c r="BG213" s="2"/>
      <c r="BH213" s="2"/>
      <c r="BI213" s="2"/>
      <c r="BJ213" s="2"/>
      <c r="BK213" s="96"/>
      <c r="BL213" s="32"/>
      <c r="BM213" s="32"/>
      <c r="BN213" s="32"/>
      <c r="BO213" s="32"/>
      <c r="BP213" s="2"/>
      <c r="BQ213" s="2"/>
      <c r="BR213" s="2"/>
      <c r="BS213" s="86"/>
      <c r="BT213" s="32"/>
      <c r="BU213" s="33"/>
      <c r="BV213" s="33"/>
      <c r="BW213" s="32"/>
      <c r="BX213" s="32"/>
      <c r="BY213" s="32"/>
      <c r="BZ213" s="99"/>
      <c r="CA213" s="31"/>
      <c r="CB213" s="31"/>
      <c r="CC213" s="31"/>
      <c r="CD213" s="31"/>
      <c r="CE213" s="31"/>
      <c r="CF213" s="48"/>
      <c r="CG213" s="31"/>
      <c r="CH213" s="31"/>
      <c r="CI213" s="32"/>
      <c r="CJ213" s="32"/>
      <c r="CK213" s="32"/>
      <c r="CL213" s="32"/>
      <c r="CM213" s="32"/>
      <c r="CN213" s="32"/>
      <c r="CO213" s="32"/>
      <c r="CP213" s="32"/>
      <c r="CQ213" s="32"/>
      <c r="CR213" s="32"/>
      <c r="CS213" s="32"/>
      <c r="CT213" s="32"/>
      <c r="CU213" s="32"/>
      <c r="CV213" s="32"/>
      <c r="CW213" s="32"/>
      <c r="CX213" s="32"/>
      <c r="CY213" s="32"/>
      <c r="CZ213" s="32"/>
      <c r="DA213" s="32"/>
      <c r="DB213" s="32"/>
    </row>
    <row r="214" spans="1:106" ht="15" hidden="1" customHeight="1">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c r="AE214" s="32"/>
      <c r="AF214" s="32"/>
      <c r="AG214" s="32"/>
      <c r="AH214" s="32"/>
      <c r="AI214" s="32"/>
      <c r="AJ214" s="32"/>
      <c r="AK214" s="32"/>
      <c r="AL214" s="32"/>
      <c r="AM214" s="32"/>
      <c r="AN214" s="32"/>
      <c r="AO214" s="32"/>
      <c r="AP214" s="32"/>
      <c r="AQ214" s="32"/>
      <c r="AR214" s="32"/>
      <c r="AS214" s="32"/>
      <c r="AT214" s="32"/>
      <c r="AU214" s="32"/>
      <c r="AV214" s="32"/>
      <c r="AW214" s="32"/>
      <c r="AX214" s="32"/>
      <c r="AY214" s="32"/>
      <c r="AZ214" s="32"/>
      <c r="BA214" s="32"/>
      <c r="BB214" s="32"/>
      <c r="BC214" s="32"/>
      <c r="BD214" s="32"/>
      <c r="BE214" s="32"/>
      <c r="BF214" s="2"/>
      <c r="BG214" s="2"/>
      <c r="BH214" s="2"/>
      <c r="BI214" s="2"/>
      <c r="BJ214" s="2"/>
      <c r="BK214" s="96"/>
      <c r="BL214" s="32"/>
      <c r="BM214" s="32"/>
      <c r="BN214" s="32"/>
      <c r="BO214" s="32"/>
      <c r="BP214" s="2"/>
      <c r="BQ214" s="2"/>
      <c r="BR214" s="2"/>
      <c r="BS214" s="86"/>
      <c r="BT214" s="32"/>
      <c r="BU214" s="33"/>
      <c r="BV214" s="33"/>
      <c r="BW214" s="32"/>
      <c r="BX214" s="32"/>
      <c r="BY214" s="32"/>
      <c r="BZ214" s="32"/>
      <c r="CA214" s="47"/>
      <c r="CB214" s="31"/>
      <c r="CC214" s="31"/>
      <c r="CD214" s="31"/>
      <c r="CE214" s="31"/>
      <c r="CF214" s="48"/>
      <c r="CG214" s="31"/>
      <c r="CH214" s="31"/>
      <c r="CI214" s="32"/>
      <c r="CJ214" s="32"/>
      <c r="CK214" s="32"/>
      <c r="CL214" s="32"/>
      <c r="CM214" s="32"/>
      <c r="CN214" s="32"/>
      <c r="CO214" s="32"/>
      <c r="CP214" s="32"/>
      <c r="CQ214" s="32"/>
      <c r="CR214" s="32"/>
      <c r="CS214" s="32"/>
      <c r="CT214" s="32"/>
      <c r="CU214" s="32"/>
      <c r="CV214" s="32"/>
      <c r="CW214" s="32"/>
      <c r="CX214" s="32"/>
      <c r="CY214" s="32"/>
      <c r="CZ214" s="32"/>
      <c r="DA214" s="32"/>
      <c r="DB214" s="32"/>
    </row>
    <row r="215" spans="1:106" ht="15" hidden="1" customHeight="1">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c r="AE215" s="32"/>
      <c r="AF215" s="32"/>
      <c r="AG215" s="32"/>
      <c r="AH215" s="32"/>
      <c r="AI215" s="32"/>
      <c r="AJ215" s="32"/>
      <c r="AK215" s="32"/>
      <c r="AL215" s="32"/>
      <c r="AM215" s="32"/>
      <c r="AN215" s="32"/>
      <c r="AO215" s="32"/>
      <c r="AP215" s="32"/>
      <c r="AQ215" s="32"/>
      <c r="AR215" s="32"/>
      <c r="AS215" s="32"/>
      <c r="AT215" s="32"/>
      <c r="AU215" s="32"/>
      <c r="AV215" s="32"/>
      <c r="AW215" s="32"/>
      <c r="AX215" s="32"/>
      <c r="AY215" s="32"/>
      <c r="AZ215" s="32"/>
      <c r="BA215" s="32"/>
      <c r="BB215" s="32"/>
      <c r="BC215" s="32"/>
      <c r="BD215" s="32"/>
      <c r="BE215" s="32"/>
      <c r="BF215" s="2"/>
      <c r="BG215" s="2"/>
      <c r="BH215" s="2"/>
      <c r="BI215" s="2"/>
      <c r="BJ215" s="2"/>
      <c r="BK215" s="96"/>
      <c r="BL215" s="32"/>
      <c r="BM215" s="32"/>
      <c r="BN215" s="32"/>
      <c r="BO215" s="32"/>
      <c r="BP215" s="2"/>
      <c r="BQ215" s="2"/>
      <c r="BR215" s="2"/>
      <c r="BS215" s="86"/>
      <c r="BT215" s="32"/>
      <c r="BU215" s="33"/>
      <c r="BV215" s="33"/>
      <c r="BW215" s="32"/>
      <c r="BX215" s="32"/>
      <c r="BY215" s="32"/>
      <c r="BZ215" s="32"/>
      <c r="CA215" s="33"/>
      <c r="CB215" s="32"/>
      <c r="CC215" s="32"/>
      <c r="CD215" s="31"/>
      <c r="CE215" s="31"/>
      <c r="CF215" s="48"/>
      <c r="CG215" s="31"/>
      <c r="CH215" s="31"/>
      <c r="CI215" s="32"/>
      <c r="CJ215" s="32"/>
      <c r="CK215" s="32"/>
      <c r="CL215" s="32"/>
      <c r="CM215" s="32"/>
      <c r="CN215" s="32"/>
      <c r="CO215" s="32"/>
      <c r="CP215" s="32"/>
      <c r="CQ215" s="32"/>
      <c r="CR215" s="32"/>
      <c r="CS215" s="32"/>
      <c r="CT215" s="32"/>
      <c r="CU215" s="32"/>
      <c r="CV215" s="32"/>
      <c r="CW215" s="32"/>
      <c r="CX215" s="32"/>
      <c r="CY215" s="32"/>
      <c r="CZ215" s="32"/>
      <c r="DA215" s="32"/>
      <c r="DB215" s="32"/>
    </row>
    <row r="216" spans="1:106" ht="15" hidden="1" customHeight="1">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c r="AF216" s="32"/>
      <c r="AG216" s="32"/>
      <c r="AH216" s="32"/>
      <c r="AI216" s="32"/>
      <c r="AJ216" s="32"/>
      <c r="AK216" s="32"/>
      <c r="AL216" s="32"/>
      <c r="AM216" s="32"/>
      <c r="AN216" s="32"/>
      <c r="AO216" s="32"/>
      <c r="AP216" s="32"/>
      <c r="AQ216" s="32"/>
      <c r="AR216" s="32"/>
      <c r="AS216" s="32"/>
      <c r="AT216" s="32"/>
      <c r="AU216" s="32"/>
      <c r="AV216" s="32"/>
      <c r="AW216" s="32"/>
      <c r="AX216" s="32"/>
      <c r="AY216" s="32"/>
      <c r="AZ216" s="32"/>
      <c r="BA216" s="32"/>
      <c r="BB216" s="32"/>
      <c r="BC216" s="32"/>
      <c r="BD216" s="32"/>
      <c r="BE216" s="32"/>
      <c r="BF216" s="2"/>
      <c r="BG216" s="2"/>
      <c r="BH216" s="2"/>
      <c r="BI216" s="2"/>
      <c r="BJ216" s="2"/>
      <c r="BK216" s="96"/>
      <c r="BL216" s="32"/>
      <c r="BM216" s="32"/>
      <c r="BN216" s="32"/>
      <c r="BO216" s="32"/>
      <c r="BP216" s="2"/>
      <c r="BQ216" s="2"/>
      <c r="BR216" s="2"/>
      <c r="BS216" s="86"/>
      <c r="BT216" s="32"/>
      <c r="BU216" s="33"/>
      <c r="BV216" s="33"/>
      <c r="BW216" s="32"/>
      <c r="BX216" s="32"/>
      <c r="BY216" s="32"/>
      <c r="BZ216" s="32"/>
      <c r="CA216" s="33"/>
      <c r="CB216" s="32"/>
      <c r="CC216" s="32"/>
      <c r="CD216" s="31"/>
      <c r="CE216" s="31"/>
      <c r="CF216" s="48"/>
      <c r="CG216" s="31"/>
      <c r="CH216" s="31"/>
      <c r="CI216" s="32"/>
      <c r="CJ216" s="32"/>
      <c r="CK216" s="32"/>
      <c r="CL216" s="32"/>
      <c r="CM216" s="32"/>
      <c r="CN216" s="32"/>
      <c r="CO216" s="32"/>
      <c r="CP216" s="32"/>
      <c r="CQ216" s="32"/>
      <c r="CR216" s="32"/>
      <c r="CS216" s="32"/>
      <c r="CT216" s="32"/>
      <c r="CU216" s="32"/>
      <c r="CV216" s="32"/>
      <c r="CW216" s="32"/>
      <c r="CX216" s="32"/>
      <c r="CY216" s="32"/>
      <c r="CZ216" s="32"/>
      <c r="DA216" s="32"/>
      <c r="DB216" s="32"/>
    </row>
    <row r="217" spans="1:106" ht="15" hidden="1" customHeight="1">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c r="AE217" s="32"/>
      <c r="AF217" s="32"/>
      <c r="AG217" s="32"/>
      <c r="AH217" s="32"/>
      <c r="AI217" s="32"/>
      <c r="AJ217" s="32"/>
      <c r="AK217" s="32"/>
      <c r="AL217" s="32"/>
      <c r="AM217" s="32"/>
      <c r="AN217" s="32"/>
      <c r="AO217" s="32"/>
      <c r="AP217" s="32"/>
      <c r="AQ217" s="32"/>
      <c r="AR217" s="32"/>
      <c r="AS217" s="32"/>
      <c r="AT217" s="32"/>
      <c r="AU217" s="32"/>
      <c r="AV217" s="32"/>
      <c r="AW217" s="32"/>
      <c r="AX217" s="32"/>
      <c r="AY217" s="32"/>
      <c r="AZ217" s="32"/>
      <c r="BA217" s="32"/>
      <c r="BB217" s="32"/>
      <c r="BC217" s="32"/>
      <c r="BD217" s="32"/>
      <c r="BE217" s="32"/>
      <c r="BF217" s="2"/>
      <c r="BG217" s="2"/>
      <c r="BH217" s="2"/>
      <c r="BI217" s="2"/>
      <c r="BJ217" s="2"/>
      <c r="BK217" s="96"/>
      <c r="BL217" s="32"/>
      <c r="BM217" s="32"/>
      <c r="BN217" s="32"/>
      <c r="BO217" s="32"/>
      <c r="BP217" s="2"/>
      <c r="BQ217" s="2"/>
      <c r="BR217" s="2"/>
      <c r="BS217" s="86"/>
      <c r="BT217" s="32"/>
      <c r="BU217" s="33"/>
      <c r="BV217" s="33"/>
      <c r="BW217" s="32"/>
      <c r="BX217" s="32"/>
      <c r="BY217" s="32"/>
      <c r="BZ217" s="32"/>
      <c r="CA217" s="33"/>
      <c r="CB217" s="32"/>
      <c r="CC217" s="32"/>
      <c r="CD217" s="31"/>
      <c r="CE217" s="31"/>
      <c r="CF217" s="48"/>
      <c r="CG217" s="31"/>
      <c r="CH217" s="31"/>
      <c r="CI217" s="32"/>
      <c r="CJ217" s="32"/>
      <c r="CK217" s="32"/>
      <c r="CL217" s="32"/>
      <c r="CM217" s="32"/>
      <c r="CN217" s="32"/>
      <c r="CO217" s="32"/>
      <c r="CP217" s="32"/>
      <c r="CQ217" s="32"/>
      <c r="CR217" s="32"/>
      <c r="CS217" s="32"/>
      <c r="CT217" s="32"/>
      <c r="CU217" s="32"/>
      <c r="CV217" s="32"/>
      <c r="CW217" s="32"/>
      <c r="CX217" s="32"/>
      <c r="CY217" s="32"/>
      <c r="CZ217" s="32"/>
      <c r="DA217" s="32"/>
      <c r="DB217" s="32"/>
    </row>
    <row r="218" spans="1:106" ht="15" hidden="1" customHeight="1">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c r="AE218" s="32"/>
      <c r="AF218" s="32"/>
      <c r="AG218" s="32"/>
      <c r="AH218" s="32"/>
      <c r="AI218" s="32"/>
      <c r="AJ218" s="32"/>
      <c r="AK218" s="32"/>
      <c r="AL218" s="32"/>
      <c r="AM218" s="32"/>
      <c r="AN218" s="32"/>
      <c r="AO218" s="32"/>
      <c r="AP218" s="32"/>
      <c r="AQ218" s="32"/>
      <c r="AR218" s="32"/>
      <c r="AS218" s="32"/>
      <c r="AT218" s="32"/>
      <c r="AU218" s="32"/>
      <c r="AV218" s="32"/>
      <c r="AW218" s="32"/>
      <c r="AX218" s="32"/>
      <c r="AY218" s="32"/>
      <c r="AZ218" s="32"/>
      <c r="BA218" s="32"/>
      <c r="BB218" s="32"/>
      <c r="BC218" s="32"/>
      <c r="BD218" s="32"/>
      <c r="BE218" s="32"/>
      <c r="BF218" s="2"/>
      <c r="BG218" s="2"/>
      <c r="BH218" s="2"/>
      <c r="BI218" s="2"/>
      <c r="BJ218" s="2"/>
      <c r="BK218" s="96"/>
      <c r="BL218" s="32"/>
      <c r="BM218" s="32"/>
      <c r="BN218" s="32"/>
      <c r="BO218" s="32"/>
      <c r="BP218" s="2"/>
      <c r="BQ218" s="2"/>
      <c r="BR218" s="2"/>
      <c r="BS218" s="86"/>
      <c r="BT218" s="32"/>
      <c r="BU218" s="33"/>
      <c r="BV218" s="33"/>
      <c r="BW218" s="32"/>
      <c r="BX218" s="32"/>
      <c r="BY218" s="32"/>
      <c r="BZ218" s="32"/>
      <c r="CA218" s="33"/>
      <c r="CB218" s="32"/>
      <c r="CC218" s="32"/>
      <c r="CD218" s="31"/>
      <c r="CE218" s="31"/>
      <c r="CF218" s="48"/>
      <c r="CG218" s="31"/>
      <c r="CH218" s="31"/>
      <c r="CI218" s="32"/>
      <c r="CJ218" s="32"/>
      <c r="CK218" s="32"/>
      <c r="CL218" s="32"/>
      <c r="CM218" s="32"/>
      <c r="CN218" s="32"/>
      <c r="CO218" s="32"/>
      <c r="CP218" s="32"/>
      <c r="CQ218" s="32"/>
      <c r="CR218" s="32"/>
      <c r="CS218" s="32"/>
      <c r="CT218" s="32"/>
      <c r="CU218" s="32"/>
      <c r="CV218" s="32"/>
      <c r="CW218" s="32"/>
      <c r="CX218" s="32"/>
      <c r="CY218" s="32"/>
      <c r="CZ218" s="32"/>
      <c r="DA218" s="32"/>
      <c r="DB218" s="32"/>
    </row>
    <row r="219" spans="1:106" ht="15" hidden="1" customHeight="1">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c r="AE219" s="32"/>
      <c r="AF219" s="32"/>
      <c r="AG219" s="32"/>
      <c r="AH219" s="32"/>
      <c r="AI219" s="32"/>
      <c r="AJ219" s="32"/>
      <c r="AK219" s="32"/>
      <c r="AL219" s="32"/>
      <c r="AM219" s="32"/>
      <c r="AN219" s="32"/>
      <c r="AO219" s="32"/>
      <c r="AP219" s="32"/>
      <c r="AQ219" s="32"/>
      <c r="AR219" s="32"/>
      <c r="AS219" s="32"/>
      <c r="AT219" s="32"/>
      <c r="AU219" s="32"/>
      <c r="AV219" s="32"/>
      <c r="AW219" s="32"/>
      <c r="AX219" s="32"/>
      <c r="AY219" s="32"/>
      <c r="AZ219" s="32"/>
      <c r="BA219" s="32"/>
      <c r="BB219" s="32"/>
      <c r="BC219" s="32"/>
      <c r="BD219" s="32"/>
      <c r="BE219" s="32"/>
      <c r="BF219" s="2"/>
      <c r="BG219" s="2"/>
      <c r="BH219" s="2"/>
      <c r="BI219" s="2"/>
      <c r="BJ219" s="2"/>
      <c r="BK219" s="96"/>
      <c r="BL219" s="32"/>
      <c r="BM219" s="32"/>
      <c r="BN219" s="32"/>
      <c r="BO219" s="32"/>
      <c r="BP219" s="2"/>
      <c r="BQ219" s="2"/>
      <c r="BR219" s="2"/>
      <c r="BS219" s="86"/>
      <c r="BT219" s="32"/>
      <c r="BU219" s="33"/>
      <c r="BV219" s="33"/>
      <c r="BW219" s="32"/>
      <c r="BX219" s="32"/>
      <c r="BY219" s="32"/>
      <c r="BZ219" s="32"/>
      <c r="CA219" s="33"/>
      <c r="CB219" s="32"/>
      <c r="CC219" s="32"/>
      <c r="CD219" s="31"/>
      <c r="CE219" s="31"/>
      <c r="CF219" s="48"/>
      <c r="CG219" s="31"/>
      <c r="CH219" s="31"/>
      <c r="CI219" s="32"/>
      <c r="CJ219" s="32"/>
      <c r="CK219" s="32"/>
      <c r="CL219" s="32"/>
      <c r="CM219" s="32"/>
      <c r="CN219" s="32"/>
      <c r="CO219" s="32"/>
      <c r="CP219" s="32"/>
      <c r="CQ219" s="32"/>
      <c r="CR219" s="32"/>
      <c r="CS219" s="32"/>
      <c r="CT219" s="32"/>
      <c r="CU219" s="32"/>
      <c r="CV219" s="32"/>
      <c r="CW219" s="32"/>
      <c r="CX219" s="32"/>
      <c r="CY219" s="32"/>
      <c r="CZ219" s="32"/>
      <c r="DA219" s="32"/>
      <c r="DB219" s="32"/>
    </row>
    <row r="220" spans="1:106" ht="15" hidden="1" customHeight="1">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c r="AE220" s="32"/>
      <c r="AF220" s="32"/>
      <c r="AG220" s="32"/>
      <c r="AH220" s="32"/>
      <c r="AI220" s="32"/>
      <c r="AJ220" s="32"/>
      <c r="AK220" s="32"/>
      <c r="AL220" s="32"/>
      <c r="AM220" s="32"/>
      <c r="AN220" s="32"/>
      <c r="AO220" s="32"/>
      <c r="AP220" s="32"/>
      <c r="AQ220" s="32"/>
      <c r="AR220" s="32"/>
      <c r="AS220" s="32"/>
      <c r="AT220" s="32"/>
      <c r="AU220" s="32"/>
      <c r="AV220" s="32"/>
      <c r="AW220" s="32"/>
      <c r="AX220" s="32"/>
      <c r="AY220" s="32"/>
      <c r="AZ220" s="32"/>
      <c r="BA220" s="32"/>
      <c r="BB220" s="32"/>
      <c r="BC220" s="32"/>
      <c r="BD220" s="32"/>
      <c r="BE220" s="32"/>
      <c r="BF220" s="2"/>
      <c r="BG220" s="2"/>
      <c r="BH220" s="2"/>
      <c r="BI220" s="2"/>
      <c r="BJ220" s="2"/>
      <c r="BK220" s="96"/>
      <c r="BL220" s="32"/>
      <c r="BM220" s="32"/>
      <c r="BN220" s="32"/>
      <c r="BO220" s="32"/>
      <c r="BP220" s="2"/>
      <c r="BQ220" s="2"/>
      <c r="BR220" s="2"/>
      <c r="BS220" s="86"/>
      <c r="BT220" s="32"/>
      <c r="BU220" s="33"/>
      <c r="BV220" s="33"/>
      <c r="BW220" s="32"/>
      <c r="BX220" s="32"/>
      <c r="BY220" s="32"/>
      <c r="BZ220" s="32"/>
      <c r="CA220" s="33"/>
      <c r="CB220" s="32"/>
      <c r="CC220" s="32"/>
      <c r="CD220" s="31"/>
      <c r="CE220" s="31"/>
      <c r="CF220" s="48"/>
      <c r="CG220" s="31"/>
      <c r="CH220" s="31"/>
      <c r="CI220" s="32"/>
      <c r="CJ220" s="32"/>
      <c r="CK220" s="32"/>
      <c r="CL220" s="32"/>
      <c r="CM220" s="32"/>
      <c r="CN220" s="32"/>
      <c r="CO220" s="32"/>
      <c r="CP220" s="32"/>
      <c r="CQ220" s="32"/>
      <c r="CR220" s="32"/>
      <c r="CS220" s="32"/>
      <c r="CT220" s="32"/>
      <c r="CU220" s="32"/>
      <c r="CV220" s="32"/>
      <c r="CW220" s="32"/>
      <c r="CX220" s="32"/>
      <c r="CY220" s="32"/>
      <c r="CZ220" s="32"/>
      <c r="DA220" s="32"/>
      <c r="DB220" s="32"/>
    </row>
    <row r="221" spans="1:106" ht="15" hidden="1" customHeight="1">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c r="AE221" s="32"/>
      <c r="AF221" s="32"/>
      <c r="AG221" s="32"/>
      <c r="AH221" s="32"/>
      <c r="AI221" s="32"/>
      <c r="AJ221" s="32"/>
      <c r="AK221" s="32"/>
      <c r="AL221" s="32"/>
      <c r="AM221" s="32"/>
      <c r="AN221" s="32"/>
      <c r="AO221" s="32"/>
      <c r="AP221" s="32"/>
      <c r="AQ221" s="32"/>
      <c r="AR221" s="32"/>
      <c r="AS221" s="32"/>
      <c r="AT221" s="32"/>
      <c r="AU221" s="32"/>
      <c r="AV221" s="32"/>
      <c r="AW221" s="32"/>
      <c r="AX221" s="32"/>
      <c r="AY221" s="32"/>
      <c r="AZ221" s="32"/>
      <c r="BA221" s="32"/>
      <c r="BB221" s="32"/>
      <c r="BC221" s="32"/>
      <c r="BD221" s="32"/>
      <c r="BE221" s="32"/>
      <c r="BF221" s="2"/>
      <c r="BG221" s="2"/>
      <c r="BH221" s="2"/>
      <c r="BI221" s="2"/>
      <c r="BJ221" s="2"/>
      <c r="BK221" s="32"/>
      <c r="BL221" s="2"/>
      <c r="BM221" s="32"/>
      <c r="BN221" s="32"/>
      <c r="BO221" s="32"/>
      <c r="BP221" s="2"/>
      <c r="BQ221" s="2"/>
      <c r="BR221" s="2"/>
      <c r="BS221" s="86"/>
      <c r="BT221" s="32"/>
      <c r="BU221" s="33"/>
      <c r="BV221" s="33"/>
      <c r="BW221" s="32"/>
      <c r="BX221" s="32"/>
      <c r="BY221" s="32"/>
      <c r="BZ221" s="32"/>
      <c r="CA221" s="33"/>
      <c r="CB221" s="32"/>
      <c r="CC221" s="32"/>
      <c r="CD221" s="31"/>
      <c r="CE221" s="31"/>
      <c r="CF221" s="48"/>
      <c r="CG221" s="31"/>
      <c r="CH221" s="31"/>
      <c r="CI221" s="32"/>
      <c r="CJ221" s="32"/>
      <c r="CK221" s="32"/>
      <c r="CL221" s="32"/>
      <c r="CM221" s="32"/>
      <c r="CN221" s="32"/>
      <c r="CO221" s="32"/>
      <c r="CP221" s="32"/>
      <c r="CQ221" s="32"/>
      <c r="CR221" s="32"/>
      <c r="CS221" s="32"/>
      <c r="CT221" s="32"/>
      <c r="CU221" s="32"/>
      <c r="CV221" s="32"/>
      <c r="CW221" s="32"/>
      <c r="CX221" s="32"/>
      <c r="CY221" s="32"/>
      <c r="CZ221" s="32"/>
      <c r="DA221" s="32"/>
      <c r="DB221" s="32"/>
    </row>
    <row r="222" spans="1:106" ht="15" hidden="1" customHeight="1">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c r="AE222" s="32"/>
      <c r="AF222" s="32"/>
      <c r="AG222" s="32"/>
      <c r="AH222" s="32"/>
      <c r="AI222" s="32"/>
      <c r="AJ222" s="32"/>
      <c r="AK222" s="32"/>
      <c r="AL222" s="32"/>
      <c r="AM222" s="32"/>
      <c r="AN222" s="32"/>
      <c r="AO222" s="32"/>
      <c r="AP222" s="32"/>
      <c r="AQ222" s="32"/>
      <c r="AR222" s="32"/>
      <c r="AS222" s="32"/>
      <c r="AT222" s="32"/>
      <c r="AU222" s="32"/>
      <c r="AV222" s="32"/>
      <c r="AW222" s="32"/>
      <c r="AX222" s="32"/>
      <c r="AY222" s="32"/>
      <c r="AZ222" s="32"/>
      <c r="BA222" s="32"/>
      <c r="BB222" s="32"/>
      <c r="BC222" s="32"/>
      <c r="BD222" s="32"/>
      <c r="BE222" s="32"/>
      <c r="BF222" s="2"/>
      <c r="BG222" s="2"/>
      <c r="BH222" s="2"/>
      <c r="BI222" s="2"/>
      <c r="BJ222" s="2"/>
      <c r="BK222" s="32"/>
      <c r="BL222" s="2"/>
      <c r="BM222" s="32"/>
      <c r="BN222" s="32"/>
      <c r="BO222" s="32"/>
      <c r="BP222" s="2"/>
      <c r="BQ222" s="2"/>
      <c r="BR222" s="2"/>
      <c r="BS222" s="86"/>
      <c r="BT222" s="32"/>
      <c r="BU222" s="33"/>
      <c r="BV222" s="33"/>
      <c r="BW222" s="32"/>
      <c r="BX222" s="32"/>
      <c r="BY222" s="32"/>
      <c r="BZ222" s="32"/>
      <c r="CA222" s="33"/>
      <c r="CB222" s="32"/>
      <c r="CC222" s="32"/>
      <c r="CD222" s="31"/>
      <c r="CE222" s="31"/>
      <c r="CF222" s="48"/>
      <c r="CG222" s="31"/>
      <c r="CH222" s="31"/>
      <c r="CI222" s="32"/>
      <c r="CJ222" s="32"/>
      <c r="CK222" s="32"/>
      <c r="CL222" s="32"/>
      <c r="CM222" s="32"/>
      <c r="CN222" s="32"/>
      <c r="CO222" s="32"/>
      <c r="CP222" s="32"/>
      <c r="CQ222" s="32"/>
      <c r="CR222" s="32"/>
      <c r="CS222" s="32"/>
      <c r="CT222" s="32"/>
      <c r="CU222" s="32"/>
      <c r="CV222" s="32"/>
      <c r="CW222" s="32"/>
      <c r="CX222" s="32"/>
      <c r="CY222" s="32"/>
      <c r="CZ222" s="32"/>
      <c r="DA222" s="32"/>
      <c r="DB222" s="32"/>
    </row>
    <row r="223" spans="1:106" ht="15" hidden="1" customHeight="1">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c r="AE223" s="32"/>
      <c r="AF223" s="32"/>
      <c r="AG223" s="32"/>
      <c r="AH223" s="32"/>
      <c r="AI223" s="32"/>
      <c r="AJ223" s="32"/>
      <c r="AK223" s="32"/>
      <c r="AL223" s="32"/>
      <c r="AM223" s="32"/>
      <c r="AN223" s="32"/>
      <c r="AO223" s="32"/>
      <c r="AP223" s="32"/>
      <c r="AQ223" s="32"/>
      <c r="AR223" s="32"/>
      <c r="AS223" s="32"/>
      <c r="AT223" s="32"/>
      <c r="AU223" s="32"/>
      <c r="AV223" s="32"/>
      <c r="AW223" s="32"/>
      <c r="AX223" s="32"/>
      <c r="AY223" s="32"/>
      <c r="AZ223" s="32"/>
      <c r="BA223" s="32"/>
      <c r="BB223" s="32"/>
      <c r="BC223" s="32"/>
      <c r="BD223" s="32"/>
      <c r="BE223" s="32"/>
      <c r="BF223" s="2"/>
      <c r="BG223" s="2"/>
      <c r="BH223" s="2"/>
      <c r="BI223" s="2"/>
      <c r="BJ223" s="2"/>
      <c r="BK223" s="32"/>
      <c r="BL223" s="2"/>
      <c r="BM223" s="32"/>
      <c r="BN223" s="32"/>
      <c r="BO223" s="32"/>
      <c r="BP223" s="2"/>
      <c r="BQ223" s="2"/>
      <c r="BR223" s="2"/>
      <c r="BS223" s="86"/>
      <c r="BT223" s="32"/>
      <c r="BU223" s="33"/>
      <c r="BV223" s="33"/>
      <c r="BW223" s="32"/>
      <c r="BX223" s="32"/>
      <c r="BY223" s="32"/>
      <c r="BZ223" s="32"/>
      <c r="CA223" s="47"/>
      <c r="CB223" s="31"/>
      <c r="CC223" s="31"/>
      <c r="CD223" s="31"/>
      <c r="CE223" s="31"/>
      <c r="CF223" s="48"/>
      <c r="CG223" s="31"/>
      <c r="CH223" s="31"/>
      <c r="CI223" s="32"/>
      <c r="CJ223" s="32"/>
      <c r="CK223" s="32"/>
      <c r="CL223" s="32"/>
      <c r="CM223" s="32"/>
      <c r="CN223" s="32"/>
      <c r="CO223" s="32"/>
      <c r="CP223" s="32"/>
      <c r="CQ223" s="32"/>
      <c r="CR223" s="32"/>
      <c r="CS223" s="32"/>
      <c r="CT223" s="32"/>
      <c r="CU223" s="32"/>
      <c r="CV223" s="32"/>
      <c r="CW223" s="32"/>
      <c r="CX223" s="32"/>
      <c r="CY223" s="32"/>
      <c r="CZ223" s="32"/>
      <c r="DA223" s="32"/>
      <c r="DB223" s="32"/>
    </row>
    <row r="224" spans="1:106" ht="15" hidden="1" customHeight="1">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c r="AE224" s="32"/>
      <c r="AF224" s="32"/>
      <c r="AG224" s="32"/>
      <c r="AH224" s="32"/>
      <c r="AI224" s="32"/>
      <c r="AJ224" s="32"/>
      <c r="AK224" s="32"/>
      <c r="AL224" s="32"/>
      <c r="AM224" s="32"/>
      <c r="AN224" s="32"/>
      <c r="AO224" s="32"/>
      <c r="AP224" s="32"/>
      <c r="AQ224" s="32"/>
      <c r="AR224" s="32"/>
      <c r="AS224" s="32"/>
      <c r="AT224" s="32"/>
      <c r="AU224" s="32"/>
      <c r="AV224" s="32"/>
      <c r="AW224" s="32"/>
      <c r="AX224" s="32"/>
      <c r="AY224" s="32"/>
      <c r="AZ224" s="32"/>
      <c r="BA224" s="32"/>
      <c r="BB224" s="32"/>
      <c r="BC224" s="32"/>
      <c r="BD224" s="32"/>
      <c r="BE224" s="32"/>
      <c r="BF224" s="2"/>
      <c r="BG224" s="2"/>
      <c r="BH224" s="2"/>
      <c r="BI224" s="2"/>
      <c r="BJ224" s="2"/>
      <c r="BK224" s="32"/>
      <c r="BL224" s="2"/>
      <c r="BM224" s="32"/>
      <c r="BN224" s="32"/>
      <c r="BO224" s="32"/>
      <c r="BP224" s="2"/>
      <c r="BQ224" s="2"/>
      <c r="BR224" s="2"/>
      <c r="BS224" s="86"/>
      <c r="BT224" s="32"/>
      <c r="BU224" s="33"/>
      <c r="BV224" s="33"/>
      <c r="BW224" s="32"/>
      <c r="BX224" s="32"/>
      <c r="BY224" s="32"/>
      <c r="BZ224" s="32"/>
      <c r="CA224" s="47"/>
      <c r="CB224" s="31"/>
      <c r="CC224" s="31"/>
      <c r="CD224" s="31"/>
      <c r="CE224" s="31"/>
      <c r="CF224" s="48"/>
      <c r="CG224" s="31"/>
      <c r="CH224" s="31"/>
      <c r="CI224" s="32"/>
      <c r="CJ224" s="32"/>
      <c r="CK224" s="32"/>
      <c r="CL224" s="32"/>
      <c r="CM224" s="32"/>
      <c r="CN224" s="32"/>
      <c r="CO224" s="32"/>
      <c r="CP224" s="32"/>
      <c r="CQ224" s="32"/>
      <c r="CR224" s="32"/>
      <c r="CS224" s="32"/>
      <c r="CT224" s="32"/>
      <c r="CU224" s="32"/>
      <c r="CV224" s="32"/>
      <c r="CW224" s="32"/>
      <c r="CX224" s="32"/>
      <c r="CY224" s="32"/>
      <c r="CZ224" s="32"/>
      <c r="DA224" s="32"/>
      <c r="DB224" s="32"/>
    </row>
    <row r="225" spans="1:106" ht="15" hidden="1" customHeight="1">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B225" s="32"/>
      <c r="AC225" s="32"/>
      <c r="AD225" s="32"/>
      <c r="AE225" s="32"/>
      <c r="AF225" s="32"/>
      <c r="AG225" s="32"/>
      <c r="AH225" s="32"/>
      <c r="AI225" s="32"/>
      <c r="AJ225" s="32"/>
      <c r="AK225" s="32"/>
      <c r="AL225" s="32"/>
      <c r="AM225" s="32"/>
      <c r="AN225" s="32"/>
      <c r="AO225" s="32"/>
      <c r="AP225" s="32"/>
      <c r="AQ225" s="32"/>
      <c r="AR225" s="32"/>
      <c r="AS225" s="32"/>
      <c r="AT225" s="32"/>
      <c r="AU225" s="32"/>
      <c r="AV225" s="32"/>
      <c r="AW225" s="32"/>
      <c r="AX225" s="32"/>
      <c r="AY225" s="32"/>
      <c r="AZ225" s="32"/>
      <c r="BA225" s="32"/>
      <c r="BB225" s="32"/>
      <c r="BC225" s="32"/>
      <c r="BD225" s="32"/>
      <c r="BE225" s="32"/>
      <c r="BF225" s="2"/>
      <c r="BG225" s="2"/>
      <c r="BH225" s="2"/>
      <c r="BI225" s="2"/>
      <c r="BJ225" s="2"/>
      <c r="BK225" s="32"/>
      <c r="BL225" s="2"/>
      <c r="BM225" s="32"/>
      <c r="BN225" s="32"/>
      <c r="BO225" s="32"/>
      <c r="BP225" s="2"/>
      <c r="BQ225" s="2"/>
      <c r="BR225" s="2"/>
      <c r="BS225" s="86"/>
      <c r="BT225" s="32"/>
      <c r="BU225" s="33"/>
      <c r="BV225" s="33"/>
      <c r="BW225" s="32"/>
      <c r="BX225" s="32"/>
      <c r="BY225" s="32"/>
      <c r="BZ225" s="32"/>
      <c r="CA225" s="47"/>
      <c r="CB225" s="31"/>
      <c r="CC225" s="31"/>
      <c r="CD225" s="31"/>
      <c r="CE225" s="31"/>
      <c r="CF225" s="48"/>
      <c r="CG225" s="31"/>
      <c r="CH225" s="31"/>
      <c r="CI225" s="32"/>
      <c r="CJ225" s="32"/>
      <c r="CK225" s="32"/>
      <c r="CL225" s="32"/>
      <c r="CM225" s="32"/>
      <c r="CN225" s="32"/>
      <c r="CO225" s="32"/>
      <c r="CP225" s="32"/>
      <c r="CQ225" s="32"/>
      <c r="CR225" s="32"/>
      <c r="CS225" s="32"/>
      <c r="CT225" s="32"/>
      <c r="CU225" s="32"/>
      <c r="CV225" s="32"/>
      <c r="CW225" s="32"/>
      <c r="CX225" s="32"/>
      <c r="CY225" s="32"/>
      <c r="CZ225" s="32"/>
      <c r="DA225" s="32"/>
      <c r="DB225" s="32"/>
    </row>
    <row r="226" spans="1:106" ht="15" hidden="1" customHeight="1">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c r="AE226" s="32"/>
      <c r="AF226" s="32"/>
      <c r="AG226" s="32"/>
      <c r="AH226" s="32"/>
      <c r="AI226" s="32"/>
      <c r="AJ226" s="32"/>
      <c r="AK226" s="32"/>
      <c r="AL226" s="32"/>
      <c r="AM226" s="32"/>
      <c r="AN226" s="32"/>
      <c r="AO226" s="32"/>
      <c r="AP226" s="32"/>
      <c r="AQ226" s="32"/>
      <c r="AR226" s="32"/>
      <c r="AS226" s="32"/>
      <c r="AT226" s="32"/>
      <c r="AU226" s="32"/>
      <c r="AV226" s="32"/>
      <c r="AW226" s="32"/>
      <c r="AX226" s="32"/>
      <c r="AY226" s="32"/>
      <c r="AZ226" s="32"/>
      <c r="BA226" s="32"/>
      <c r="BB226" s="32"/>
      <c r="BC226" s="32"/>
      <c r="BD226" s="32"/>
      <c r="BE226" s="32"/>
      <c r="BF226" s="2"/>
      <c r="BG226" s="2"/>
      <c r="BH226" s="2"/>
      <c r="BI226" s="2"/>
      <c r="BJ226" s="2"/>
      <c r="BK226" s="32"/>
      <c r="BL226" s="2"/>
      <c r="BM226" s="32"/>
      <c r="BN226" s="32"/>
      <c r="BO226" s="32"/>
      <c r="BP226" s="2"/>
      <c r="BQ226" s="2"/>
      <c r="BR226" s="2"/>
      <c r="BS226" s="86"/>
      <c r="BT226" s="32"/>
      <c r="BU226" s="33"/>
      <c r="BV226" s="33"/>
      <c r="BW226" s="32"/>
      <c r="BX226" s="32"/>
      <c r="BY226" s="32"/>
      <c r="BZ226" s="32"/>
      <c r="CA226" s="47"/>
      <c r="CB226" s="31"/>
      <c r="CC226" s="31"/>
      <c r="CD226" s="31"/>
      <c r="CE226" s="31"/>
      <c r="CF226" s="48"/>
      <c r="CG226" s="31"/>
      <c r="CH226" s="31"/>
      <c r="CI226" s="32"/>
      <c r="CJ226" s="32"/>
      <c r="CK226" s="32"/>
      <c r="CL226" s="32"/>
      <c r="CM226" s="32"/>
      <c r="CN226" s="32"/>
      <c r="CO226" s="32"/>
      <c r="CP226" s="32"/>
      <c r="CQ226" s="32"/>
      <c r="CR226" s="32"/>
      <c r="CS226" s="32"/>
      <c r="CT226" s="32"/>
      <c r="CU226" s="32"/>
      <c r="CV226" s="32"/>
      <c r="CW226" s="32"/>
      <c r="CX226" s="32"/>
      <c r="CY226" s="32"/>
      <c r="CZ226" s="32"/>
      <c r="DA226" s="32"/>
      <c r="DB226" s="32"/>
    </row>
    <row r="227" spans="1:106" ht="15" hidden="1" customHeight="1">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c r="AE227" s="32"/>
      <c r="AF227" s="32"/>
      <c r="AG227" s="32"/>
      <c r="AH227" s="32"/>
      <c r="AI227" s="32"/>
      <c r="AJ227" s="32"/>
      <c r="AK227" s="32"/>
      <c r="AL227" s="32"/>
      <c r="AM227" s="32"/>
      <c r="AN227" s="32"/>
      <c r="AO227" s="32"/>
      <c r="AP227" s="32"/>
      <c r="AQ227" s="32"/>
      <c r="AR227" s="32"/>
      <c r="AS227" s="32"/>
      <c r="AT227" s="32"/>
      <c r="AU227" s="32"/>
      <c r="AV227" s="32"/>
      <c r="AW227" s="32"/>
      <c r="AX227" s="32"/>
      <c r="AY227" s="32"/>
      <c r="AZ227" s="32"/>
      <c r="BA227" s="32"/>
      <c r="BB227" s="32"/>
      <c r="BC227" s="32"/>
      <c r="BD227" s="32"/>
      <c r="BE227" s="32"/>
      <c r="BF227" s="2"/>
      <c r="BG227" s="2"/>
      <c r="BH227" s="2"/>
      <c r="BI227" s="2"/>
      <c r="BJ227" s="2"/>
      <c r="BK227" s="32"/>
      <c r="BL227" s="2"/>
      <c r="BM227" s="32"/>
      <c r="BN227" s="32"/>
      <c r="BO227" s="32"/>
      <c r="BP227" s="2"/>
      <c r="BQ227" s="2"/>
      <c r="BR227" s="2"/>
      <c r="BS227" s="86"/>
      <c r="BT227" s="32"/>
      <c r="BU227" s="33"/>
      <c r="BV227" s="33"/>
      <c r="BW227" s="32"/>
      <c r="BX227" s="32"/>
      <c r="BY227" s="32"/>
      <c r="BZ227" s="99"/>
      <c r="CA227" s="31"/>
      <c r="CB227" s="31"/>
      <c r="CC227" s="31"/>
      <c r="CD227" s="31"/>
      <c r="CE227" s="31"/>
      <c r="CF227" s="48"/>
      <c r="CG227" s="31"/>
      <c r="CH227" s="31"/>
      <c r="CI227" s="32"/>
      <c r="CJ227" s="32"/>
      <c r="CK227" s="32"/>
      <c r="CL227" s="32"/>
      <c r="CM227" s="32"/>
      <c r="CN227" s="32"/>
      <c r="CO227" s="32"/>
      <c r="CP227" s="32"/>
      <c r="CQ227" s="32"/>
      <c r="CR227" s="32"/>
      <c r="CS227" s="32"/>
      <c r="CT227" s="32"/>
      <c r="CU227" s="32"/>
      <c r="CV227" s="32"/>
      <c r="CW227" s="32"/>
      <c r="CX227" s="32"/>
      <c r="CY227" s="32"/>
      <c r="CZ227" s="32"/>
      <c r="DA227" s="32"/>
      <c r="DB227" s="32"/>
    </row>
    <row r="228" spans="1:106" ht="15" hidden="1" customHeight="1">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c r="AE228" s="32"/>
      <c r="AF228" s="32"/>
      <c r="AG228" s="32"/>
      <c r="AH228" s="32"/>
      <c r="AI228" s="32"/>
      <c r="AJ228" s="32"/>
      <c r="AK228" s="32"/>
      <c r="AL228" s="32"/>
      <c r="AM228" s="32"/>
      <c r="AN228" s="32"/>
      <c r="AO228" s="32"/>
      <c r="AP228" s="32"/>
      <c r="AQ228" s="32"/>
      <c r="AR228" s="32"/>
      <c r="AS228" s="32"/>
      <c r="AT228" s="32"/>
      <c r="AU228" s="32"/>
      <c r="AV228" s="32"/>
      <c r="AW228" s="32"/>
      <c r="AX228" s="32"/>
      <c r="AY228" s="32"/>
      <c r="AZ228" s="32"/>
      <c r="BA228" s="32"/>
      <c r="BB228" s="32"/>
      <c r="BC228" s="32"/>
      <c r="BD228" s="32"/>
      <c r="BE228" s="32"/>
      <c r="BF228" s="2"/>
      <c r="BG228" s="2"/>
      <c r="BH228" s="2"/>
      <c r="BI228" s="2"/>
      <c r="BJ228" s="2"/>
      <c r="BK228" s="32"/>
      <c r="BL228" s="2"/>
      <c r="BM228" s="32"/>
      <c r="BN228" s="32"/>
      <c r="BO228" s="32"/>
      <c r="BP228" s="2"/>
      <c r="BQ228" s="2"/>
      <c r="BR228" s="2"/>
      <c r="BS228" s="86"/>
      <c r="BT228" s="32"/>
      <c r="BU228" s="33"/>
      <c r="BV228" s="33"/>
      <c r="BW228" s="32"/>
      <c r="BX228" s="32"/>
      <c r="BY228" s="32"/>
      <c r="BZ228" s="32"/>
      <c r="CA228" s="47"/>
      <c r="CB228" s="31"/>
      <c r="CC228" s="31"/>
      <c r="CD228" s="31"/>
      <c r="CE228" s="31"/>
      <c r="CF228" s="48"/>
      <c r="CG228" s="31"/>
      <c r="CH228" s="31"/>
      <c r="CI228" s="32"/>
      <c r="CJ228" s="32"/>
      <c r="CK228" s="32"/>
      <c r="CL228" s="32"/>
      <c r="CM228" s="32"/>
      <c r="CN228" s="32"/>
      <c r="CO228" s="32"/>
      <c r="CP228" s="32"/>
      <c r="CQ228" s="32"/>
      <c r="CR228" s="32"/>
      <c r="CS228" s="32"/>
      <c r="CT228" s="32"/>
      <c r="CU228" s="32"/>
      <c r="CV228" s="32"/>
      <c r="CW228" s="32"/>
      <c r="CX228" s="32"/>
      <c r="CY228" s="32"/>
      <c r="CZ228" s="32"/>
      <c r="DA228" s="32"/>
      <c r="DB228" s="32"/>
    </row>
    <row r="229" spans="1:106" ht="15" hidden="1" customHeight="1">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c r="AE229" s="32"/>
      <c r="AF229" s="32"/>
      <c r="AG229" s="32"/>
      <c r="AH229" s="32"/>
      <c r="AI229" s="32"/>
      <c r="AJ229" s="32"/>
      <c r="AK229" s="32"/>
      <c r="AL229" s="32"/>
      <c r="AM229" s="32"/>
      <c r="AN229" s="32"/>
      <c r="AO229" s="32"/>
      <c r="AP229" s="32"/>
      <c r="AQ229" s="32"/>
      <c r="AR229" s="32"/>
      <c r="AS229" s="32"/>
      <c r="AT229" s="32"/>
      <c r="AU229" s="32"/>
      <c r="AV229" s="32"/>
      <c r="AW229" s="32"/>
      <c r="AX229" s="32"/>
      <c r="AY229" s="32"/>
      <c r="AZ229" s="32"/>
      <c r="BA229" s="32"/>
      <c r="BB229" s="32"/>
      <c r="BC229" s="32"/>
      <c r="BD229" s="32"/>
      <c r="BE229" s="32"/>
      <c r="BF229" s="2"/>
      <c r="BG229" s="2"/>
      <c r="BH229" s="2"/>
      <c r="BI229" s="2"/>
      <c r="BJ229" s="2"/>
      <c r="BK229" s="32"/>
      <c r="BL229" s="2"/>
      <c r="BM229" s="32"/>
      <c r="BN229" s="32"/>
      <c r="BO229" s="32"/>
      <c r="BP229" s="2"/>
      <c r="BQ229" s="2"/>
      <c r="BR229" s="2"/>
      <c r="BS229" s="86"/>
      <c r="BT229" s="32"/>
      <c r="BU229" s="33"/>
      <c r="BV229" s="33"/>
      <c r="BW229" s="32"/>
      <c r="BX229" s="32"/>
      <c r="BY229" s="32"/>
      <c r="BZ229" s="32"/>
      <c r="CA229" s="33"/>
      <c r="CB229" s="32"/>
      <c r="CC229" s="32"/>
      <c r="CD229" s="31"/>
      <c r="CE229" s="31"/>
      <c r="CF229" s="48"/>
      <c r="CG229" s="31"/>
      <c r="CH229" s="31"/>
      <c r="CI229" s="32"/>
      <c r="CJ229" s="32"/>
      <c r="CK229" s="32"/>
      <c r="CL229" s="32"/>
      <c r="CM229" s="32"/>
      <c r="CN229" s="32"/>
      <c r="CO229" s="32"/>
      <c r="CP229" s="32"/>
      <c r="CQ229" s="32"/>
      <c r="CR229" s="32"/>
      <c r="CS229" s="32"/>
      <c r="CT229" s="32"/>
      <c r="CU229" s="32"/>
      <c r="CV229" s="32"/>
      <c r="CW229" s="32"/>
      <c r="CX229" s="32"/>
      <c r="CY229" s="32"/>
      <c r="CZ229" s="32"/>
      <c r="DA229" s="32"/>
      <c r="DB229" s="32"/>
    </row>
    <row r="230" spans="1:106" ht="15" hidden="1" customHeight="1">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c r="AE230" s="32"/>
      <c r="AF230" s="32"/>
      <c r="AG230" s="32"/>
      <c r="AH230" s="32"/>
      <c r="AI230" s="32"/>
      <c r="AJ230" s="32"/>
      <c r="AK230" s="32"/>
      <c r="AL230" s="32"/>
      <c r="AM230" s="32"/>
      <c r="AN230" s="32"/>
      <c r="AO230" s="32"/>
      <c r="AP230" s="32"/>
      <c r="AQ230" s="32"/>
      <c r="AR230" s="32"/>
      <c r="AS230" s="32"/>
      <c r="AT230" s="32"/>
      <c r="AU230" s="32"/>
      <c r="AV230" s="32"/>
      <c r="AW230" s="32"/>
      <c r="AX230" s="32"/>
      <c r="AY230" s="32"/>
      <c r="AZ230" s="32"/>
      <c r="BA230" s="32"/>
      <c r="BB230" s="32"/>
      <c r="BC230" s="32"/>
      <c r="BD230" s="32"/>
      <c r="BE230" s="32"/>
      <c r="BF230" s="2"/>
      <c r="BG230" s="2"/>
      <c r="BH230" s="2"/>
      <c r="BI230" s="2"/>
      <c r="BJ230" s="2"/>
      <c r="BK230" s="32"/>
      <c r="BL230" s="2"/>
      <c r="BM230" s="32"/>
      <c r="BN230" s="32"/>
      <c r="BO230" s="32"/>
      <c r="BP230" s="2"/>
      <c r="BQ230" s="2"/>
      <c r="BR230" s="2"/>
      <c r="BS230" s="86"/>
      <c r="BT230" s="32"/>
      <c r="BU230" s="33"/>
      <c r="BV230" s="33"/>
      <c r="BW230" s="32"/>
      <c r="BX230" s="32"/>
      <c r="BY230" s="32"/>
      <c r="BZ230" s="32"/>
      <c r="CA230" s="33"/>
      <c r="CB230" s="32"/>
      <c r="CC230" s="32"/>
      <c r="CD230" s="31"/>
      <c r="CE230" s="31"/>
      <c r="CF230" s="48"/>
      <c r="CG230" s="31"/>
      <c r="CH230" s="31"/>
      <c r="CI230" s="32"/>
      <c r="CJ230" s="32"/>
      <c r="CK230" s="32"/>
      <c r="CL230" s="32"/>
      <c r="CM230" s="32"/>
      <c r="CN230" s="32"/>
      <c r="CO230" s="32"/>
      <c r="CP230" s="32"/>
      <c r="CQ230" s="32"/>
      <c r="CR230" s="32"/>
      <c r="CS230" s="32"/>
      <c r="CT230" s="32"/>
      <c r="CU230" s="32"/>
      <c r="CV230" s="32"/>
      <c r="CW230" s="32"/>
      <c r="CX230" s="32"/>
      <c r="CY230" s="32"/>
      <c r="CZ230" s="32"/>
      <c r="DA230" s="32"/>
      <c r="DB230" s="32"/>
    </row>
    <row r="231" spans="1:106" ht="15" hidden="1" customHeight="1">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c r="AE231" s="32"/>
      <c r="AF231" s="32"/>
      <c r="AG231" s="32"/>
      <c r="AH231" s="32"/>
      <c r="AI231" s="32"/>
      <c r="AJ231" s="32"/>
      <c r="AK231" s="32"/>
      <c r="AL231" s="32"/>
      <c r="AM231" s="32"/>
      <c r="AN231" s="32"/>
      <c r="AO231" s="32"/>
      <c r="AP231" s="32"/>
      <c r="AQ231" s="32"/>
      <c r="AR231" s="32"/>
      <c r="AS231" s="32"/>
      <c r="AT231" s="32"/>
      <c r="AU231" s="32"/>
      <c r="AV231" s="32"/>
      <c r="AW231" s="32"/>
      <c r="AX231" s="32"/>
      <c r="AY231" s="32"/>
      <c r="AZ231" s="32"/>
      <c r="BA231" s="32"/>
      <c r="BB231" s="32"/>
      <c r="BC231" s="32"/>
      <c r="BD231" s="32"/>
      <c r="BE231" s="32"/>
      <c r="BF231" s="2"/>
      <c r="BG231" s="2"/>
      <c r="BH231" s="2"/>
      <c r="BI231" s="2"/>
      <c r="BJ231" s="2"/>
      <c r="BK231" s="32"/>
      <c r="BL231" s="2"/>
      <c r="BM231" s="32"/>
      <c r="BN231" s="32"/>
      <c r="BO231" s="32"/>
      <c r="BP231" s="2"/>
      <c r="BQ231" s="2"/>
      <c r="BR231" s="2"/>
      <c r="BS231" s="86"/>
      <c r="BT231" s="32"/>
      <c r="BU231" s="33"/>
      <c r="BV231" s="33"/>
      <c r="BW231" s="32"/>
      <c r="BX231" s="32"/>
      <c r="BY231" s="32"/>
      <c r="BZ231" s="32"/>
      <c r="CA231" s="33"/>
      <c r="CB231" s="32"/>
      <c r="CC231" s="32"/>
      <c r="CD231" s="31"/>
      <c r="CE231" s="31"/>
      <c r="CF231" s="48"/>
      <c r="CG231" s="31"/>
      <c r="CH231" s="31"/>
      <c r="CI231" s="32"/>
      <c r="CJ231" s="32"/>
      <c r="CK231" s="32"/>
      <c r="CL231" s="32"/>
      <c r="CM231" s="32"/>
      <c r="CN231" s="32"/>
      <c r="CO231" s="32"/>
      <c r="CP231" s="32"/>
      <c r="CQ231" s="32"/>
      <c r="CR231" s="32"/>
      <c r="CS231" s="32"/>
      <c r="CT231" s="32"/>
      <c r="CU231" s="32"/>
      <c r="CV231" s="32"/>
      <c r="CW231" s="32"/>
      <c r="CX231" s="32"/>
      <c r="CY231" s="32"/>
      <c r="CZ231" s="32"/>
      <c r="DA231" s="32"/>
      <c r="DB231" s="32"/>
    </row>
    <row r="232" spans="1:106" ht="15" hidden="1" customHeight="1">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c r="AE232" s="32"/>
      <c r="AF232" s="32"/>
      <c r="AG232" s="32"/>
      <c r="AH232" s="32"/>
      <c r="AI232" s="32"/>
      <c r="AJ232" s="32"/>
      <c r="AK232" s="32"/>
      <c r="AL232" s="32"/>
      <c r="AM232" s="32"/>
      <c r="AN232" s="32"/>
      <c r="AO232" s="32"/>
      <c r="AP232" s="32"/>
      <c r="AQ232" s="32"/>
      <c r="AR232" s="32"/>
      <c r="AS232" s="32"/>
      <c r="AT232" s="32"/>
      <c r="AU232" s="32"/>
      <c r="AV232" s="32"/>
      <c r="AW232" s="32"/>
      <c r="AX232" s="32"/>
      <c r="AY232" s="32"/>
      <c r="AZ232" s="32"/>
      <c r="BA232" s="32"/>
      <c r="BB232" s="32"/>
      <c r="BC232" s="32"/>
      <c r="BD232" s="32"/>
      <c r="BE232" s="32"/>
      <c r="BF232" s="2"/>
      <c r="BG232" s="2"/>
      <c r="BH232" s="2"/>
      <c r="BI232" s="2"/>
      <c r="BJ232" s="2"/>
      <c r="BK232" s="32"/>
      <c r="BL232" s="2"/>
      <c r="BM232" s="32"/>
      <c r="BN232" s="32"/>
      <c r="BO232" s="32"/>
      <c r="BP232" s="2"/>
      <c r="BQ232" s="2"/>
      <c r="BR232" s="2"/>
      <c r="BS232" s="86"/>
      <c r="BT232" s="32"/>
      <c r="BU232" s="33"/>
      <c r="BV232" s="33"/>
      <c r="BW232" s="32"/>
      <c r="BX232" s="32"/>
      <c r="BY232" s="32"/>
      <c r="BZ232" s="32"/>
      <c r="CA232" s="33"/>
      <c r="CB232" s="32"/>
      <c r="CC232" s="32"/>
      <c r="CD232" s="31"/>
      <c r="CE232" s="31"/>
      <c r="CF232" s="48"/>
      <c r="CG232" s="31"/>
      <c r="CH232" s="31"/>
      <c r="CI232" s="32"/>
      <c r="CJ232" s="32"/>
      <c r="CK232" s="32"/>
      <c r="CL232" s="32"/>
      <c r="CM232" s="32"/>
      <c r="CN232" s="32"/>
      <c r="CO232" s="32"/>
      <c r="CP232" s="32"/>
      <c r="CQ232" s="32"/>
      <c r="CR232" s="32"/>
      <c r="CS232" s="32"/>
      <c r="CT232" s="32"/>
      <c r="CU232" s="32"/>
      <c r="CV232" s="32"/>
      <c r="CW232" s="32"/>
      <c r="CX232" s="32"/>
      <c r="CY232" s="32"/>
      <c r="CZ232" s="32"/>
      <c r="DA232" s="32"/>
      <c r="DB232" s="32"/>
    </row>
    <row r="233" spans="1:106" ht="15" hidden="1" customHeight="1">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c r="AE233" s="32"/>
      <c r="AF233" s="32"/>
      <c r="AG233" s="32"/>
      <c r="AH233" s="32"/>
      <c r="AI233" s="32"/>
      <c r="AJ233" s="32"/>
      <c r="AK233" s="32"/>
      <c r="AL233" s="32"/>
      <c r="AM233" s="32"/>
      <c r="AN233" s="32"/>
      <c r="AO233" s="32"/>
      <c r="AP233" s="32"/>
      <c r="AQ233" s="32"/>
      <c r="AR233" s="32"/>
      <c r="AS233" s="32"/>
      <c r="AT233" s="32"/>
      <c r="AU233" s="32"/>
      <c r="AV233" s="32"/>
      <c r="AW233" s="32"/>
      <c r="AX233" s="32"/>
      <c r="AY233" s="32"/>
      <c r="AZ233" s="32"/>
      <c r="BA233" s="32"/>
      <c r="BB233" s="32"/>
      <c r="BC233" s="32"/>
      <c r="BD233" s="32"/>
      <c r="BE233" s="32"/>
      <c r="BF233" s="2"/>
      <c r="BG233" s="2"/>
      <c r="BH233" s="2"/>
      <c r="BI233" s="2"/>
      <c r="BJ233" s="2"/>
      <c r="BK233" s="32"/>
      <c r="BL233" s="2"/>
      <c r="BM233" s="32"/>
      <c r="BN233" s="32"/>
      <c r="BO233" s="32"/>
      <c r="BP233" s="2"/>
      <c r="BQ233" s="2"/>
      <c r="BR233" s="2"/>
      <c r="BS233" s="86"/>
      <c r="BT233" s="32"/>
      <c r="BU233" s="33"/>
      <c r="BV233" s="33"/>
      <c r="BW233" s="32"/>
      <c r="BX233" s="32"/>
      <c r="BY233" s="32"/>
      <c r="BZ233" s="32"/>
      <c r="CA233" s="33"/>
      <c r="CB233" s="32"/>
      <c r="CC233" s="32"/>
      <c r="CD233" s="31"/>
      <c r="CE233" s="31"/>
      <c r="CF233" s="48"/>
      <c r="CG233" s="31"/>
      <c r="CH233" s="31"/>
      <c r="CI233" s="32"/>
      <c r="CJ233" s="32"/>
      <c r="CK233" s="32"/>
      <c r="CL233" s="32"/>
      <c r="CM233" s="32"/>
      <c r="CN233" s="32"/>
      <c r="CO233" s="32"/>
      <c r="CP233" s="32"/>
      <c r="CQ233" s="32"/>
      <c r="CR233" s="32"/>
      <c r="CS233" s="32"/>
      <c r="CT233" s="32"/>
      <c r="CU233" s="32"/>
      <c r="CV233" s="32"/>
      <c r="CW233" s="32"/>
      <c r="CX233" s="32"/>
      <c r="CY233" s="32"/>
      <c r="CZ233" s="32"/>
      <c r="DA233" s="32"/>
      <c r="DB233" s="32"/>
    </row>
    <row r="234" spans="1:106" ht="15" hidden="1" customHeight="1">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c r="AE234" s="32"/>
      <c r="AF234" s="32"/>
      <c r="AG234" s="32"/>
      <c r="AH234" s="32"/>
      <c r="AI234" s="32"/>
      <c r="AJ234" s="32"/>
      <c r="AK234" s="32"/>
      <c r="AL234" s="32"/>
      <c r="AM234" s="32"/>
      <c r="AN234" s="32"/>
      <c r="AO234" s="32"/>
      <c r="AP234" s="32"/>
      <c r="AQ234" s="32"/>
      <c r="AR234" s="32"/>
      <c r="AS234" s="32"/>
      <c r="AT234" s="32"/>
      <c r="AU234" s="32"/>
      <c r="AV234" s="32"/>
      <c r="AW234" s="32"/>
      <c r="AX234" s="32"/>
      <c r="AY234" s="32"/>
      <c r="AZ234" s="32"/>
      <c r="BA234" s="32"/>
      <c r="BB234" s="32"/>
      <c r="BC234" s="32"/>
      <c r="BD234" s="32"/>
      <c r="BE234" s="32"/>
      <c r="BF234" s="2"/>
      <c r="BG234" s="2"/>
      <c r="BH234" s="2"/>
      <c r="BI234" s="2"/>
      <c r="BJ234" s="2"/>
      <c r="BK234" s="32"/>
      <c r="BL234" s="2"/>
      <c r="BM234" s="32"/>
      <c r="BN234" s="32"/>
      <c r="BO234" s="32"/>
      <c r="BP234" s="2"/>
      <c r="BQ234" s="2"/>
      <c r="BR234" s="2"/>
      <c r="BS234" s="86"/>
      <c r="BT234" s="32"/>
      <c r="BU234" s="33"/>
      <c r="BV234" s="33"/>
      <c r="BW234" s="32"/>
      <c r="BX234" s="32"/>
      <c r="BY234" s="32"/>
      <c r="BZ234" s="32"/>
      <c r="CA234" s="47"/>
      <c r="CB234" s="31"/>
      <c r="CC234" s="31"/>
      <c r="CD234" s="31"/>
      <c r="CE234" s="31"/>
      <c r="CF234" s="48"/>
      <c r="CG234" s="31"/>
      <c r="CH234" s="31"/>
      <c r="CI234" s="32"/>
      <c r="CJ234" s="32"/>
      <c r="CK234" s="32"/>
      <c r="CL234" s="32"/>
      <c r="CM234" s="32"/>
      <c r="CN234" s="32"/>
      <c r="CO234" s="32"/>
      <c r="CP234" s="32"/>
      <c r="CQ234" s="32"/>
      <c r="CR234" s="32"/>
      <c r="CS234" s="32"/>
      <c r="CT234" s="32"/>
      <c r="CU234" s="32"/>
      <c r="CV234" s="32"/>
      <c r="CW234" s="32"/>
      <c r="CX234" s="32"/>
      <c r="CY234" s="32"/>
      <c r="CZ234" s="32"/>
      <c r="DA234" s="32"/>
      <c r="DB234" s="32"/>
    </row>
    <row r="235" spans="1:106" ht="15" hidden="1" customHeight="1">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B235" s="32"/>
      <c r="AC235" s="32"/>
      <c r="AD235" s="32"/>
      <c r="AE235" s="32"/>
      <c r="AF235" s="32"/>
      <c r="AG235" s="32"/>
      <c r="AH235" s="32"/>
      <c r="AI235" s="32"/>
      <c r="AJ235" s="32"/>
      <c r="AK235" s="32"/>
      <c r="AL235" s="32"/>
      <c r="AM235" s="32"/>
      <c r="AN235" s="32"/>
      <c r="AO235" s="32"/>
      <c r="AP235" s="32"/>
      <c r="AQ235" s="32"/>
      <c r="AR235" s="32"/>
      <c r="AS235" s="32"/>
      <c r="AT235" s="32"/>
      <c r="AU235" s="32"/>
      <c r="AV235" s="32"/>
      <c r="AW235" s="32"/>
      <c r="AX235" s="32"/>
      <c r="AY235" s="32"/>
      <c r="AZ235" s="32"/>
      <c r="BA235" s="32"/>
      <c r="BB235" s="32"/>
      <c r="BC235" s="32"/>
      <c r="BD235" s="32"/>
      <c r="BE235" s="32"/>
      <c r="BF235" s="2"/>
      <c r="BG235" s="2"/>
      <c r="BH235" s="2"/>
      <c r="BI235" s="2"/>
      <c r="BJ235" s="2"/>
      <c r="BK235" s="32"/>
      <c r="BL235" s="2"/>
      <c r="BM235" s="32"/>
      <c r="BN235" s="32"/>
      <c r="BO235" s="32"/>
      <c r="BP235" s="2"/>
      <c r="BQ235" s="2"/>
      <c r="BR235" s="2"/>
      <c r="BS235" s="86"/>
      <c r="BT235" s="32"/>
      <c r="BU235" s="33"/>
      <c r="BV235" s="33"/>
      <c r="BW235" s="32"/>
      <c r="BX235" s="32"/>
      <c r="BY235" s="32"/>
      <c r="BZ235" s="32"/>
      <c r="CA235" s="47"/>
      <c r="CB235" s="31"/>
      <c r="CC235" s="31"/>
      <c r="CD235" s="31"/>
      <c r="CE235" s="31"/>
      <c r="CF235" s="48"/>
      <c r="CG235" s="31"/>
      <c r="CH235" s="31"/>
      <c r="CI235" s="32"/>
      <c r="CJ235" s="32"/>
      <c r="CK235" s="32"/>
      <c r="CL235" s="32"/>
      <c r="CM235" s="32"/>
      <c r="CN235" s="32"/>
      <c r="CO235" s="32"/>
      <c r="CP235" s="32"/>
      <c r="CQ235" s="32"/>
      <c r="CR235" s="32"/>
      <c r="CS235" s="32"/>
      <c r="CT235" s="32"/>
      <c r="CU235" s="32"/>
      <c r="CV235" s="32"/>
      <c r="CW235" s="32"/>
      <c r="CX235" s="32"/>
      <c r="CY235" s="32"/>
      <c r="CZ235" s="32"/>
      <c r="DA235" s="32"/>
      <c r="DB235" s="32"/>
    </row>
    <row r="236" spans="1:106" ht="15" hidden="1" customHeight="1">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c r="AE236" s="32"/>
      <c r="AF236" s="32"/>
      <c r="AG236" s="32"/>
      <c r="AH236" s="32"/>
      <c r="AI236" s="32"/>
      <c r="AJ236" s="32"/>
      <c r="AK236" s="32"/>
      <c r="AL236" s="32"/>
      <c r="AM236" s="32"/>
      <c r="AN236" s="32"/>
      <c r="AO236" s="32"/>
      <c r="AP236" s="32"/>
      <c r="AQ236" s="32"/>
      <c r="AR236" s="32"/>
      <c r="AS236" s="32"/>
      <c r="AT236" s="32"/>
      <c r="AU236" s="32"/>
      <c r="AV236" s="32"/>
      <c r="AW236" s="32"/>
      <c r="AX236" s="32"/>
      <c r="AY236" s="32"/>
      <c r="AZ236" s="32"/>
      <c r="BA236" s="32"/>
      <c r="BB236" s="32"/>
      <c r="BC236" s="32"/>
      <c r="BD236" s="32"/>
      <c r="BE236" s="32"/>
      <c r="BF236" s="2"/>
      <c r="BG236" s="2"/>
      <c r="BH236" s="2"/>
      <c r="BI236" s="2"/>
      <c r="BJ236" s="2"/>
      <c r="BK236" s="32"/>
      <c r="BL236" s="2"/>
      <c r="BM236" s="32"/>
      <c r="BN236" s="32"/>
      <c r="BO236" s="32"/>
      <c r="BP236" s="2"/>
      <c r="BQ236" s="2"/>
      <c r="BR236" s="2"/>
      <c r="BS236" s="86"/>
      <c r="BT236" s="32"/>
      <c r="BU236" s="33"/>
      <c r="BV236" s="33"/>
      <c r="BW236" s="32"/>
      <c r="BX236" s="32"/>
      <c r="BY236" s="32"/>
      <c r="BZ236" s="32"/>
      <c r="CA236" s="47"/>
      <c r="CB236" s="31"/>
      <c r="CC236" s="31"/>
      <c r="CD236" s="31"/>
      <c r="CE236" s="31"/>
      <c r="CF236" s="48"/>
      <c r="CG236" s="31"/>
      <c r="CH236" s="31"/>
      <c r="CI236" s="32"/>
      <c r="CJ236" s="32"/>
      <c r="CK236" s="32"/>
      <c r="CL236" s="32"/>
      <c r="CM236" s="32"/>
      <c r="CN236" s="32"/>
      <c r="CO236" s="32"/>
      <c r="CP236" s="32"/>
      <c r="CQ236" s="32"/>
      <c r="CR236" s="32"/>
      <c r="CS236" s="32"/>
      <c r="CT236" s="32"/>
      <c r="CU236" s="32"/>
      <c r="CV236" s="32"/>
      <c r="CW236" s="32"/>
      <c r="CX236" s="32"/>
      <c r="CY236" s="32"/>
      <c r="CZ236" s="32"/>
      <c r="DA236" s="32"/>
      <c r="DB236" s="32"/>
    </row>
    <row r="237" spans="1:106" ht="15" hidden="1" customHeight="1">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c r="AE237" s="32"/>
      <c r="AF237" s="32"/>
      <c r="AG237" s="32"/>
      <c r="AH237" s="32"/>
      <c r="AI237" s="32"/>
      <c r="AJ237" s="32"/>
      <c r="AK237" s="32"/>
      <c r="AL237" s="32"/>
      <c r="AM237" s="32"/>
      <c r="AN237" s="32"/>
      <c r="AO237" s="32"/>
      <c r="AP237" s="32"/>
      <c r="AQ237" s="32"/>
      <c r="AR237" s="32"/>
      <c r="AS237" s="32"/>
      <c r="AT237" s="32"/>
      <c r="AU237" s="32"/>
      <c r="AV237" s="32"/>
      <c r="AW237" s="32"/>
      <c r="AX237" s="32"/>
      <c r="AY237" s="32"/>
      <c r="AZ237" s="32"/>
      <c r="BA237" s="32"/>
      <c r="BB237" s="32"/>
      <c r="BC237" s="32"/>
      <c r="BD237" s="32"/>
      <c r="BE237" s="32"/>
      <c r="BF237" s="2"/>
      <c r="BG237" s="2"/>
      <c r="BH237" s="2"/>
      <c r="BI237" s="2"/>
      <c r="BJ237" s="2"/>
      <c r="BK237" s="32"/>
      <c r="BL237" s="2"/>
      <c r="BM237" s="32"/>
      <c r="BN237" s="32"/>
      <c r="BO237" s="32"/>
      <c r="BP237" s="2"/>
      <c r="BQ237" s="2"/>
      <c r="BR237" s="2"/>
      <c r="BS237" s="86"/>
      <c r="BT237" s="32"/>
      <c r="BU237" s="33"/>
      <c r="BV237" s="33"/>
      <c r="BW237" s="32"/>
      <c r="BX237" s="32"/>
      <c r="BY237" s="32"/>
      <c r="BZ237" s="32"/>
      <c r="CA237" s="47"/>
      <c r="CB237" s="31"/>
      <c r="CC237" s="31"/>
      <c r="CD237" s="31"/>
      <c r="CE237" s="31"/>
      <c r="CF237" s="48"/>
      <c r="CG237" s="31"/>
      <c r="CH237" s="31"/>
      <c r="CI237" s="32"/>
      <c r="CJ237" s="32"/>
      <c r="CK237" s="32"/>
      <c r="CL237" s="32"/>
      <c r="CM237" s="32"/>
      <c r="CN237" s="32"/>
      <c r="CO237" s="32"/>
      <c r="CP237" s="32"/>
      <c r="CQ237" s="32"/>
      <c r="CR237" s="32"/>
      <c r="CS237" s="32"/>
      <c r="CT237" s="32"/>
      <c r="CU237" s="32"/>
      <c r="CV237" s="32"/>
      <c r="CW237" s="32"/>
      <c r="CX237" s="32"/>
      <c r="CY237" s="32"/>
      <c r="CZ237" s="32"/>
      <c r="DA237" s="32"/>
      <c r="DB237" s="32"/>
    </row>
    <row r="238" spans="1:106" ht="15" hidden="1" customHeight="1">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B238" s="32"/>
      <c r="AC238" s="32"/>
      <c r="AD238" s="32"/>
      <c r="AE238" s="32"/>
      <c r="AF238" s="32"/>
      <c r="AG238" s="32"/>
      <c r="AH238" s="32"/>
      <c r="AI238" s="32"/>
      <c r="AJ238" s="32"/>
      <c r="AK238" s="32"/>
      <c r="AL238" s="32"/>
      <c r="AM238" s="32"/>
      <c r="AN238" s="32"/>
      <c r="AO238" s="32"/>
      <c r="AP238" s="32"/>
      <c r="AQ238" s="32"/>
      <c r="AR238" s="32"/>
      <c r="AS238" s="32"/>
      <c r="AT238" s="32"/>
      <c r="AU238" s="32"/>
      <c r="AV238" s="32"/>
      <c r="AW238" s="32"/>
      <c r="AX238" s="32"/>
      <c r="AY238" s="32"/>
      <c r="AZ238" s="32"/>
      <c r="BA238" s="32"/>
      <c r="BB238" s="32"/>
      <c r="BC238" s="32"/>
      <c r="BD238" s="32"/>
      <c r="BE238" s="32"/>
      <c r="BF238" s="2"/>
      <c r="BG238" s="2"/>
      <c r="BH238" s="2"/>
      <c r="BI238" s="2"/>
      <c r="BJ238" s="2"/>
      <c r="BK238" s="32"/>
      <c r="BL238" s="2"/>
      <c r="BM238" s="32"/>
      <c r="BN238" s="32"/>
      <c r="BO238" s="32"/>
      <c r="BP238" s="2"/>
      <c r="BQ238" s="2"/>
      <c r="BR238" s="2"/>
      <c r="BS238" s="86"/>
      <c r="BT238" s="32"/>
      <c r="BU238" s="33"/>
      <c r="BV238" s="33"/>
      <c r="BW238" s="32"/>
      <c r="BX238" s="32"/>
      <c r="BY238" s="32"/>
      <c r="BZ238" s="32"/>
      <c r="CA238" s="47"/>
      <c r="CB238" s="31"/>
      <c r="CC238" s="31"/>
      <c r="CD238" s="31"/>
      <c r="CE238" s="31"/>
      <c r="CF238" s="48"/>
      <c r="CG238" s="31"/>
      <c r="CH238" s="31"/>
      <c r="CI238" s="32"/>
      <c r="CJ238" s="32"/>
      <c r="CK238" s="32"/>
      <c r="CL238" s="32"/>
      <c r="CM238" s="32"/>
      <c r="CN238" s="32"/>
      <c r="CO238" s="32"/>
      <c r="CP238" s="32"/>
      <c r="CQ238" s="32"/>
      <c r="CR238" s="32"/>
      <c r="CS238" s="32"/>
      <c r="CT238" s="32"/>
      <c r="CU238" s="32"/>
      <c r="CV238" s="32"/>
      <c r="CW238" s="32"/>
      <c r="CX238" s="32"/>
      <c r="CY238" s="32"/>
      <c r="CZ238" s="32"/>
      <c r="DA238" s="32"/>
      <c r="DB238" s="32"/>
    </row>
    <row r="239" spans="1:106" ht="15" hidden="1" customHeight="1">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c r="AE239" s="32"/>
      <c r="AF239" s="32"/>
      <c r="AG239" s="32"/>
      <c r="AH239" s="32"/>
      <c r="AI239" s="32"/>
      <c r="AJ239" s="32"/>
      <c r="AK239" s="32"/>
      <c r="AL239" s="32"/>
      <c r="AM239" s="32"/>
      <c r="AN239" s="32"/>
      <c r="AO239" s="32"/>
      <c r="AP239" s="32"/>
      <c r="AQ239" s="32"/>
      <c r="AR239" s="32"/>
      <c r="AS239" s="32"/>
      <c r="AT239" s="32"/>
      <c r="AU239" s="32"/>
      <c r="AV239" s="32"/>
      <c r="AW239" s="32"/>
      <c r="AX239" s="32"/>
      <c r="AY239" s="32"/>
      <c r="AZ239" s="32"/>
      <c r="BA239" s="32"/>
      <c r="BB239" s="32"/>
      <c r="BC239" s="32"/>
      <c r="BD239" s="32"/>
      <c r="BE239" s="32"/>
      <c r="BF239" s="2"/>
      <c r="BG239" s="2"/>
      <c r="BH239" s="2"/>
      <c r="BI239" s="2"/>
      <c r="BJ239" s="2"/>
      <c r="BK239" s="32"/>
      <c r="BL239" s="2"/>
      <c r="BM239" s="32"/>
      <c r="BN239" s="32"/>
      <c r="BO239" s="32"/>
      <c r="BP239" s="2"/>
      <c r="BQ239" s="2"/>
      <c r="BR239" s="2"/>
      <c r="BS239" s="86"/>
      <c r="BT239" s="32"/>
      <c r="BU239" s="33"/>
      <c r="BV239" s="33"/>
      <c r="BW239" s="32"/>
      <c r="BX239" s="32"/>
      <c r="BY239" s="32"/>
      <c r="BZ239" s="32"/>
      <c r="CA239" s="47"/>
      <c r="CB239" s="31"/>
      <c r="CC239" s="31"/>
      <c r="CD239" s="31"/>
      <c r="CE239" s="31"/>
      <c r="CF239" s="48"/>
      <c r="CG239" s="31"/>
      <c r="CH239" s="31"/>
      <c r="CI239" s="32"/>
      <c r="CJ239" s="32"/>
      <c r="CK239" s="32"/>
      <c r="CL239" s="32"/>
      <c r="CM239" s="32"/>
      <c r="CN239" s="32"/>
      <c r="CO239" s="32"/>
      <c r="CP239" s="32"/>
      <c r="CQ239" s="32"/>
      <c r="CR239" s="32"/>
      <c r="CS239" s="32"/>
      <c r="CT239" s="32"/>
      <c r="CU239" s="32"/>
      <c r="CV239" s="32"/>
      <c r="CW239" s="32"/>
      <c r="CX239" s="32"/>
      <c r="CY239" s="32"/>
      <c r="CZ239" s="32"/>
      <c r="DA239" s="32"/>
      <c r="DB239" s="32"/>
    </row>
    <row r="240" spans="1:106" ht="15" hidden="1" customHeight="1">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c r="AA240" s="32"/>
      <c r="AB240" s="32"/>
      <c r="AC240" s="32"/>
      <c r="AD240" s="32"/>
      <c r="AE240" s="32"/>
      <c r="AF240" s="32"/>
      <c r="AG240" s="32"/>
      <c r="AH240" s="32"/>
      <c r="AI240" s="32"/>
      <c r="AJ240" s="32"/>
      <c r="AK240" s="32"/>
      <c r="AL240" s="32"/>
      <c r="AM240" s="32"/>
      <c r="AN240" s="32"/>
      <c r="AO240" s="32"/>
      <c r="AP240" s="32"/>
      <c r="AQ240" s="32"/>
      <c r="AR240" s="32"/>
      <c r="AS240" s="32"/>
      <c r="AT240" s="32"/>
      <c r="AU240" s="32"/>
      <c r="AV240" s="32"/>
      <c r="AW240" s="32"/>
      <c r="AX240" s="32"/>
      <c r="AY240" s="32"/>
      <c r="AZ240" s="32"/>
      <c r="BA240" s="32"/>
      <c r="BB240" s="32"/>
      <c r="BC240" s="32"/>
      <c r="BD240" s="32"/>
      <c r="BE240" s="32"/>
      <c r="BF240" s="2"/>
      <c r="BG240" s="2"/>
      <c r="BH240" s="2"/>
      <c r="BI240" s="2"/>
      <c r="BJ240" s="2"/>
      <c r="BK240" s="32"/>
      <c r="BL240" s="2"/>
      <c r="BM240" s="32"/>
      <c r="BN240" s="32"/>
      <c r="BO240" s="32"/>
      <c r="BP240" s="2"/>
      <c r="BQ240" s="2"/>
      <c r="BR240" s="2"/>
      <c r="BS240" s="86"/>
      <c r="BT240" s="32"/>
      <c r="BU240" s="33"/>
      <c r="BV240" s="33"/>
      <c r="BW240" s="32"/>
      <c r="BX240" s="32"/>
      <c r="BY240" s="32"/>
      <c r="BZ240" s="32"/>
      <c r="CA240" s="47"/>
      <c r="CB240" s="31"/>
      <c r="CC240" s="31"/>
      <c r="CD240" s="31"/>
      <c r="CE240" s="31"/>
      <c r="CF240" s="48"/>
      <c r="CG240" s="31"/>
      <c r="CH240" s="31"/>
      <c r="CI240" s="32"/>
      <c r="CJ240" s="32"/>
      <c r="CK240" s="32"/>
      <c r="CL240" s="32"/>
      <c r="CM240" s="32"/>
      <c r="CN240" s="32"/>
      <c r="CO240" s="32"/>
      <c r="CP240" s="32"/>
      <c r="CQ240" s="32"/>
      <c r="CR240" s="32"/>
      <c r="CS240" s="32"/>
      <c r="CT240" s="32"/>
      <c r="CU240" s="32"/>
      <c r="CV240" s="32"/>
      <c r="CW240" s="32"/>
      <c r="CX240" s="32"/>
      <c r="CY240" s="32"/>
      <c r="CZ240" s="32"/>
      <c r="DA240" s="32"/>
      <c r="DB240" s="32"/>
    </row>
    <row r="241" spans="1:106" ht="15" hidden="1" customHeight="1">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c r="AE241" s="32"/>
      <c r="AF241" s="32"/>
      <c r="AG241" s="32"/>
      <c r="AH241" s="32"/>
      <c r="AI241" s="32"/>
      <c r="AJ241" s="32"/>
      <c r="AK241" s="32"/>
      <c r="AL241" s="32"/>
      <c r="AM241" s="32"/>
      <c r="AN241" s="32"/>
      <c r="AO241" s="32"/>
      <c r="AP241" s="32"/>
      <c r="AQ241" s="32"/>
      <c r="AR241" s="32"/>
      <c r="AS241" s="32"/>
      <c r="AT241" s="32"/>
      <c r="AU241" s="32"/>
      <c r="AV241" s="32"/>
      <c r="AW241" s="32"/>
      <c r="AX241" s="32"/>
      <c r="AY241" s="32"/>
      <c r="AZ241" s="32"/>
      <c r="BA241" s="32"/>
      <c r="BB241" s="32"/>
      <c r="BC241" s="32"/>
      <c r="BD241" s="32"/>
      <c r="BE241" s="32"/>
      <c r="BF241" s="2"/>
      <c r="BG241" s="2"/>
      <c r="BH241" s="2"/>
      <c r="BI241" s="2"/>
      <c r="BJ241" s="2"/>
      <c r="BK241" s="32"/>
      <c r="BL241" s="2"/>
      <c r="BM241" s="32"/>
      <c r="BN241" s="32"/>
      <c r="BO241" s="32"/>
      <c r="BP241" s="2"/>
      <c r="BQ241" s="2"/>
      <c r="BR241" s="2"/>
      <c r="BS241" s="86"/>
      <c r="BT241" s="32"/>
      <c r="BU241" s="33"/>
      <c r="BV241" s="33"/>
      <c r="BW241" s="32"/>
      <c r="BX241" s="32"/>
      <c r="BY241" s="32"/>
      <c r="BZ241" s="32"/>
      <c r="CA241" s="47"/>
      <c r="CB241" s="31"/>
      <c r="CC241" s="31"/>
      <c r="CD241" s="31"/>
      <c r="CE241" s="31"/>
      <c r="CF241" s="48"/>
      <c r="CG241" s="31"/>
      <c r="CH241" s="31"/>
      <c r="CI241" s="32"/>
      <c r="CJ241" s="32"/>
      <c r="CK241" s="32"/>
      <c r="CL241" s="32"/>
      <c r="CM241" s="32"/>
      <c r="CN241" s="32"/>
      <c r="CO241" s="32"/>
      <c r="CP241" s="32"/>
      <c r="CQ241" s="32"/>
      <c r="CR241" s="32"/>
      <c r="CS241" s="32"/>
      <c r="CT241" s="32"/>
      <c r="CU241" s="32"/>
      <c r="CV241" s="32"/>
      <c r="CW241" s="32"/>
      <c r="CX241" s="32"/>
      <c r="CY241" s="32"/>
      <c r="CZ241" s="32"/>
      <c r="DA241" s="32"/>
      <c r="DB241" s="32"/>
    </row>
    <row r="242" spans="1:106" ht="15" hidden="1" customHeight="1">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c r="AE242" s="32"/>
      <c r="AF242" s="32"/>
      <c r="AG242" s="32"/>
      <c r="AH242" s="32"/>
      <c r="AI242" s="32"/>
      <c r="AJ242" s="32"/>
      <c r="AK242" s="32"/>
      <c r="AL242" s="32"/>
      <c r="AM242" s="32"/>
      <c r="AN242" s="32"/>
      <c r="AO242" s="32"/>
      <c r="AP242" s="32"/>
      <c r="AQ242" s="32"/>
      <c r="AR242" s="32"/>
      <c r="AS242" s="32"/>
      <c r="AT242" s="32"/>
      <c r="AU242" s="32"/>
      <c r="AV242" s="32"/>
      <c r="AW242" s="32"/>
      <c r="AX242" s="32"/>
      <c r="AY242" s="32"/>
      <c r="AZ242" s="32"/>
      <c r="BA242" s="32"/>
      <c r="BB242" s="32"/>
      <c r="BC242" s="32"/>
      <c r="BD242" s="32"/>
      <c r="BE242" s="32"/>
      <c r="BF242" s="2"/>
      <c r="BG242" s="2"/>
      <c r="BH242" s="2"/>
      <c r="BI242" s="2"/>
      <c r="BJ242" s="2"/>
      <c r="BK242" s="32"/>
      <c r="BL242" s="2"/>
      <c r="BM242" s="32"/>
      <c r="BN242" s="32"/>
      <c r="BO242" s="32"/>
      <c r="BP242" s="2"/>
      <c r="BQ242" s="2"/>
      <c r="BR242" s="2"/>
      <c r="BS242" s="86"/>
      <c r="BT242" s="32"/>
      <c r="BU242" s="33"/>
      <c r="BV242" s="33"/>
      <c r="BW242" s="32"/>
      <c r="BX242" s="32"/>
      <c r="BY242" s="32"/>
      <c r="BZ242" s="32"/>
      <c r="CA242" s="47"/>
      <c r="CB242" s="31"/>
      <c r="CC242" s="31"/>
      <c r="CD242" s="31"/>
      <c r="CE242" s="31"/>
      <c r="CF242" s="48"/>
      <c r="CG242" s="31"/>
      <c r="CH242" s="31"/>
      <c r="CI242" s="32"/>
      <c r="CJ242" s="32"/>
      <c r="CK242" s="32"/>
      <c r="CL242" s="32"/>
      <c r="CM242" s="32"/>
      <c r="CN242" s="32"/>
      <c r="CO242" s="32"/>
      <c r="CP242" s="32"/>
      <c r="CQ242" s="32"/>
      <c r="CR242" s="32"/>
      <c r="CS242" s="32"/>
      <c r="CT242" s="32"/>
      <c r="CU242" s="32"/>
      <c r="CV242" s="32"/>
      <c r="CW242" s="32"/>
      <c r="CX242" s="32"/>
      <c r="CY242" s="32"/>
      <c r="CZ242" s="32"/>
      <c r="DA242" s="32"/>
      <c r="DB242" s="32"/>
    </row>
    <row r="243" spans="1:106" ht="15" hidden="1" customHeight="1">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c r="AA243" s="32"/>
      <c r="AB243" s="32"/>
      <c r="AC243" s="32"/>
      <c r="AD243" s="32"/>
      <c r="AE243" s="32"/>
      <c r="AF243" s="32"/>
      <c r="AG243" s="32"/>
      <c r="AH243" s="32"/>
      <c r="AI243" s="32"/>
      <c r="AJ243" s="32"/>
      <c r="AK243" s="32"/>
      <c r="AL243" s="32"/>
      <c r="AM243" s="32"/>
      <c r="AN243" s="32"/>
      <c r="AO243" s="32"/>
      <c r="AP243" s="32"/>
      <c r="AQ243" s="32"/>
      <c r="AR243" s="32"/>
      <c r="AS243" s="32"/>
      <c r="AT243" s="32"/>
      <c r="AU243" s="32"/>
      <c r="AV243" s="32"/>
      <c r="AW243" s="32"/>
      <c r="AX243" s="32"/>
      <c r="AY243" s="32"/>
      <c r="AZ243" s="32"/>
      <c r="BA243" s="32"/>
      <c r="BB243" s="32"/>
      <c r="BC243" s="32"/>
      <c r="BD243" s="32"/>
      <c r="BE243" s="32"/>
      <c r="BF243" s="2"/>
      <c r="BG243" s="2"/>
      <c r="BH243" s="2"/>
      <c r="BI243" s="2"/>
      <c r="BJ243" s="2"/>
      <c r="BK243" s="32"/>
      <c r="BL243" s="2"/>
      <c r="BM243" s="32"/>
      <c r="BN243" s="32"/>
      <c r="BO243" s="32"/>
      <c r="BP243" s="2"/>
      <c r="BQ243" s="2"/>
      <c r="BR243" s="2"/>
      <c r="BS243" s="86"/>
      <c r="BT243" s="32"/>
      <c r="BU243" s="33"/>
      <c r="BV243" s="33"/>
      <c r="BW243" s="32"/>
      <c r="BX243" s="32"/>
      <c r="BY243" s="32"/>
      <c r="BZ243" s="99"/>
      <c r="CA243" s="31"/>
      <c r="CB243" s="31"/>
      <c r="CC243" s="31"/>
      <c r="CD243" s="31"/>
      <c r="CE243" s="31"/>
      <c r="CF243" s="48"/>
      <c r="CG243" s="31"/>
      <c r="CH243" s="31"/>
      <c r="CI243" s="32"/>
      <c r="CJ243" s="32"/>
      <c r="CK243" s="32"/>
      <c r="CL243" s="32"/>
      <c r="CM243" s="32"/>
      <c r="CN243" s="32"/>
      <c r="CO243" s="32"/>
      <c r="CP243" s="32"/>
      <c r="CQ243" s="32"/>
      <c r="CR243" s="32"/>
      <c r="CS243" s="32"/>
      <c r="CT243" s="32"/>
      <c r="CU243" s="32"/>
      <c r="CV243" s="32"/>
      <c r="CW243" s="32"/>
      <c r="CX243" s="32"/>
      <c r="CY243" s="32"/>
      <c r="CZ243" s="32"/>
      <c r="DA243" s="32"/>
      <c r="DB243" s="32"/>
    </row>
    <row r="244" spans="1:106" ht="15" hidden="1" customHeight="1">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c r="AE244" s="32"/>
      <c r="AF244" s="32"/>
      <c r="AG244" s="32"/>
      <c r="AH244" s="32"/>
      <c r="AI244" s="32"/>
      <c r="AJ244" s="32"/>
      <c r="AK244" s="32"/>
      <c r="AL244" s="32"/>
      <c r="AM244" s="32"/>
      <c r="AN244" s="32"/>
      <c r="AO244" s="32"/>
      <c r="AP244" s="32"/>
      <c r="AQ244" s="32"/>
      <c r="AR244" s="32"/>
      <c r="AS244" s="32"/>
      <c r="AT244" s="32"/>
      <c r="AU244" s="32"/>
      <c r="AV244" s="32"/>
      <c r="AW244" s="32"/>
      <c r="AX244" s="32"/>
      <c r="AY244" s="32"/>
      <c r="AZ244" s="32"/>
      <c r="BA244" s="32"/>
      <c r="BB244" s="32"/>
      <c r="BC244" s="32"/>
      <c r="BD244" s="32"/>
      <c r="BE244" s="32"/>
      <c r="BF244" s="2"/>
      <c r="BG244" s="2"/>
      <c r="BH244" s="2"/>
      <c r="BI244" s="2"/>
      <c r="BJ244" s="2"/>
      <c r="BK244" s="32"/>
      <c r="BL244" s="2"/>
      <c r="BM244" s="32"/>
      <c r="BN244" s="32"/>
      <c r="BO244" s="32"/>
      <c r="BP244" s="2"/>
      <c r="BQ244" s="2"/>
      <c r="BR244" s="2"/>
      <c r="BS244" s="86"/>
      <c r="BT244" s="32"/>
      <c r="BU244" s="33"/>
      <c r="BV244" s="33"/>
      <c r="BW244" s="32"/>
      <c r="BX244" s="32"/>
      <c r="BY244" s="32"/>
      <c r="BZ244" s="32"/>
      <c r="CA244" s="33"/>
      <c r="CB244" s="32"/>
      <c r="CC244" s="32"/>
      <c r="CD244" s="31"/>
      <c r="CE244" s="31"/>
      <c r="CF244" s="48"/>
      <c r="CG244" s="31"/>
      <c r="CH244" s="31"/>
      <c r="CI244" s="32"/>
      <c r="CJ244" s="32"/>
      <c r="CK244" s="32"/>
      <c r="CL244" s="32"/>
      <c r="CM244" s="32"/>
      <c r="CN244" s="32"/>
      <c r="CO244" s="32"/>
      <c r="CP244" s="32"/>
      <c r="CQ244" s="32"/>
      <c r="CR244" s="32"/>
      <c r="CS244" s="32"/>
      <c r="CT244" s="32"/>
      <c r="CU244" s="32"/>
      <c r="CV244" s="32"/>
      <c r="CW244" s="32"/>
      <c r="CX244" s="32"/>
      <c r="CY244" s="32"/>
      <c r="CZ244" s="32"/>
      <c r="DA244" s="32"/>
      <c r="DB244" s="32"/>
    </row>
    <row r="245" spans="1:106" ht="15" hidden="1" customHeight="1">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c r="AB245" s="32"/>
      <c r="AC245" s="32"/>
      <c r="AD245" s="32"/>
      <c r="AE245" s="32"/>
      <c r="AF245" s="32"/>
      <c r="AG245" s="32"/>
      <c r="AH245" s="32"/>
      <c r="AI245" s="32"/>
      <c r="AJ245" s="32"/>
      <c r="AK245" s="32"/>
      <c r="AL245" s="32"/>
      <c r="AM245" s="32"/>
      <c r="AN245" s="32"/>
      <c r="AO245" s="32"/>
      <c r="AP245" s="32"/>
      <c r="AQ245" s="32"/>
      <c r="AR245" s="32"/>
      <c r="AS245" s="32"/>
      <c r="AT245" s="32"/>
      <c r="AU245" s="32"/>
      <c r="AV245" s="32"/>
      <c r="AW245" s="32"/>
      <c r="AX245" s="32"/>
      <c r="AY245" s="32"/>
      <c r="AZ245" s="32"/>
      <c r="BA245" s="32"/>
      <c r="BB245" s="32"/>
      <c r="BC245" s="32"/>
      <c r="BD245" s="32"/>
      <c r="BE245" s="32"/>
      <c r="BF245" s="2"/>
      <c r="BG245" s="2"/>
      <c r="BH245" s="2"/>
      <c r="BI245" s="2"/>
      <c r="BJ245" s="2"/>
      <c r="BK245" s="32"/>
      <c r="BL245" s="2"/>
      <c r="BM245" s="32"/>
      <c r="BN245" s="32"/>
      <c r="BO245" s="32"/>
      <c r="BP245" s="2"/>
      <c r="BQ245" s="2"/>
      <c r="BR245" s="2"/>
      <c r="BS245" s="86"/>
      <c r="BT245" s="32"/>
      <c r="BU245" s="33"/>
      <c r="BV245" s="33"/>
      <c r="BW245" s="32"/>
      <c r="BX245" s="32"/>
      <c r="BY245" s="32"/>
      <c r="BZ245" s="32"/>
      <c r="CA245" s="47"/>
      <c r="CB245" s="31"/>
      <c r="CC245" s="31"/>
      <c r="CD245" s="31"/>
      <c r="CE245" s="31"/>
      <c r="CF245" s="48"/>
      <c r="CG245" s="31"/>
      <c r="CH245" s="31"/>
      <c r="CI245" s="32"/>
      <c r="CJ245" s="32"/>
      <c r="CK245" s="32"/>
      <c r="CL245" s="32"/>
      <c r="CM245" s="32"/>
      <c r="CN245" s="32"/>
      <c r="CO245" s="32"/>
      <c r="CP245" s="32"/>
      <c r="CQ245" s="32"/>
      <c r="CR245" s="32"/>
      <c r="CS245" s="32"/>
      <c r="CT245" s="32"/>
      <c r="CU245" s="32"/>
      <c r="CV245" s="32"/>
      <c r="CW245" s="32"/>
      <c r="CX245" s="32"/>
      <c r="CY245" s="32"/>
      <c r="CZ245" s="32"/>
      <c r="DA245" s="32"/>
      <c r="DB245" s="32"/>
    </row>
    <row r="246" spans="1:106" ht="15" hidden="1" customHeight="1">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B246" s="32"/>
      <c r="AC246" s="32"/>
      <c r="AD246" s="32"/>
      <c r="AE246" s="32"/>
      <c r="AF246" s="32"/>
      <c r="AG246" s="32"/>
      <c r="AH246" s="32"/>
      <c r="AI246" s="32"/>
      <c r="AJ246" s="32"/>
      <c r="AK246" s="32"/>
      <c r="AL246" s="32"/>
      <c r="AM246" s="32"/>
      <c r="AN246" s="32"/>
      <c r="AO246" s="32"/>
      <c r="AP246" s="32"/>
      <c r="AQ246" s="32"/>
      <c r="AR246" s="32"/>
      <c r="AS246" s="32"/>
      <c r="AT246" s="32"/>
      <c r="AU246" s="32"/>
      <c r="AV246" s="32"/>
      <c r="AW246" s="32"/>
      <c r="AX246" s="32"/>
      <c r="AY246" s="32"/>
      <c r="AZ246" s="32"/>
      <c r="BA246" s="32"/>
      <c r="BB246" s="32"/>
      <c r="BC246" s="32"/>
      <c r="BD246" s="32"/>
      <c r="BE246" s="32"/>
      <c r="BF246" s="2"/>
      <c r="BG246" s="2"/>
      <c r="BH246" s="2"/>
      <c r="BI246" s="2"/>
      <c r="BJ246" s="2"/>
      <c r="BK246" s="32"/>
      <c r="BL246" s="2"/>
      <c r="BM246" s="32"/>
      <c r="BN246" s="32"/>
      <c r="BO246" s="32"/>
      <c r="BP246" s="2"/>
      <c r="BQ246" s="2"/>
      <c r="BR246" s="2"/>
      <c r="BS246" s="86"/>
      <c r="BT246" s="32"/>
      <c r="BU246" s="33"/>
      <c r="BV246" s="33"/>
      <c r="BW246" s="32"/>
      <c r="BX246" s="32"/>
      <c r="BY246" s="32"/>
      <c r="BZ246" s="32"/>
      <c r="CA246" s="47"/>
      <c r="CB246" s="31"/>
      <c r="CC246" s="31"/>
      <c r="CD246" s="31"/>
      <c r="CE246" s="31"/>
      <c r="CF246" s="48"/>
      <c r="CG246" s="31"/>
      <c r="CH246" s="31"/>
      <c r="CI246" s="32"/>
      <c r="CJ246" s="32"/>
      <c r="CK246" s="32"/>
      <c r="CL246" s="32"/>
      <c r="CM246" s="32"/>
      <c r="CN246" s="32"/>
      <c r="CO246" s="32"/>
      <c r="CP246" s="32"/>
      <c r="CQ246" s="32"/>
      <c r="CR246" s="32"/>
      <c r="CS246" s="32"/>
      <c r="CT246" s="32"/>
      <c r="CU246" s="32"/>
      <c r="CV246" s="32"/>
      <c r="CW246" s="32"/>
      <c r="CX246" s="32"/>
      <c r="CY246" s="32"/>
      <c r="CZ246" s="32"/>
      <c r="DA246" s="32"/>
      <c r="DB246" s="32"/>
    </row>
    <row r="247" spans="1:106" ht="15" hidden="1" customHeight="1">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B247" s="32"/>
      <c r="AC247" s="32"/>
      <c r="AD247" s="32"/>
      <c r="AE247" s="32"/>
      <c r="AF247" s="32"/>
      <c r="AG247" s="32"/>
      <c r="AH247" s="32"/>
      <c r="AI247" s="32"/>
      <c r="AJ247" s="32"/>
      <c r="AK247" s="32"/>
      <c r="AL247" s="32"/>
      <c r="AM247" s="32"/>
      <c r="AN247" s="32"/>
      <c r="AO247" s="32"/>
      <c r="AP247" s="32"/>
      <c r="AQ247" s="32"/>
      <c r="AR247" s="32"/>
      <c r="AS247" s="32"/>
      <c r="AT247" s="32"/>
      <c r="AU247" s="32"/>
      <c r="AV247" s="32"/>
      <c r="AW247" s="32"/>
      <c r="AX247" s="32"/>
      <c r="AY247" s="32"/>
      <c r="AZ247" s="32"/>
      <c r="BA247" s="32"/>
      <c r="BB247" s="32"/>
      <c r="BC247" s="32"/>
      <c r="BD247" s="32"/>
      <c r="BE247" s="32"/>
      <c r="BF247" s="2"/>
      <c r="BG247" s="2"/>
      <c r="BH247" s="2"/>
      <c r="BI247" s="2"/>
      <c r="BJ247" s="2"/>
      <c r="BK247" s="32"/>
      <c r="BL247" s="2"/>
      <c r="BM247" s="32"/>
      <c r="BN247" s="32"/>
      <c r="BO247" s="32"/>
      <c r="BP247" s="2"/>
      <c r="BQ247" s="2"/>
      <c r="BR247" s="2"/>
      <c r="BS247" s="86"/>
      <c r="BT247" s="32"/>
      <c r="BU247" s="33"/>
      <c r="BV247" s="33"/>
      <c r="BW247" s="32"/>
      <c r="BX247" s="32"/>
      <c r="BY247" s="32"/>
      <c r="BZ247" s="32"/>
      <c r="CA247" s="47"/>
      <c r="CB247" s="31"/>
      <c r="CC247" s="31"/>
      <c r="CD247" s="31"/>
      <c r="CE247" s="31"/>
      <c r="CF247" s="48"/>
      <c r="CG247" s="31"/>
      <c r="CH247" s="31"/>
      <c r="CI247" s="32"/>
      <c r="CJ247" s="32"/>
      <c r="CK247" s="32"/>
      <c r="CL247" s="32"/>
      <c r="CM247" s="32"/>
      <c r="CN247" s="32"/>
      <c r="CO247" s="32"/>
      <c r="CP247" s="32"/>
      <c r="CQ247" s="32"/>
      <c r="CR247" s="32"/>
      <c r="CS247" s="32"/>
      <c r="CT247" s="32"/>
      <c r="CU247" s="32"/>
      <c r="CV247" s="32"/>
      <c r="CW247" s="32"/>
      <c r="CX247" s="32"/>
      <c r="CY247" s="32"/>
      <c r="CZ247" s="32"/>
      <c r="DA247" s="32"/>
      <c r="DB247" s="32"/>
    </row>
    <row r="248" spans="1:106" ht="15" hidden="1" customHeight="1">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B248" s="32"/>
      <c r="AC248" s="32"/>
      <c r="AD248" s="32"/>
      <c r="AE248" s="32"/>
      <c r="AF248" s="32"/>
      <c r="AG248" s="32"/>
      <c r="AH248" s="32"/>
      <c r="AI248" s="32"/>
      <c r="AJ248" s="32"/>
      <c r="AK248" s="32"/>
      <c r="AL248" s="32"/>
      <c r="AM248" s="32"/>
      <c r="AN248" s="32"/>
      <c r="AO248" s="32"/>
      <c r="AP248" s="32"/>
      <c r="AQ248" s="32"/>
      <c r="AR248" s="32"/>
      <c r="AS248" s="32"/>
      <c r="AT248" s="32"/>
      <c r="AU248" s="32"/>
      <c r="AV248" s="32"/>
      <c r="AW248" s="32"/>
      <c r="AX248" s="32"/>
      <c r="AY248" s="32"/>
      <c r="AZ248" s="32"/>
      <c r="BA248" s="32"/>
      <c r="BB248" s="32"/>
      <c r="BC248" s="32"/>
      <c r="BD248" s="32"/>
      <c r="BE248" s="32"/>
      <c r="BF248" s="2"/>
      <c r="BG248" s="2"/>
      <c r="BH248" s="2"/>
      <c r="BI248" s="2"/>
      <c r="BJ248" s="2"/>
      <c r="BK248" s="32"/>
      <c r="BL248" s="2"/>
      <c r="BM248" s="32"/>
      <c r="BN248" s="32"/>
      <c r="BO248" s="32"/>
      <c r="BP248" s="2"/>
      <c r="BQ248" s="2"/>
      <c r="BR248" s="2"/>
      <c r="BS248" s="86"/>
      <c r="BT248" s="32"/>
      <c r="BU248" s="33"/>
      <c r="BV248" s="33"/>
      <c r="BW248" s="32"/>
      <c r="BX248" s="32"/>
      <c r="BY248" s="32"/>
      <c r="BZ248" s="32"/>
      <c r="CA248" s="47"/>
      <c r="CB248" s="31"/>
      <c r="CC248" s="31"/>
      <c r="CD248" s="31"/>
      <c r="CE248" s="31"/>
      <c r="CF248" s="48"/>
      <c r="CG248" s="31"/>
      <c r="CH248" s="31"/>
      <c r="CI248" s="32"/>
      <c r="CJ248" s="32"/>
      <c r="CK248" s="32"/>
      <c r="CL248" s="32"/>
      <c r="CM248" s="32"/>
      <c r="CN248" s="32"/>
      <c r="CO248" s="32"/>
      <c r="CP248" s="32"/>
      <c r="CQ248" s="32"/>
      <c r="CR248" s="32"/>
      <c r="CS248" s="32"/>
      <c r="CT248" s="32"/>
      <c r="CU248" s="32"/>
      <c r="CV248" s="32"/>
      <c r="CW248" s="32"/>
      <c r="CX248" s="32"/>
      <c r="CY248" s="32"/>
      <c r="CZ248" s="32"/>
      <c r="DA248" s="32"/>
      <c r="DB248" s="32"/>
    </row>
    <row r="249" spans="1:106" ht="15" hidden="1" customHeight="1">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c r="AE249" s="32"/>
      <c r="AF249" s="32"/>
      <c r="AG249" s="32"/>
      <c r="AH249" s="32"/>
      <c r="AI249" s="32"/>
      <c r="AJ249" s="32"/>
      <c r="AK249" s="32"/>
      <c r="AL249" s="32"/>
      <c r="AM249" s="32"/>
      <c r="AN249" s="32"/>
      <c r="AO249" s="32"/>
      <c r="AP249" s="32"/>
      <c r="AQ249" s="32"/>
      <c r="AR249" s="32"/>
      <c r="AS249" s="32"/>
      <c r="AT249" s="32"/>
      <c r="AU249" s="32"/>
      <c r="AV249" s="32"/>
      <c r="AW249" s="32"/>
      <c r="AX249" s="32"/>
      <c r="AY249" s="32"/>
      <c r="AZ249" s="32"/>
      <c r="BA249" s="32"/>
      <c r="BB249" s="32"/>
      <c r="BC249" s="32"/>
      <c r="BD249" s="32"/>
      <c r="BE249" s="32"/>
      <c r="BF249" s="2"/>
      <c r="BG249" s="2"/>
      <c r="BH249" s="2"/>
      <c r="BI249" s="2"/>
      <c r="BJ249" s="2"/>
      <c r="BK249" s="32"/>
      <c r="BL249" s="2"/>
      <c r="BM249" s="32"/>
      <c r="BN249" s="32"/>
      <c r="BO249" s="32"/>
      <c r="BP249" s="2"/>
      <c r="BQ249" s="2"/>
      <c r="BR249" s="2"/>
      <c r="BS249" s="86"/>
      <c r="BT249" s="32"/>
      <c r="BU249" s="33"/>
      <c r="BV249" s="33"/>
      <c r="BW249" s="32"/>
      <c r="BX249" s="32"/>
      <c r="BY249" s="32"/>
      <c r="BZ249" s="32"/>
      <c r="CA249" s="47"/>
      <c r="CB249" s="31"/>
      <c r="CC249" s="31"/>
      <c r="CD249" s="31"/>
      <c r="CE249" s="31"/>
      <c r="CF249" s="48"/>
      <c r="CG249" s="31"/>
      <c r="CH249" s="31"/>
      <c r="CI249" s="32"/>
      <c r="CJ249" s="32"/>
      <c r="CK249" s="32"/>
      <c r="CL249" s="32"/>
      <c r="CM249" s="32"/>
      <c r="CN249" s="32"/>
      <c r="CO249" s="32"/>
      <c r="CP249" s="32"/>
      <c r="CQ249" s="32"/>
      <c r="CR249" s="32"/>
      <c r="CS249" s="32"/>
      <c r="CT249" s="32"/>
      <c r="CU249" s="32"/>
      <c r="CV249" s="32"/>
      <c r="CW249" s="32"/>
      <c r="CX249" s="32"/>
      <c r="CY249" s="32"/>
      <c r="CZ249" s="32"/>
      <c r="DA249" s="32"/>
      <c r="DB249" s="32"/>
    </row>
    <row r="250" spans="1:106" ht="15" hidden="1" customHeight="1">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c r="AA250" s="32"/>
      <c r="AB250" s="32"/>
      <c r="AC250" s="32"/>
      <c r="AD250" s="32"/>
      <c r="AE250" s="32"/>
      <c r="AF250" s="32"/>
      <c r="AG250" s="32"/>
      <c r="AH250" s="32"/>
      <c r="AI250" s="32"/>
      <c r="AJ250" s="32"/>
      <c r="AK250" s="32"/>
      <c r="AL250" s="32"/>
      <c r="AM250" s="32"/>
      <c r="AN250" s="32"/>
      <c r="AO250" s="32"/>
      <c r="AP250" s="32"/>
      <c r="AQ250" s="32"/>
      <c r="AR250" s="32"/>
      <c r="AS250" s="32"/>
      <c r="AT250" s="32"/>
      <c r="AU250" s="32"/>
      <c r="AV250" s="32"/>
      <c r="AW250" s="32"/>
      <c r="AX250" s="32"/>
      <c r="AY250" s="32"/>
      <c r="AZ250" s="32"/>
      <c r="BA250" s="32"/>
      <c r="BB250" s="32"/>
      <c r="BC250" s="32"/>
      <c r="BD250" s="32"/>
      <c r="BE250" s="32"/>
      <c r="BF250" s="2"/>
      <c r="BG250" s="2"/>
      <c r="BH250" s="2"/>
      <c r="BI250" s="2"/>
      <c r="BJ250" s="2"/>
      <c r="BK250" s="32"/>
      <c r="BL250" s="2"/>
      <c r="BM250" s="32"/>
      <c r="BN250" s="32"/>
      <c r="BO250" s="32"/>
      <c r="BP250" s="2"/>
      <c r="BQ250" s="2"/>
      <c r="BR250" s="2"/>
      <c r="BS250" s="86"/>
      <c r="BT250" s="32"/>
      <c r="BU250" s="33"/>
      <c r="BV250" s="33"/>
      <c r="BW250" s="32"/>
      <c r="BX250" s="32"/>
      <c r="BY250" s="32"/>
      <c r="BZ250" s="32"/>
      <c r="CA250" s="33"/>
      <c r="CB250" s="32"/>
      <c r="CC250" s="32"/>
      <c r="CD250" s="31"/>
      <c r="CE250" s="31"/>
      <c r="CF250" s="48"/>
      <c r="CG250" s="31"/>
      <c r="CH250" s="31"/>
      <c r="CI250" s="32"/>
      <c r="CJ250" s="32"/>
      <c r="CK250" s="32"/>
      <c r="CL250" s="32"/>
      <c r="CM250" s="32"/>
      <c r="CN250" s="32"/>
      <c r="CO250" s="32"/>
      <c r="CP250" s="32"/>
      <c r="CQ250" s="32"/>
      <c r="CR250" s="32"/>
      <c r="CS250" s="32"/>
      <c r="CT250" s="32"/>
      <c r="CU250" s="32"/>
      <c r="CV250" s="32"/>
      <c r="CW250" s="32"/>
      <c r="CX250" s="32"/>
      <c r="CY250" s="32"/>
      <c r="CZ250" s="32"/>
      <c r="DA250" s="32"/>
      <c r="DB250" s="32"/>
    </row>
    <row r="251" spans="1:106" ht="15" hidden="1" customHeight="1">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B251" s="32"/>
      <c r="AC251" s="32"/>
      <c r="AD251" s="32"/>
      <c r="AE251" s="32"/>
      <c r="AF251" s="32"/>
      <c r="AG251" s="32"/>
      <c r="AH251" s="32"/>
      <c r="AI251" s="32"/>
      <c r="AJ251" s="32"/>
      <c r="AK251" s="32"/>
      <c r="AL251" s="32"/>
      <c r="AM251" s="32"/>
      <c r="AN251" s="32"/>
      <c r="AO251" s="32"/>
      <c r="AP251" s="32"/>
      <c r="AQ251" s="32"/>
      <c r="AR251" s="32"/>
      <c r="AS251" s="32"/>
      <c r="AT251" s="32"/>
      <c r="AU251" s="32"/>
      <c r="AV251" s="32"/>
      <c r="AW251" s="32"/>
      <c r="AX251" s="32"/>
      <c r="AY251" s="32"/>
      <c r="AZ251" s="32"/>
      <c r="BA251" s="32"/>
      <c r="BB251" s="32"/>
      <c r="BC251" s="32"/>
      <c r="BD251" s="32"/>
      <c r="BE251" s="32"/>
      <c r="BF251" s="2"/>
      <c r="BG251" s="2"/>
      <c r="BH251" s="2"/>
      <c r="BI251" s="2"/>
      <c r="BJ251" s="2"/>
      <c r="BK251" s="32"/>
      <c r="BL251" s="2"/>
      <c r="BM251" s="32"/>
      <c r="BN251" s="32"/>
      <c r="BO251" s="32"/>
      <c r="BP251" s="2"/>
      <c r="BQ251" s="2"/>
      <c r="BR251" s="2"/>
      <c r="BS251" s="86"/>
      <c r="BT251" s="32"/>
      <c r="BU251" s="33"/>
      <c r="BV251" s="33"/>
      <c r="BW251" s="32"/>
      <c r="BX251" s="32"/>
      <c r="BY251" s="32"/>
      <c r="BZ251" s="32"/>
      <c r="CA251" s="33"/>
      <c r="CB251" s="32"/>
      <c r="CC251" s="32"/>
      <c r="CD251" s="31"/>
      <c r="CE251" s="31"/>
      <c r="CF251" s="48"/>
      <c r="CG251" s="31"/>
      <c r="CH251" s="31"/>
      <c r="CI251" s="32"/>
      <c r="CJ251" s="32"/>
      <c r="CK251" s="32"/>
      <c r="CL251" s="32"/>
      <c r="CM251" s="32"/>
      <c r="CN251" s="32"/>
      <c r="CO251" s="32"/>
      <c r="CP251" s="32"/>
      <c r="CQ251" s="32"/>
      <c r="CR251" s="32"/>
      <c r="CS251" s="32"/>
      <c r="CT251" s="32"/>
      <c r="CU251" s="32"/>
      <c r="CV251" s="32"/>
      <c r="CW251" s="32"/>
      <c r="CX251" s="32"/>
      <c r="CY251" s="32"/>
      <c r="CZ251" s="32"/>
      <c r="DA251" s="32"/>
      <c r="DB251" s="32"/>
    </row>
    <row r="252" spans="1:106" ht="15" hidden="1" customHeight="1">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c r="AH252" s="32"/>
      <c r="AI252" s="32"/>
      <c r="AJ252" s="32"/>
      <c r="AK252" s="32"/>
      <c r="AL252" s="32"/>
      <c r="AM252" s="32"/>
      <c r="AN252" s="32"/>
      <c r="AO252" s="32"/>
      <c r="AP252" s="32"/>
      <c r="AQ252" s="32"/>
      <c r="AR252" s="32"/>
      <c r="AS252" s="32"/>
      <c r="AT252" s="32"/>
      <c r="AU252" s="32"/>
      <c r="AV252" s="32"/>
      <c r="AW252" s="32"/>
      <c r="AX252" s="32"/>
      <c r="AY252" s="32"/>
      <c r="AZ252" s="32"/>
      <c r="BA252" s="32"/>
      <c r="BB252" s="32"/>
      <c r="BC252" s="32"/>
      <c r="BD252" s="32"/>
      <c r="BE252" s="32"/>
      <c r="BF252" s="2"/>
      <c r="BG252" s="2"/>
      <c r="BH252" s="2"/>
      <c r="BI252" s="2"/>
      <c r="BJ252" s="2"/>
      <c r="BK252" s="32"/>
      <c r="BL252" s="2"/>
      <c r="BM252" s="32"/>
      <c r="BN252" s="32"/>
      <c r="BO252" s="32"/>
      <c r="BP252" s="2"/>
      <c r="BQ252" s="2"/>
      <c r="BR252" s="2"/>
      <c r="BS252" s="86"/>
      <c r="BT252" s="32"/>
      <c r="BU252" s="33"/>
      <c r="BV252" s="33"/>
      <c r="BW252" s="32"/>
      <c r="BX252" s="32"/>
      <c r="BY252" s="32"/>
      <c r="BZ252" s="32"/>
      <c r="CA252" s="33"/>
      <c r="CB252" s="32"/>
      <c r="CC252" s="32"/>
      <c r="CD252" s="31"/>
      <c r="CE252" s="31"/>
      <c r="CF252" s="48"/>
      <c r="CG252" s="31"/>
      <c r="CH252" s="31"/>
      <c r="CI252" s="32"/>
      <c r="CJ252" s="32"/>
      <c r="CK252" s="32"/>
      <c r="CL252" s="32"/>
      <c r="CM252" s="32"/>
      <c r="CN252" s="32"/>
      <c r="CO252" s="32"/>
      <c r="CP252" s="32"/>
      <c r="CQ252" s="32"/>
      <c r="CR252" s="32"/>
      <c r="CS252" s="32"/>
      <c r="CT252" s="32"/>
      <c r="CU252" s="32"/>
      <c r="CV252" s="32"/>
      <c r="CW252" s="32"/>
      <c r="CX252" s="32"/>
      <c r="CY252" s="32"/>
      <c r="CZ252" s="32"/>
      <c r="DA252" s="32"/>
      <c r="DB252" s="32"/>
    </row>
    <row r="253" spans="1:106" ht="15" hidden="1" customHeight="1">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c r="AA253" s="32"/>
      <c r="AB253" s="32"/>
      <c r="AC253" s="32"/>
      <c r="AD253" s="32"/>
      <c r="AE253" s="32"/>
      <c r="AF253" s="32"/>
      <c r="AG253" s="32"/>
      <c r="AH253" s="32"/>
      <c r="AI253" s="32"/>
      <c r="AJ253" s="32"/>
      <c r="AK253" s="32"/>
      <c r="AL253" s="32"/>
      <c r="AM253" s="32"/>
      <c r="AN253" s="32"/>
      <c r="AO253" s="32"/>
      <c r="AP253" s="32"/>
      <c r="AQ253" s="32"/>
      <c r="AR253" s="32"/>
      <c r="AS253" s="32"/>
      <c r="AT253" s="32"/>
      <c r="AU253" s="32"/>
      <c r="AV253" s="32"/>
      <c r="AW253" s="32"/>
      <c r="AX253" s="32"/>
      <c r="AY253" s="32"/>
      <c r="AZ253" s="32"/>
      <c r="BA253" s="32"/>
      <c r="BB253" s="32"/>
      <c r="BC253" s="32"/>
      <c r="BD253" s="32"/>
      <c r="BE253" s="32"/>
      <c r="BF253" s="2"/>
      <c r="BG253" s="2"/>
      <c r="BH253" s="2"/>
      <c r="BI253" s="2"/>
      <c r="BJ253" s="2"/>
      <c r="BK253" s="32"/>
      <c r="BL253" s="2"/>
      <c r="BM253" s="32"/>
      <c r="BN253" s="32"/>
      <c r="BO253" s="32"/>
      <c r="BP253" s="2"/>
      <c r="BQ253" s="2"/>
      <c r="BR253" s="2"/>
      <c r="BS253" s="86"/>
      <c r="BT253" s="32"/>
      <c r="BU253" s="33"/>
      <c r="BV253" s="33"/>
      <c r="BW253" s="32"/>
      <c r="BX253" s="32"/>
      <c r="BY253" s="32"/>
      <c r="BZ253" s="32"/>
      <c r="CA253" s="33"/>
      <c r="CB253" s="32"/>
      <c r="CC253" s="32"/>
      <c r="CD253" s="31"/>
      <c r="CE253" s="31"/>
      <c r="CF253" s="48"/>
      <c r="CG253" s="31"/>
      <c r="CH253" s="31"/>
      <c r="CI253" s="32"/>
      <c r="CJ253" s="32"/>
      <c r="CK253" s="32"/>
      <c r="CL253" s="32"/>
      <c r="CM253" s="32"/>
      <c r="CN253" s="32"/>
      <c r="CO253" s="32"/>
      <c r="CP253" s="32"/>
      <c r="CQ253" s="32"/>
      <c r="CR253" s="32"/>
      <c r="CS253" s="32"/>
      <c r="CT253" s="32"/>
      <c r="CU253" s="32"/>
      <c r="CV253" s="32"/>
      <c r="CW253" s="32"/>
      <c r="CX253" s="32"/>
      <c r="CY253" s="32"/>
      <c r="CZ253" s="32"/>
      <c r="DA253" s="32"/>
      <c r="DB253" s="32"/>
    </row>
    <row r="254" spans="1:106" ht="15" hidden="1" customHeight="1">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c r="AE254" s="32"/>
      <c r="AF254" s="32"/>
      <c r="AG254" s="32"/>
      <c r="AH254" s="32"/>
      <c r="AI254" s="32"/>
      <c r="AJ254" s="32"/>
      <c r="AK254" s="32"/>
      <c r="AL254" s="32"/>
      <c r="AM254" s="32"/>
      <c r="AN254" s="32"/>
      <c r="AO254" s="32"/>
      <c r="AP254" s="32"/>
      <c r="AQ254" s="32"/>
      <c r="AR254" s="32"/>
      <c r="AS254" s="32"/>
      <c r="AT254" s="32"/>
      <c r="AU254" s="32"/>
      <c r="AV254" s="32"/>
      <c r="AW254" s="32"/>
      <c r="AX254" s="32"/>
      <c r="AY254" s="32"/>
      <c r="AZ254" s="32"/>
      <c r="BA254" s="32"/>
      <c r="BB254" s="32"/>
      <c r="BC254" s="32"/>
      <c r="BD254" s="32"/>
      <c r="BE254" s="32"/>
      <c r="BF254" s="2"/>
      <c r="BG254" s="2"/>
      <c r="BH254" s="2"/>
      <c r="BI254" s="2"/>
      <c r="BJ254" s="2"/>
      <c r="BK254" s="32"/>
      <c r="BL254" s="2"/>
      <c r="BM254" s="32"/>
      <c r="BN254" s="32"/>
      <c r="BO254" s="32"/>
      <c r="BP254" s="2"/>
      <c r="BQ254" s="2"/>
      <c r="BR254" s="2"/>
      <c r="BS254" s="86"/>
      <c r="BT254" s="32"/>
      <c r="BU254" s="33"/>
      <c r="BV254" s="33"/>
      <c r="BW254" s="32"/>
      <c r="BX254" s="32"/>
      <c r="BY254" s="32"/>
      <c r="BZ254" s="32"/>
      <c r="CA254" s="33"/>
      <c r="CB254" s="32"/>
      <c r="CC254" s="32"/>
      <c r="CD254" s="31"/>
      <c r="CE254" s="31"/>
      <c r="CF254" s="48"/>
      <c r="CG254" s="31"/>
      <c r="CH254" s="31"/>
      <c r="CI254" s="32"/>
      <c r="CJ254" s="32"/>
      <c r="CK254" s="32"/>
      <c r="CL254" s="32"/>
      <c r="CM254" s="32"/>
      <c r="CN254" s="32"/>
      <c r="CO254" s="32"/>
      <c r="CP254" s="32"/>
      <c r="CQ254" s="32"/>
      <c r="CR254" s="32"/>
      <c r="CS254" s="32"/>
      <c r="CT254" s="32"/>
      <c r="CU254" s="32"/>
      <c r="CV254" s="32"/>
      <c r="CW254" s="32"/>
      <c r="CX254" s="32"/>
      <c r="CY254" s="32"/>
      <c r="CZ254" s="32"/>
      <c r="DA254" s="32"/>
      <c r="DB254" s="32"/>
    </row>
    <row r="255" spans="1:106" ht="15" hidden="1" customHeight="1">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c r="AA255" s="32"/>
      <c r="AB255" s="32"/>
      <c r="AC255" s="32"/>
      <c r="AD255" s="32"/>
      <c r="AE255" s="32"/>
      <c r="AF255" s="32"/>
      <c r="AG255" s="32"/>
      <c r="AH255" s="32"/>
      <c r="AI255" s="32"/>
      <c r="AJ255" s="32"/>
      <c r="AK255" s="32"/>
      <c r="AL255" s="32"/>
      <c r="AM255" s="32"/>
      <c r="AN255" s="32"/>
      <c r="AO255" s="32"/>
      <c r="AP255" s="32"/>
      <c r="AQ255" s="32"/>
      <c r="AR255" s="32"/>
      <c r="AS255" s="32"/>
      <c r="AT255" s="32"/>
      <c r="AU255" s="32"/>
      <c r="AV255" s="32"/>
      <c r="AW255" s="32"/>
      <c r="AX255" s="32"/>
      <c r="AY255" s="32"/>
      <c r="AZ255" s="32"/>
      <c r="BA255" s="32"/>
      <c r="BB255" s="32"/>
      <c r="BC255" s="32"/>
      <c r="BD255" s="32"/>
      <c r="BE255" s="32"/>
      <c r="BF255" s="2"/>
      <c r="BG255" s="2"/>
      <c r="BH255" s="2"/>
      <c r="BI255" s="2"/>
      <c r="BJ255" s="2"/>
      <c r="BK255" s="32"/>
      <c r="BL255" s="2"/>
      <c r="BM255" s="32"/>
      <c r="BN255" s="32"/>
      <c r="BO255" s="32"/>
      <c r="BP255" s="2"/>
      <c r="BQ255" s="2"/>
      <c r="BR255" s="2"/>
      <c r="BS255" s="86"/>
      <c r="BT255" s="32"/>
      <c r="BU255" s="33"/>
      <c r="BV255" s="33"/>
      <c r="BW255" s="32"/>
      <c r="BX255" s="32"/>
      <c r="BY255" s="32"/>
      <c r="BZ255" s="32"/>
      <c r="CA255" s="33"/>
      <c r="CB255" s="32"/>
      <c r="CC255" s="32"/>
      <c r="CD255" s="31"/>
      <c r="CE255" s="31"/>
      <c r="CF255" s="48"/>
      <c r="CG255" s="31"/>
      <c r="CH255" s="31"/>
      <c r="CI255" s="32"/>
      <c r="CJ255" s="32"/>
      <c r="CK255" s="32"/>
      <c r="CL255" s="32"/>
      <c r="CM255" s="32"/>
      <c r="CN255" s="32"/>
      <c r="CO255" s="32"/>
      <c r="CP255" s="32"/>
      <c r="CQ255" s="32"/>
      <c r="CR255" s="32"/>
      <c r="CS255" s="32"/>
      <c r="CT255" s="32"/>
      <c r="CU255" s="32"/>
      <c r="CV255" s="32"/>
      <c r="CW255" s="32"/>
      <c r="CX255" s="32"/>
      <c r="CY255" s="32"/>
      <c r="CZ255" s="32"/>
      <c r="DA255" s="32"/>
      <c r="DB255" s="32"/>
    </row>
    <row r="256" spans="1:106" ht="15" hidden="1" customHeight="1">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c r="AE256" s="32"/>
      <c r="AF256" s="32"/>
      <c r="AG256" s="32"/>
      <c r="AH256" s="32"/>
      <c r="AI256" s="32"/>
      <c r="AJ256" s="32"/>
      <c r="AK256" s="32"/>
      <c r="AL256" s="32"/>
      <c r="AM256" s="32"/>
      <c r="AN256" s="32"/>
      <c r="AO256" s="32"/>
      <c r="AP256" s="32"/>
      <c r="AQ256" s="32"/>
      <c r="AR256" s="32"/>
      <c r="AS256" s="32"/>
      <c r="AT256" s="32"/>
      <c r="AU256" s="32"/>
      <c r="AV256" s="32"/>
      <c r="AW256" s="32"/>
      <c r="AX256" s="32"/>
      <c r="AY256" s="32"/>
      <c r="AZ256" s="32"/>
      <c r="BA256" s="32"/>
      <c r="BB256" s="32"/>
      <c r="BC256" s="32"/>
      <c r="BD256" s="32"/>
      <c r="BE256" s="32"/>
      <c r="BF256" s="2"/>
      <c r="BG256" s="2"/>
      <c r="BH256" s="2"/>
      <c r="BI256" s="2"/>
      <c r="BJ256" s="2"/>
      <c r="BK256" s="32"/>
      <c r="BL256" s="2"/>
      <c r="BM256" s="32"/>
      <c r="BN256" s="32"/>
      <c r="BO256" s="32"/>
      <c r="BP256" s="2"/>
      <c r="BQ256" s="2"/>
      <c r="BR256" s="2"/>
      <c r="BS256" s="86"/>
      <c r="BT256" s="32"/>
      <c r="BU256" s="33"/>
      <c r="BV256" s="33"/>
      <c r="BW256" s="32"/>
      <c r="BX256" s="32"/>
      <c r="BY256" s="32"/>
      <c r="BZ256" s="32"/>
      <c r="CA256" s="47"/>
      <c r="CB256" s="31"/>
      <c r="CC256" s="31"/>
      <c r="CD256" s="31"/>
      <c r="CE256" s="31"/>
      <c r="CF256" s="48"/>
      <c r="CG256" s="31"/>
      <c r="CH256" s="31"/>
      <c r="CI256" s="32"/>
      <c r="CJ256" s="32"/>
      <c r="CK256" s="32"/>
      <c r="CL256" s="32"/>
      <c r="CM256" s="32"/>
      <c r="CN256" s="32"/>
      <c r="CO256" s="32"/>
      <c r="CP256" s="32"/>
      <c r="CQ256" s="32"/>
      <c r="CR256" s="32"/>
      <c r="CS256" s="32"/>
      <c r="CT256" s="32"/>
      <c r="CU256" s="32"/>
      <c r="CV256" s="32"/>
      <c r="CW256" s="32"/>
      <c r="CX256" s="32"/>
      <c r="CY256" s="32"/>
      <c r="CZ256" s="32"/>
      <c r="DA256" s="32"/>
      <c r="DB256" s="32"/>
    </row>
    <row r="257" spans="1:106" ht="15" hidden="1" customHeight="1">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B257" s="32"/>
      <c r="AC257" s="32"/>
      <c r="AD257" s="32"/>
      <c r="AE257" s="32"/>
      <c r="AF257" s="32"/>
      <c r="AG257" s="32"/>
      <c r="AH257" s="32"/>
      <c r="AI257" s="32"/>
      <c r="AJ257" s="32"/>
      <c r="AK257" s="32"/>
      <c r="AL257" s="32"/>
      <c r="AM257" s="32"/>
      <c r="AN257" s="32"/>
      <c r="AO257" s="32"/>
      <c r="AP257" s="32"/>
      <c r="AQ257" s="32"/>
      <c r="AR257" s="32"/>
      <c r="AS257" s="32"/>
      <c r="AT257" s="32"/>
      <c r="AU257" s="32"/>
      <c r="AV257" s="32"/>
      <c r="AW257" s="32"/>
      <c r="AX257" s="32"/>
      <c r="AY257" s="32"/>
      <c r="AZ257" s="32"/>
      <c r="BA257" s="32"/>
      <c r="BB257" s="32"/>
      <c r="BC257" s="32"/>
      <c r="BD257" s="32"/>
      <c r="BE257" s="32"/>
      <c r="BF257" s="2"/>
      <c r="BG257" s="2"/>
      <c r="BH257" s="2"/>
      <c r="BI257" s="2"/>
      <c r="BJ257" s="2"/>
      <c r="BK257" s="32"/>
      <c r="BL257" s="2"/>
      <c r="BM257" s="32"/>
      <c r="BN257" s="32"/>
      <c r="BO257" s="32"/>
      <c r="BP257" s="2"/>
      <c r="BQ257" s="2"/>
      <c r="BR257" s="2"/>
      <c r="BS257" s="86"/>
      <c r="BT257" s="32"/>
      <c r="BU257" s="33"/>
      <c r="BV257" s="33"/>
      <c r="BW257" s="32"/>
      <c r="BX257" s="32"/>
      <c r="BY257" s="32"/>
      <c r="BZ257" s="32"/>
      <c r="CA257" s="47"/>
      <c r="CB257" s="31"/>
      <c r="CC257" s="31"/>
      <c r="CD257" s="31"/>
      <c r="CE257" s="31"/>
      <c r="CF257" s="48"/>
      <c r="CG257" s="31"/>
      <c r="CH257" s="31"/>
      <c r="CI257" s="32"/>
      <c r="CJ257" s="32"/>
      <c r="CK257" s="32"/>
      <c r="CL257" s="32"/>
      <c r="CM257" s="32"/>
      <c r="CN257" s="32"/>
      <c r="CO257" s="32"/>
      <c r="CP257" s="32"/>
      <c r="CQ257" s="32"/>
      <c r="CR257" s="32"/>
      <c r="CS257" s="32"/>
      <c r="CT257" s="32"/>
      <c r="CU257" s="32"/>
      <c r="CV257" s="32"/>
      <c r="CW257" s="32"/>
      <c r="CX257" s="32"/>
      <c r="CY257" s="32"/>
      <c r="CZ257" s="32"/>
      <c r="DA257" s="32"/>
      <c r="DB257" s="32"/>
    </row>
    <row r="258" spans="1:106" ht="15" hidden="1" customHeight="1">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B258" s="32"/>
      <c r="AC258" s="32"/>
      <c r="AD258" s="32"/>
      <c r="AE258" s="32"/>
      <c r="AF258" s="32"/>
      <c r="AG258" s="32"/>
      <c r="AH258" s="32"/>
      <c r="AI258" s="32"/>
      <c r="AJ258" s="32"/>
      <c r="AK258" s="32"/>
      <c r="AL258" s="32"/>
      <c r="AM258" s="32"/>
      <c r="AN258" s="32"/>
      <c r="AO258" s="32"/>
      <c r="AP258" s="32"/>
      <c r="AQ258" s="32"/>
      <c r="AR258" s="32"/>
      <c r="AS258" s="32"/>
      <c r="AT258" s="32"/>
      <c r="AU258" s="32"/>
      <c r="AV258" s="32"/>
      <c r="AW258" s="32"/>
      <c r="AX258" s="32"/>
      <c r="AY258" s="32"/>
      <c r="AZ258" s="32"/>
      <c r="BA258" s="32"/>
      <c r="BB258" s="32"/>
      <c r="BC258" s="32"/>
      <c r="BD258" s="32"/>
      <c r="BE258" s="32"/>
      <c r="BF258" s="2"/>
      <c r="BG258" s="2"/>
      <c r="BH258" s="2"/>
      <c r="BI258" s="2"/>
      <c r="BJ258" s="2"/>
      <c r="BK258" s="32"/>
      <c r="BL258" s="2"/>
      <c r="BM258" s="32"/>
      <c r="BN258" s="32"/>
      <c r="BO258" s="32"/>
      <c r="BP258" s="2"/>
      <c r="BQ258" s="2"/>
      <c r="BR258" s="2"/>
      <c r="BS258" s="86"/>
      <c r="BT258" s="32"/>
      <c r="BU258" s="33"/>
      <c r="BV258" s="33"/>
      <c r="BW258" s="32"/>
      <c r="BX258" s="32"/>
      <c r="BY258" s="32"/>
      <c r="BZ258" s="32"/>
      <c r="CA258" s="47"/>
      <c r="CB258" s="31"/>
      <c r="CC258" s="31"/>
      <c r="CD258" s="31"/>
      <c r="CE258" s="31"/>
      <c r="CF258" s="48"/>
      <c r="CG258" s="31"/>
      <c r="CH258" s="31"/>
      <c r="CI258" s="32"/>
      <c r="CJ258" s="32"/>
      <c r="CK258" s="32"/>
      <c r="CL258" s="32"/>
      <c r="CM258" s="32"/>
      <c r="CN258" s="32"/>
      <c r="CO258" s="32"/>
      <c r="CP258" s="32"/>
      <c r="CQ258" s="32"/>
      <c r="CR258" s="32"/>
      <c r="CS258" s="32"/>
      <c r="CT258" s="32"/>
      <c r="CU258" s="32"/>
      <c r="CV258" s="32"/>
      <c r="CW258" s="32"/>
      <c r="CX258" s="32"/>
      <c r="CY258" s="32"/>
      <c r="CZ258" s="32"/>
      <c r="DA258" s="32"/>
      <c r="DB258" s="32"/>
    </row>
    <row r="259" spans="1:106" ht="15" hidden="1" customHeight="1">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c r="AE259" s="32"/>
      <c r="AF259" s="32"/>
      <c r="AG259" s="32"/>
      <c r="AH259" s="32"/>
      <c r="AI259" s="32"/>
      <c r="AJ259" s="32"/>
      <c r="AK259" s="32"/>
      <c r="AL259" s="32"/>
      <c r="AM259" s="32"/>
      <c r="AN259" s="32"/>
      <c r="AO259" s="32"/>
      <c r="AP259" s="32"/>
      <c r="AQ259" s="32"/>
      <c r="AR259" s="32"/>
      <c r="AS259" s="32"/>
      <c r="AT259" s="32"/>
      <c r="AU259" s="32"/>
      <c r="AV259" s="32"/>
      <c r="AW259" s="32"/>
      <c r="AX259" s="32"/>
      <c r="AY259" s="32"/>
      <c r="AZ259" s="32"/>
      <c r="BA259" s="32"/>
      <c r="BB259" s="32"/>
      <c r="BC259" s="32"/>
      <c r="BD259" s="32"/>
      <c r="BE259" s="32"/>
      <c r="BF259" s="2"/>
      <c r="BG259" s="2"/>
      <c r="BH259" s="2"/>
      <c r="BI259" s="2"/>
      <c r="BJ259" s="2"/>
      <c r="BK259" s="32"/>
      <c r="BL259" s="2"/>
      <c r="BM259" s="32"/>
      <c r="BN259" s="32"/>
      <c r="BO259" s="32"/>
      <c r="BP259" s="2"/>
      <c r="BQ259" s="2"/>
      <c r="BR259" s="2"/>
      <c r="BS259" s="86"/>
      <c r="BT259" s="32"/>
      <c r="BU259" s="33"/>
      <c r="BV259" s="33"/>
      <c r="BW259" s="32"/>
      <c r="BX259" s="32"/>
      <c r="BY259" s="32"/>
      <c r="BZ259" s="99"/>
      <c r="CA259" s="31"/>
      <c r="CB259" s="31"/>
      <c r="CC259" s="31"/>
      <c r="CD259" s="31"/>
      <c r="CE259" s="31"/>
      <c r="CF259" s="48"/>
      <c r="CG259" s="31"/>
      <c r="CH259" s="31"/>
      <c r="CI259" s="32"/>
      <c r="CJ259" s="32"/>
      <c r="CK259" s="32"/>
      <c r="CL259" s="32"/>
      <c r="CM259" s="32"/>
      <c r="CN259" s="32"/>
      <c r="CO259" s="32"/>
      <c r="CP259" s="32"/>
      <c r="CQ259" s="32"/>
      <c r="CR259" s="32"/>
      <c r="CS259" s="32"/>
      <c r="CT259" s="32"/>
      <c r="CU259" s="32"/>
      <c r="CV259" s="32"/>
      <c r="CW259" s="32"/>
      <c r="CX259" s="32"/>
      <c r="CY259" s="32"/>
      <c r="CZ259" s="32"/>
      <c r="DA259" s="32"/>
      <c r="DB259" s="32"/>
    </row>
    <row r="260" spans="1:106" ht="15" hidden="1" customHeight="1">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c r="AA260" s="32"/>
      <c r="AB260" s="32"/>
      <c r="AC260" s="32"/>
      <c r="AD260" s="32"/>
      <c r="AE260" s="32"/>
      <c r="AF260" s="32"/>
      <c r="AG260" s="32"/>
      <c r="AH260" s="32"/>
      <c r="AI260" s="32"/>
      <c r="AJ260" s="32"/>
      <c r="AK260" s="32"/>
      <c r="AL260" s="32"/>
      <c r="AM260" s="32"/>
      <c r="AN260" s="32"/>
      <c r="AO260" s="32"/>
      <c r="AP260" s="32"/>
      <c r="AQ260" s="32"/>
      <c r="AR260" s="32"/>
      <c r="AS260" s="32"/>
      <c r="AT260" s="32"/>
      <c r="AU260" s="32"/>
      <c r="AV260" s="32"/>
      <c r="AW260" s="32"/>
      <c r="AX260" s="32"/>
      <c r="AY260" s="32"/>
      <c r="AZ260" s="32"/>
      <c r="BA260" s="32"/>
      <c r="BB260" s="32"/>
      <c r="BC260" s="32"/>
      <c r="BD260" s="32"/>
      <c r="BE260" s="32"/>
      <c r="BF260" s="2"/>
      <c r="BG260" s="2"/>
      <c r="BH260" s="2"/>
      <c r="BI260" s="2"/>
      <c r="BJ260" s="2"/>
      <c r="BK260" s="32"/>
      <c r="BL260" s="2"/>
      <c r="BM260" s="32"/>
      <c r="BN260" s="32"/>
      <c r="BO260" s="32"/>
      <c r="BP260" s="2"/>
      <c r="BQ260" s="2"/>
      <c r="BR260" s="2"/>
      <c r="BS260" s="86"/>
      <c r="BT260" s="32"/>
      <c r="BU260" s="33"/>
      <c r="BV260" s="33"/>
      <c r="BW260" s="32"/>
      <c r="BX260" s="32"/>
      <c r="BY260" s="32"/>
      <c r="BZ260" s="32"/>
      <c r="CA260" s="47"/>
      <c r="CB260" s="31"/>
      <c r="CC260" s="31"/>
      <c r="CD260" s="31"/>
      <c r="CE260" s="31"/>
      <c r="CF260" s="48"/>
      <c r="CG260" s="31"/>
      <c r="CH260" s="31"/>
      <c r="CI260" s="32"/>
      <c r="CJ260" s="32"/>
      <c r="CK260" s="32"/>
      <c r="CL260" s="32"/>
      <c r="CM260" s="32"/>
      <c r="CN260" s="32"/>
      <c r="CO260" s="32"/>
      <c r="CP260" s="32"/>
      <c r="CQ260" s="32"/>
      <c r="CR260" s="32"/>
      <c r="CS260" s="32"/>
      <c r="CT260" s="32"/>
      <c r="CU260" s="32"/>
      <c r="CV260" s="32"/>
      <c r="CW260" s="32"/>
      <c r="CX260" s="32"/>
      <c r="CY260" s="32"/>
      <c r="CZ260" s="32"/>
      <c r="DA260" s="32"/>
      <c r="DB260" s="32"/>
    </row>
    <row r="261" spans="1:106" ht="15" hidden="1" customHeight="1">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B261" s="32"/>
      <c r="AC261" s="32"/>
      <c r="AD261" s="32"/>
      <c r="AE261" s="32"/>
      <c r="AF261" s="32"/>
      <c r="AG261" s="32"/>
      <c r="AH261" s="32"/>
      <c r="AI261" s="32"/>
      <c r="AJ261" s="32"/>
      <c r="AK261" s="32"/>
      <c r="AL261" s="32"/>
      <c r="AM261" s="32"/>
      <c r="AN261" s="32"/>
      <c r="AO261" s="32"/>
      <c r="AP261" s="32"/>
      <c r="AQ261" s="32"/>
      <c r="AR261" s="32"/>
      <c r="AS261" s="32"/>
      <c r="AT261" s="32"/>
      <c r="AU261" s="32"/>
      <c r="AV261" s="32"/>
      <c r="AW261" s="32"/>
      <c r="AX261" s="32"/>
      <c r="AY261" s="32"/>
      <c r="AZ261" s="32"/>
      <c r="BA261" s="32"/>
      <c r="BB261" s="32"/>
      <c r="BC261" s="32"/>
      <c r="BD261" s="32"/>
      <c r="BE261" s="32"/>
      <c r="BF261" s="2"/>
      <c r="BG261" s="2"/>
      <c r="BH261" s="2"/>
      <c r="BI261" s="2"/>
      <c r="BJ261" s="2"/>
      <c r="BK261" s="32"/>
      <c r="BL261" s="2"/>
      <c r="BM261" s="32"/>
      <c r="BN261" s="32"/>
      <c r="BO261" s="32"/>
      <c r="BP261" s="2"/>
      <c r="BQ261" s="2"/>
      <c r="BR261" s="2"/>
      <c r="BS261" s="86"/>
      <c r="BT261" s="32"/>
      <c r="BU261" s="33"/>
      <c r="BV261" s="33"/>
      <c r="BW261" s="32"/>
      <c r="BX261" s="32"/>
      <c r="BY261" s="32"/>
      <c r="BZ261" s="32"/>
      <c r="CA261" s="47"/>
      <c r="CB261" s="31"/>
      <c r="CC261" s="31"/>
      <c r="CD261" s="31"/>
      <c r="CE261" s="31"/>
      <c r="CF261" s="48"/>
      <c r="CG261" s="31"/>
      <c r="CH261" s="31"/>
      <c r="CI261" s="32"/>
      <c r="CJ261" s="32"/>
      <c r="CK261" s="32"/>
      <c r="CL261" s="32"/>
      <c r="CM261" s="32"/>
      <c r="CN261" s="32"/>
      <c r="CO261" s="32"/>
      <c r="CP261" s="32"/>
      <c r="CQ261" s="32"/>
      <c r="CR261" s="32"/>
      <c r="CS261" s="32"/>
      <c r="CT261" s="32"/>
      <c r="CU261" s="32"/>
      <c r="CV261" s="32"/>
      <c r="CW261" s="32"/>
      <c r="CX261" s="32"/>
      <c r="CY261" s="32"/>
      <c r="CZ261" s="32"/>
      <c r="DA261" s="32"/>
      <c r="DB261" s="32"/>
    </row>
    <row r="262" spans="1:106" ht="15" hidden="1" customHeight="1">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B262" s="32"/>
      <c r="AC262" s="32"/>
      <c r="AD262" s="32"/>
      <c r="AE262" s="32"/>
      <c r="AF262" s="32"/>
      <c r="AG262" s="32"/>
      <c r="AH262" s="32"/>
      <c r="AI262" s="32"/>
      <c r="AJ262" s="32"/>
      <c r="AK262" s="32"/>
      <c r="AL262" s="32"/>
      <c r="AM262" s="32"/>
      <c r="AN262" s="32"/>
      <c r="AO262" s="32"/>
      <c r="AP262" s="32"/>
      <c r="AQ262" s="32"/>
      <c r="AR262" s="32"/>
      <c r="AS262" s="32"/>
      <c r="AT262" s="32"/>
      <c r="AU262" s="32"/>
      <c r="AV262" s="32"/>
      <c r="AW262" s="32"/>
      <c r="AX262" s="32"/>
      <c r="AY262" s="32"/>
      <c r="AZ262" s="32"/>
      <c r="BA262" s="32"/>
      <c r="BB262" s="32"/>
      <c r="BC262" s="32"/>
      <c r="BD262" s="32"/>
      <c r="BE262" s="32"/>
      <c r="BF262" s="2"/>
      <c r="BG262" s="2"/>
      <c r="BH262" s="2"/>
      <c r="BI262" s="2"/>
      <c r="BJ262" s="2"/>
      <c r="BK262" s="32"/>
      <c r="BL262" s="2"/>
      <c r="BM262" s="32"/>
      <c r="BN262" s="32"/>
      <c r="BO262" s="32"/>
      <c r="BP262" s="2"/>
      <c r="BQ262" s="2"/>
      <c r="BR262" s="2"/>
      <c r="BS262" s="86"/>
      <c r="BT262" s="32"/>
      <c r="BU262" s="33"/>
      <c r="BV262" s="33"/>
      <c r="BW262" s="32"/>
      <c r="BX262" s="32"/>
      <c r="BY262" s="32"/>
      <c r="BZ262" s="32"/>
      <c r="CA262" s="33"/>
      <c r="CB262" s="32"/>
      <c r="CC262" s="32"/>
      <c r="CD262" s="31"/>
      <c r="CE262" s="31"/>
      <c r="CF262" s="48"/>
      <c r="CG262" s="31"/>
      <c r="CH262" s="31"/>
      <c r="CI262" s="32"/>
      <c r="CJ262" s="32"/>
      <c r="CK262" s="32"/>
      <c r="CL262" s="32"/>
      <c r="CM262" s="32"/>
      <c r="CN262" s="32"/>
      <c r="CO262" s="32"/>
      <c r="CP262" s="32"/>
      <c r="CQ262" s="32"/>
      <c r="CR262" s="32"/>
      <c r="CS262" s="32"/>
      <c r="CT262" s="32"/>
      <c r="CU262" s="32"/>
      <c r="CV262" s="32"/>
      <c r="CW262" s="32"/>
      <c r="CX262" s="32"/>
      <c r="CY262" s="32"/>
      <c r="CZ262" s="32"/>
      <c r="DA262" s="32"/>
      <c r="DB262" s="32"/>
    </row>
    <row r="263" spans="1:106" ht="15" hidden="1" customHeight="1">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c r="AA263" s="32"/>
      <c r="AB263" s="32"/>
      <c r="AC263" s="32"/>
      <c r="AD263" s="32"/>
      <c r="AE263" s="32"/>
      <c r="AF263" s="32"/>
      <c r="AG263" s="32"/>
      <c r="AH263" s="32"/>
      <c r="AI263" s="32"/>
      <c r="AJ263" s="32"/>
      <c r="AK263" s="32"/>
      <c r="AL263" s="32"/>
      <c r="AM263" s="32"/>
      <c r="AN263" s="32"/>
      <c r="AO263" s="32"/>
      <c r="AP263" s="32"/>
      <c r="AQ263" s="32"/>
      <c r="AR263" s="32"/>
      <c r="AS263" s="32"/>
      <c r="AT263" s="32"/>
      <c r="AU263" s="32"/>
      <c r="AV263" s="32"/>
      <c r="AW263" s="32"/>
      <c r="AX263" s="32"/>
      <c r="AY263" s="32"/>
      <c r="AZ263" s="32"/>
      <c r="BA263" s="32"/>
      <c r="BB263" s="32"/>
      <c r="BC263" s="32"/>
      <c r="BD263" s="32"/>
      <c r="BE263" s="32"/>
      <c r="BF263" s="2"/>
      <c r="BG263" s="2"/>
      <c r="BH263" s="2"/>
      <c r="BI263" s="2"/>
      <c r="BJ263" s="2"/>
      <c r="BK263" s="32"/>
      <c r="BL263" s="2"/>
      <c r="BM263" s="32"/>
      <c r="BN263" s="32"/>
      <c r="BO263" s="32"/>
      <c r="BP263" s="2"/>
      <c r="BQ263" s="2"/>
      <c r="BR263" s="2"/>
      <c r="BS263" s="86"/>
      <c r="BT263" s="32"/>
      <c r="BU263" s="33"/>
      <c r="BV263" s="33"/>
      <c r="BW263" s="32"/>
      <c r="BX263" s="32"/>
      <c r="BY263" s="32"/>
      <c r="BZ263" s="32"/>
      <c r="CA263" s="33"/>
      <c r="CB263" s="32"/>
      <c r="CC263" s="32"/>
      <c r="CD263" s="31"/>
      <c r="CE263" s="31"/>
      <c r="CF263" s="48"/>
      <c r="CG263" s="31"/>
      <c r="CH263" s="31"/>
      <c r="CI263" s="32"/>
      <c r="CJ263" s="32"/>
      <c r="CK263" s="32"/>
      <c r="CL263" s="32"/>
      <c r="CM263" s="32"/>
      <c r="CN263" s="32"/>
      <c r="CO263" s="32"/>
      <c r="CP263" s="32"/>
      <c r="CQ263" s="32"/>
      <c r="CR263" s="32"/>
      <c r="CS263" s="32"/>
      <c r="CT263" s="32"/>
      <c r="CU263" s="32"/>
      <c r="CV263" s="32"/>
      <c r="CW263" s="32"/>
      <c r="CX263" s="32"/>
      <c r="CY263" s="32"/>
      <c r="CZ263" s="32"/>
      <c r="DA263" s="32"/>
      <c r="DB263" s="32"/>
    </row>
    <row r="264" spans="1:106" ht="15" hidden="1" customHeight="1">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c r="AA264" s="32"/>
      <c r="AB264" s="32"/>
      <c r="AC264" s="32"/>
      <c r="AD264" s="32"/>
      <c r="AE264" s="32"/>
      <c r="AF264" s="32"/>
      <c r="AG264" s="32"/>
      <c r="AH264" s="32"/>
      <c r="AI264" s="32"/>
      <c r="AJ264" s="32"/>
      <c r="AK264" s="32"/>
      <c r="AL264" s="32"/>
      <c r="AM264" s="32"/>
      <c r="AN264" s="32"/>
      <c r="AO264" s="32"/>
      <c r="AP264" s="32"/>
      <c r="AQ264" s="32"/>
      <c r="AR264" s="32"/>
      <c r="AS264" s="32"/>
      <c r="AT264" s="32"/>
      <c r="AU264" s="32"/>
      <c r="AV264" s="32"/>
      <c r="AW264" s="32"/>
      <c r="AX264" s="32"/>
      <c r="AY264" s="32"/>
      <c r="AZ264" s="32"/>
      <c r="BA264" s="32"/>
      <c r="BB264" s="32"/>
      <c r="BC264" s="32"/>
      <c r="BD264" s="32"/>
      <c r="BE264" s="32"/>
      <c r="BF264" s="2"/>
      <c r="BG264" s="2"/>
      <c r="BH264" s="2"/>
      <c r="BI264" s="2"/>
      <c r="BJ264" s="2"/>
      <c r="BK264" s="32"/>
      <c r="BL264" s="2"/>
      <c r="BM264" s="32"/>
      <c r="BN264" s="32"/>
      <c r="BO264" s="32"/>
      <c r="BP264" s="2"/>
      <c r="BQ264" s="2"/>
      <c r="BR264" s="2"/>
      <c r="BS264" s="86"/>
      <c r="BT264" s="32"/>
      <c r="BU264" s="33"/>
      <c r="BV264" s="33"/>
      <c r="BW264" s="32"/>
      <c r="BX264" s="32"/>
      <c r="BY264" s="32"/>
      <c r="BZ264" s="32"/>
      <c r="CA264" s="33"/>
      <c r="CB264" s="32"/>
      <c r="CC264" s="32"/>
      <c r="CD264" s="31"/>
      <c r="CE264" s="31"/>
      <c r="CF264" s="48"/>
      <c r="CG264" s="31"/>
      <c r="CH264" s="31"/>
      <c r="CI264" s="32"/>
      <c r="CJ264" s="32"/>
      <c r="CK264" s="32"/>
      <c r="CL264" s="32"/>
      <c r="CM264" s="32"/>
      <c r="CN264" s="32"/>
      <c r="CO264" s="32"/>
      <c r="CP264" s="32"/>
      <c r="CQ264" s="32"/>
      <c r="CR264" s="32"/>
      <c r="CS264" s="32"/>
      <c r="CT264" s="32"/>
      <c r="CU264" s="32"/>
      <c r="CV264" s="32"/>
      <c r="CW264" s="32"/>
      <c r="CX264" s="32"/>
      <c r="CY264" s="32"/>
      <c r="CZ264" s="32"/>
      <c r="DA264" s="32"/>
      <c r="DB264" s="32"/>
    </row>
    <row r="265" spans="1:106" ht="15" hidden="1" customHeight="1">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c r="AE265" s="32"/>
      <c r="AF265" s="32"/>
      <c r="AG265" s="32"/>
      <c r="AH265" s="32"/>
      <c r="AI265" s="32"/>
      <c r="AJ265" s="32"/>
      <c r="AK265" s="32"/>
      <c r="AL265" s="32"/>
      <c r="AM265" s="32"/>
      <c r="AN265" s="32"/>
      <c r="AO265" s="32"/>
      <c r="AP265" s="32"/>
      <c r="AQ265" s="32"/>
      <c r="AR265" s="32"/>
      <c r="AS265" s="32"/>
      <c r="AT265" s="32"/>
      <c r="AU265" s="32"/>
      <c r="AV265" s="32"/>
      <c r="AW265" s="32"/>
      <c r="AX265" s="32"/>
      <c r="AY265" s="32"/>
      <c r="AZ265" s="32"/>
      <c r="BA265" s="32"/>
      <c r="BB265" s="32"/>
      <c r="BC265" s="32"/>
      <c r="BD265" s="32"/>
      <c r="BE265" s="32"/>
      <c r="BF265" s="2"/>
      <c r="BG265" s="2"/>
      <c r="BH265" s="2"/>
      <c r="BI265" s="2"/>
      <c r="BJ265" s="2"/>
      <c r="BK265" s="32"/>
      <c r="BL265" s="2"/>
      <c r="BM265" s="32"/>
      <c r="BN265" s="32"/>
      <c r="BO265" s="32"/>
      <c r="BP265" s="2"/>
      <c r="BQ265" s="2"/>
      <c r="BR265" s="2"/>
      <c r="BS265" s="86"/>
      <c r="BT265" s="32"/>
      <c r="BU265" s="33"/>
      <c r="BV265" s="33"/>
      <c r="BW265" s="32"/>
      <c r="BX265" s="32"/>
      <c r="BY265" s="32"/>
      <c r="BZ265" s="32"/>
      <c r="CA265" s="33"/>
      <c r="CB265" s="32"/>
      <c r="CC265" s="32"/>
      <c r="CD265" s="31"/>
      <c r="CE265" s="31"/>
      <c r="CF265" s="48"/>
      <c r="CG265" s="31"/>
      <c r="CH265" s="31"/>
      <c r="CI265" s="32"/>
      <c r="CJ265" s="32"/>
      <c r="CK265" s="32"/>
      <c r="CL265" s="32"/>
      <c r="CM265" s="32"/>
      <c r="CN265" s="32"/>
      <c r="CO265" s="32"/>
      <c r="CP265" s="32"/>
      <c r="CQ265" s="32"/>
      <c r="CR265" s="32"/>
      <c r="CS265" s="32"/>
      <c r="CT265" s="32"/>
      <c r="CU265" s="32"/>
      <c r="CV265" s="32"/>
      <c r="CW265" s="32"/>
      <c r="CX265" s="32"/>
      <c r="CY265" s="32"/>
      <c r="CZ265" s="32"/>
      <c r="DA265" s="32"/>
      <c r="DB265" s="32"/>
    </row>
    <row r="266" spans="1:106" ht="15" hidden="1" customHeight="1">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c r="AE266" s="32"/>
      <c r="AF266" s="32"/>
      <c r="AG266" s="32"/>
      <c r="AH266" s="32"/>
      <c r="AI266" s="32"/>
      <c r="AJ266" s="32"/>
      <c r="AK266" s="32"/>
      <c r="AL266" s="32"/>
      <c r="AM266" s="32"/>
      <c r="AN266" s="32"/>
      <c r="AO266" s="32"/>
      <c r="AP266" s="32"/>
      <c r="AQ266" s="32"/>
      <c r="AR266" s="32"/>
      <c r="AS266" s="32"/>
      <c r="AT266" s="32"/>
      <c r="AU266" s="32"/>
      <c r="AV266" s="32"/>
      <c r="AW266" s="32"/>
      <c r="AX266" s="32"/>
      <c r="AY266" s="32"/>
      <c r="AZ266" s="32"/>
      <c r="BA266" s="32"/>
      <c r="BB266" s="32"/>
      <c r="BC266" s="32"/>
      <c r="BD266" s="32"/>
      <c r="BE266" s="32"/>
      <c r="BF266" s="2"/>
      <c r="BG266" s="2"/>
      <c r="BH266" s="2"/>
      <c r="BI266" s="2"/>
      <c r="BJ266" s="2"/>
      <c r="BK266" s="32"/>
      <c r="BL266" s="2"/>
      <c r="BM266" s="32"/>
      <c r="BN266" s="32"/>
      <c r="BO266" s="32"/>
      <c r="BP266" s="2"/>
      <c r="BQ266" s="2"/>
      <c r="BR266" s="2"/>
      <c r="BS266" s="86"/>
      <c r="BT266" s="32"/>
      <c r="BU266" s="33"/>
      <c r="BV266" s="33"/>
      <c r="BW266" s="32"/>
      <c r="BX266" s="32"/>
      <c r="BY266" s="32"/>
      <c r="BZ266" s="32"/>
      <c r="CA266" s="33"/>
      <c r="CB266" s="32"/>
      <c r="CC266" s="32"/>
      <c r="CD266" s="31"/>
      <c r="CE266" s="31"/>
      <c r="CF266" s="48"/>
      <c r="CG266" s="31"/>
      <c r="CH266" s="31"/>
      <c r="CI266" s="32"/>
      <c r="CJ266" s="32"/>
      <c r="CK266" s="32"/>
      <c r="CL266" s="32"/>
      <c r="CM266" s="32"/>
      <c r="CN266" s="32"/>
      <c r="CO266" s="32"/>
      <c r="CP266" s="32"/>
      <c r="CQ266" s="32"/>
      <c r="CR266" s="32"/>
      <c r="CS266" s="32"/>
      <c r="CT266" s="32"/>
      <c r="CU266" s="32"/>
      <c r="CV266" s="32"/>
      <c r="CW266" s="32"/>
      <c r="CX266" s="32"/>
      <c r="CY266" s="32"/>
      <c r="CZ266" s="32"/>
      <c r="DA266" s="32"/>
      <c r="DB266" s="32"/>
    </row>
    <row r="267" spans="1:106" ht="15" hidden="1" customHeight="1">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c r="AE267" s="32"/>
      <c r="AF267" s="32"/>
      <c r="AG267" s="32"/>
      <c r="AH267" s="32"/>
      <c r="AI267" s="32"/>
      <c r="AJ267" s="32"/>
      <c r="AK267" s="32"/>
      <c r="AL267" s="32"/>
      <c r="AM267" s="32"/>
      <c r="AN267" s="32"/>
      <c r="AO267" s="32"/>
      <c r="AP267" s="32"/>
      <c r="AQ267" s="32"/>
      <c r="AR267" s="32"/>
      <c r="AS267" s="32"/>
      <c r="AT267" s="32"/>
      <c r="AU267" s="32"/>
      <c r="AV267" s="32"/>
      <c r="AW267" s="32"/>
      <c r="AX267" s="32"/>
      <c r="AY267" s="32"/>
      <c r="AZ267" s="32"/>
      <c r="BA267" s="32"/>
      <c r="BB267" s="32"/>
      <c r="BC267" s="32"/>
      <c r="BD267" s="32"/>
      <c r="BE267" s="32"/>
      <c r="BF267" s="2"/>
      <c r="BG267" s="2"/>
      <c r="BH267" s="2"/>
      <c r="BI267" s="2"/>
      <c r="BJ267" s="2"/>
      <c r="BK267" s="32"/>
      <c r="BL267" s="2"/>
      <c r="BM267" s="32"/>
      <c r="BN267" s="32"/>
      <c r="BO267" s="32"/>
      <c r="BP267" s="2"/>
      <c r="BQ267" s="2"/>
      <c r="BR267" s="2"/>
      <c r="BS267" s="86"/>
      <c r="BT267" s="32"/>
      <c r="BU267" s="33"/>
      <c r="BV267" s="33"/>
      <c r="BW267" s="32"/>
      <c r="BX267" s="32"/>
      <c r="BY267" s="32"/>
      <c r="BZ267" s="32"/>
      <c r="CA267" s="47"/>
      <c r="CB267" s="31"/>
      <c r="CC267" s="31"/>
      <c r="CD267" s="31"/>
      <c r="CE267" s="31"/>
      <c r="CF267" s="48"/>
      <c r="CG267" s="31"/>
      <c r="CH267" s="31"/>
      <c r="CI267" s="32"/>
      <c r="CJ267" s="32"/>
      <c r="CK267" s="32"/>
      <c r="CL267" s="32"/>
      <c r="CM267" s="32"/>
      <c r="CN267" s="32"/>
      <c r="CO267" s="32"/>
      <c r="CP267" s="32"/>
      <c r="CQ267" s="32"/>
      <c r="CR267" s="32"/>
      <c r="CS267" s="32"/>
      <c r="CT267" s="32"/>
      <c r="CU267" s="32"/>
      <c r="CV267" s="32"/>
      <c r="CW267" s="32"/>
      <c r="CX267" s="32"/>
      <c r="CY267" s="32"/>
      <c r="CZ267" s="32"/>
      <c r="DA267" s="32"/>
      <c r="DB267" s="32"/>
    </row>
    <row r="268" spans="1:106" ht="15" hidden="1" customHeight="1">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c r="AE268" s="32"/>
      <c r="AF268" s="32"/>
      <c r="AG268" s="32"/>
      <c r="AH268" s="32"/>
      <c r="AI268" s="32"/>
      <c r="AJ268" s="32"/>
      <c r="AK268" s="32"/>
      <c r="AL268" s="32"/>
      <c r="AM268" s="32"/>
      <c r="AN268" s="32"/>
      <c r="AO268" s="32"/>
      <c r="AP268" s="32"/>
      <c r="AQ268" s="32"/>
      <c r="AR268" s="32"/>
      <c r="AS268" s="32"/>
      <c r="AT268" s="32"/>
      <c r="AU268" s="32"/>
      <c r="AV268" s="32"/>
      <c r="AW268" s="32"/>
      <c r="AX268" s="32"/>
      <c r="AY268" s="32"/>
      <c r="AZ268" s="32"/>
      <c r="BA268" s="32"/>
      <c r="BB268" s="32"/>
      <c r="BC268" s="32"/>
      <c r="BD268" s="32"/>
      <c r="BE268" s="32"/>
      <c r="BF268" s="2"/>
      <c r="BG268" s="2"/>
      <c r="BH268" s="2"/>
      <c r="BI268" s="2"/>
      <c r="BJ268" s="2"/>
      <c r="BK268" s="32"/>
      <c r="BL268" s="2"/>
      <c r="BM268" s="32"/>
      <c r="BN268" s="32"/>
      <c r="BO268" s="32"/>
      <c r="BP268" s="2"/>
      <c r="BQ268" s="2"/>
      <c r="BR268" s="2"/>
      <c r="BS268" s="86"/>
      <c r="BT268" s="32"/>
      <c r="BU268" s="33"/>
      <c r="BV268" s="33"/>
      <c r="BW268" s="32"/>
      <c r="BX268" s="32"/>
      <c r="BY268" s="32"/>
      <c r="BZ268" s="32"/>
      <c r="CA268" s="47"/>
      <c r="CB268" s="31"/>
      <c r="CC268" s="31"/>
      <c r="CD268" s="31"/>
      <c r="CE268" s="31"/>
      <c r="CF268" s="48"/>
      <c r="CG268" s="31"/>
      <c r="CH268" s="31"/>
      <c r="CI268" s="32"/>
      <c r="CJ268" s="32"/>
      <c r="CK268" s="32"/>
      <c r="CL268" s="32"/>
      <c r="CM268" s="32"/>
      <c r="CN268" s="32"/>
      <c r="CO268" s="32"/>
      <c r="CP268" s="32"/>
      <c r="CQ268" s="32"/>
      <c r="CR268" s="32"/>
      <c r="CS268" s="32"/>
      <c r="CT268" s="32"/>
      <c r="CU268" s="32"/>
      <c r="CV268" s="32"/>
      <c r="CW268" s="32"/>
      <c r="CX268" s="32"/>
      <c r="CY268" s="32"/>
      <c r="CZ268" s="32"/>
      <c r="DA268" s="32"/>
      <c r="DB268" s="32"/>
    </row>
    <row r="269" spans="1:106" ht="15" hidden="1" customHeight="1">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c r="AE269" s="32"/>
      <c r="AF269" s="32"/>
      <c r="AG269" s="32"/>
      <c r="AH269" s="32"/>
      <c r="AI269" s="32"/>
      <c r="AJ269" s="32"/>
      <c r="AK269" s="32"/>
      <c r="AL269" s="32"/>
      <c r="AM269" s="32"/>
      <c r="AN269" s="32"/>
      <c r="AO269" s="32"/>
      <c r="AP269" s="32"/>
      <c r="AQ269" s="32"/>
      <c r="AR269" s="32"/>
      <c r="AS269" s="32"/>
      <c r="AT269" s="32"/>
      <c r="AU269" s="32"/>
      <c r="AV269" s="32"/>
      <c r="AW269" s="32"/>
      <c r="AX269" s="32"/>
      <c r="AY269" s="32"/>
      <c r="AZ269" s="32"/>
      <c r="BA269" s="32"/>
      <c r="BB269" s="32"/>
      <c r="BC269" s="32"/>
      <c r="BD269" s="32"/>
      <c r="BE269" s="32"/>
      <c r="BF269" s="2"/>
      <c r="BG269" s="2"/>
      <c r="BH269" s="2"/>
      <c r="BI269" s="2"/>
      <c r="BJ269" s="2"/>
      <c r="BK269" s="32"/>
      <c r="BL269" s="2"/>
      <c r="BM269" s="32"/>
      <c r="BN269" s="32"/>
      <c r="BO269" s="32"/>
      <c r="BP269" s="2"/>
      <c r="BQ269" s="2"/>
      <c r="BR269" s="2"/>
      <c r="BS269" s="86"/>
      <c r="BT269" s="32"/>
      <c r="BU269" s="33"/>
      <c r="BV269" s="33"/>
      <c r="BW269" s="32"/>
      <c r="BX269" s="32"/>
      <c r="BY269" s="32"/>
      <c r="BZ269" s="32"/>
      <c r="CA269" s="47"/>
      <c r="CB269" s="31"/>
      <c r="CC269" s="31"/>
      <c r="CD269" s="31"/>
      <c r="CE269" s="31"/>
      <c r="CF269" s="48"/>
      <c r="CG269" s="31"/>
      <c r="CH269" s="31"/>
      <c r="CI269" s="32"/>
      <c r="CJ269" s="32"/>
      <c r="CK269" s="32"/>
      <c r="CL269" s="32"/>
      <c r="CM269" s="32"/>
      <c r="CN269" s="32"/>
      <c r="CO269" s="32"/>
      <c r="CP269" s="32"/>
      <c r="CQ269" s="32"/>
      <c r="CR269" s="32"/>
      <c r="CS269" s="32"/>
      <c r="CT269" s="32"/>
      <c r="CU269" s="32"/>
      <c r="CV269" s="32"/>
      <c r="CW269" s="32"/>
      <c r="CX269" s="32"/>
      <c r="CY269" s="32"/>
      <c r="CZ269" s="32"/>
      <c r="DA269" s="32"/>
      <c r="DB269" s="32"/>
    </row>
    <row r="270" spans="1:106" ht="15" hidden="1" customHeight="1">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c r="AE270" s="32"/>
      <c r="AF270" s="32"/>
      <c r="AG270" s="32"/>
      <c r="AH270" s="32"/>
      <c r="AI270" s="32"/>
      <c r="AJ270" s="32"/>
      <c r="AK270" s="32"/>
      <c r="AL270" s="32"/>
      <c r="AM270" s="32"/>
      <c r="AN270" s="32"/>
      <c r="AO270" s="32"/>
      <c r="AP270" s="32"/>
      <c r="AQ270" s="32"/>
      <c r="AR270" s="32"/>
      <c r="AS270" s="32"/>
      <c r="AT270" s="32"/>
      <c r="AU270" s="32"/>
      <c r="AV270" s="32"/>
      <c r="AW270" s="32"/>
      <c r="AX270" s="32"/>
      <c r="AY270" s="32"/>
      <c r="AZ270" s="32"/>
      <c r="BA270" s="32"/>
      <c r="BB270" s="32"/>
      <c r="BC270" s="32"/>
      <c r="BD270" s="32"/>
      <c r="BE270" s="32"/>
      <c r="BF270" s="2"/>
      <c r="BG270" s="2"/>
      <c r="BH270" s="2"/>
      <c r="BI270" s="2"/>
      <c r="BJ270" s="2"/>
      <c r="BK270" s="32"/>
      <c r="BL270" s="2"/>
      <c r="BM270" s="32"/>
      <c r="BN270" s="32"/>
      <c r="BO270" s="32"/>
      <c r="BP270" s="2"/>
      <c r="BQ270" s="2"/>
      <c r="BR270" s="2"/>
      <c r="BS270" s="86"/>
      <c r="BT270" s="32"/>
      <c r="BU270" s="33"/>
      <c r="BV270" s="33"/>
      <c r="BW270" s="32"/>
      <c r="BX270" s="32"/>
      <c r="BY270" s="32"/>
      <c r="BZ270" s="99"/>
      <c r="CA270" s="31"/>
      <c r="CB270" s="31"/>
      <c r="CC270" s="31"/>
      <c r="CD270" s="31"/>
      <c r="CE270" s="31"/>
      <c r="CF270" s="48"/>
      <c r="CG270" s="31"/>
      <c r="CH270" s="31"/>
      <c r="CI270" s="32"/>
      <c r="CJ270" s="32"/>
      <c r="CK270" s="32"/>
      <c r="CL270" s="32"/>
      <c r="CM270" s="32"/>
      <c r="CN270" s="32"/>
      <c r="CO270" s="32"/>
      <c r="CP270" s="32"/>
      <c r="CQ270" s="32"/>
      <c r="CR270" s="32"/>
      <c r="CS270" s="32"/>
      <c r="CT270" s="32"/>
      <c r="CU270" s="32"/>
      <c r="CV270" s="32"/>
      <c r="CW270" s="32"/>
      <c r="CX270" s="32"/>
      <c r="CY270" s="32"/>
      <c r="CZ270" s="32"/>
      <c r="DA270" s="32"/>
      <c r="DB270" s="32"/>
    </row>
    <row r="271" spans="1:106" ht="15" hidden="1" customHeight="1">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c r="AE271" s="32"/>
      <c r="AF271" s="32"/>
      <c r="AG271" s="32"/>
      <c r="AH271" s="32"/>
      <c r="AI271" s="32"/>
      <c r="AJ271" s="32"/>
      <c r="AK271" s="32"/>
      <c r="AL271" s="32"/>
      <c r="AM271" s="32"/>
      <c r="AN271" s="32"/>
      <c r="AO271" s="32"/>
      <c r="AP271" s="32"/>
      <c r="AQ271" s="32"/>
      <c r="AR271" s="32"/>
      <c r="AS271" s="32"/>
      <c r="AT271" s="32"/>
      <c r="AU271" s="32"/>
      <c r="AV271" s="32"/>
      <c r="AW271" s="32"/>
      <c r="AX271" s="32"/>
      <c r="AY271" s="32"/>
      <c r="AZ271" s="32"/>
      <c r="BA271" s="32"/>
      <c r="BB271" s="32"/>
      <c r="BC271" s="32"/>
      <c r="BD271" s="32"/>
      <c r="BE271" s="32"/>
      <c r="BF271" s="2"/>
      <c r="BG271" s="2"/>
      <c r="BH271" s="2"/>
      <c r="BI271" s="2"/>
      <c r="BJ271" s="2"/>
      <c r="BK271" s="32"/>
      <c r="BL271" s="2"/>
      <c r="BM271" s="32"/>
      <c r="BN271" s="32"/>
      <c r="BO271" s="32"/>
      <c r="BP271" s="2"/>
      <c r="BQ271" s="2"/>
      <c r="BR271" s="2"/>
      <c r="BS271" s="86"/>
      <c r="BT271" s="32"/>
      <c r="BU271" s="33"/>
      <c r="BV271" s="33"/>
      <c r="BW271" s="32"/>
      <c r="BX271" s="32"/>
      <c r="BY271" s="32"/>
      <c r="BZ271" s="32"/>
      <c r="CA271" s="47"/>
      <c r="CB271" s="31"/>
      <c r="CC271" s="31"/>
      <c r="CD271" s="31"/>
      <c r="CE271" s="31"/>
      <c r="CF271" s="48"/>
      <c r="CG271" s="31"/>
      <c r="CH271" s="31"/>
      <c r="CI271" s="32"/>
      <c r="CJ271" s="32"/>
      <c r="CK271" s="32"/>
      <c r="CL271" s="32"/>
      <c r="CM271" s="32"/>
      <c r="CN271" s="32"/>
      <c r="CO271" s="32"/>
      <c r="CP271" s="32"/>
      <c r="CQ271" s="32"/>
      <c r="CR271" s="32"/>
      <c r="CS271" s="32"/>
      <c r="CT271" s="32"/>
      <c r="CU271" s="32"/>
      <c r="CV271" s="32"/>
      <c r="CW271" s="32"/>
      <c r="CX271" s="32"/>
      <c r="CY271" s="32"/>
      <c r="CZ271" s="32"/>
      <c r="DA271" s="32"/>
      <c r="DB271" s="32"/>
    </row>
    <row r="272" spans="1:106" ht="15" hidden="1" customHeight="1">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c r="AE272" s="32"/>
      <c r="AF272" s="32"/>
      <c r="AG272" s="32"/>
      <c r="AH272" s="32"/>
      <c r="AI272" s="32"/>
      <c r="AJ272" s="32"/>
      <c r="AK272" s="32"/>
      <c r="AL272" s="32"/>
      <c r="AM272" s="32"/>
      <c r="AN272" s="32"/>
      <c r="AO272" s="32"/>
      <c r="AP272" s="32"/>
      <c r="AQ272" s="32"/>
      <c r="AR272" s="32"/>
      <c r="AS272" s="32"/>
      <c r="AT272" s="32"/>
      <c r="AU272" s="32"/>
      <c r="AV272" s="32"/>
      <c r="AW272" s="32"/>
      <c r="AX272" s="32"/>
      <c r="AY272" s="32"/>
      <c r="AZ272" s="32"/>
      <c r="BA272" s="32"/>
      <c r="BB272" s="32"/>
      <c r="BC272" s="32"/>
      <c r="BD272" s="32"/>
      <c r="BE272" s="32"/>
      <c r="BF272" s="2"/>
      <c r="BG272" s="2"/>
      <c r="BH272" s="2"/>
      <c r="BI272" s="2"/>
      <c r="BJ272" s="2"/>
      <c r="BK272" s="32"/>
      <c r="BL272" s="2"/>
      <c r="BM272" s="32"/>
      <c r="BN272" s="32"/>
      <c r="BO272" s="32"/>
      <c r="BP272" s="2"/>
      <c r="BQ272" s="2"/>
      <c r="BR272" s="2"/>
      <c r="BS272" s="86"/>
      <c r="BT272" s="32"/>
      <c r="BU272" s="33"/>
      <c r="BV272" s="33"/>
      <c r="BW272" s="32"/>
      <c r="BX272" s="32"/>
      <c r="BY272" s="32"/>
      <c r="BZ272" s="32"/>
      <c r="CA272" s="33"/>
      <c r="CB272" s="32"/>
      <c r="CC272" s="32"/>
      <c r="CD272" s="31"/>
      <c r="CE272" s="31"/>
      <c r="CF272" s="48"/>
      <c r="CG272" s="31"/>
      <c r="CH272" s="31"/>
      <c r="CI272" s="32"/>
      <c r="CJ272" s="32"/>
      <c r="CK272" s="32"/>
      <c r="CL272" s="32"/>
      <c r="CM272" s="32"/>
      <c r="CN272" s="32"/>
      <c r="CO272" s="32"/>
      <c r="CP272" s="32"/>
      <c r="CQ272" s="32"/>
      <c r="CR272" s="32"/>
      <c r="CS272" s="32"/>
      <c r="CT272" s="32"/>
      <c r="CU272" s="32"/>
      <c r="CV272" s="32"/>
      <c r="CW272" s="32"/>
      <c r="CX272" s="32"/>
      <c r="CY272" s="32"/>
      <c r="CZ272" s="32"/>
      <c r="DA272" s="32"/>
      <c r="DB272" s="32"/>
    </row>
    <row r="273" spans="1:106" ht="15" hidden="1" customHeight="1">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c r="AE273" s="32"/>
      <c r="AF273" s="32"/>
      <c r="AG273" s="32"/>
      <c r="AH273" s="32"/>
      <c r="AI273" s="32"/>
      <c r="AJ273" s="32"/>
      <c r="AK273" s="32"/>
      <c r="AL273" s="32"/>
      <c r="AM273" s="32"/>
      <c r="AN273" s="32"/>
      <c r="AO273" s="32"/>
      <c r="AP273" s="32"/>
      <c r="AQ273" s="32"/>
      <c r="AR273" s="32"/>
      <c r="AS273" s="32"/>
      <c r="AT273" s="32"/>
      <c r="AU273" s="32"/>
      <c r="AV273" s="32"/>
      <c r="AW273" s="32"/>
      <c r="AX273" s="32"/>
      <c r="AY273" s="32"/>
      <c r="AZ273" s="32"/>
      <c r="BA273" s="32"/>
      <c r="BB273" s="32"/>
      <c r="BC273" s="32"/>
      <c r="BD273" s="32"/>
      <c r="BE273" s="32"/>
      <c r="BF273" s="2"/>
      <c r="BG273" s="2"/>
      <c r="BH273" s="2"/>
      <c r="BI273" s="2"/>
      <c r="BJ273" s="2"/>
      <c r="BK273" s="32"/>
      <c r="BL273" s="2"/>
      <c r="BM273" s="32"/>
      <c r="BN273" s="32"/>
      <c r="BO273" s="32"/>
      <c r="BP273" s="2"/>
      <c r="BQ273" s="2"/>
      <c r="BR273" s="2"/>
      <c r="BS273" s="86"/>
      <c r="BT273" s="32"/>
      <c r="BU273" s="33"/>
      <c r="BV273" s="33"/>
      <c r="BW273" s="32"/>
      <c r="BX273" s="32"/>
      <c r="BY273" s="32"/>
      <c r="BZ273" s="32"/>
      <c r="CA273" s="33"/>
      <c r="CB273" s="32"/>
      <c r="CC273" s="32"/>
      <c r="CD273" s="31"/>
      <c r="CE273" s="31"/>
      <c r="CF273" s="48"/>
      <c r="CG273" s="31"/>
      <c r="CH273" s="31"/>
      <c r="CI273" s="32"/>
      <c r="CJ273" s="32"/>
      <c r="CK273" s="32"/>
      <c r="CL273" s="32"/>
      <c r="CM273" s="32"/>
      <c r="CN273" s="32"/>
      <c r="CO273" s="32"/>
      <c r="CP273" s="32"/>
      <c r="CQ273" s="32"/>
      <c r="CR273" s="32"/>
      <c r="CS273" s="32"/>
      <c r="CT273" s="32"/>
      <c r="CU273" s="32"/>
      <c r="CV273" s="32"/>
      <c r="CW273" s="32"/>
      <c r="CX273" s="32"/>
      <c r="CY273" s="32"/>
      <c r="CZ273" s="32"/>
      <c r="DA273" s="32"/>
      <c r="DB273" s="32"/>
    </row>
    <row r="274" spans="1:106" ht="15" hidden="1" customHeight="1">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c r="AE274" s="32"/>
      <c r="AF274" s="32"/>
      <c r="AG274" s="32"/>
      <c r="AH274" s="32"/>
      <c r="AI274" s="32"/>
      <c r="AJ274" s="32"/>
      <c r="AK274" s="32"/>
      <c r="AL274" s="32"/>
      <c r="AM274" s="32"/>
      <c r="AN274" s="32"/>
      <c r="AO274" s="32"/>
      <c r="AP274" s="32"/>
      <c r="AQ274" s="32"/>
      <c r="AR274" s="32"/>
      <c r="AS274" s="32"/>
      <c r="AT274" s="32"/>
      <c r="AU274" s="32"/>
      <c r="AV274" s="32"/>
      <c r="AW274" s="32"/>
      <c r="AX274" s="32"/>
      <c r="AY274" s="32"/>
      <c r="AZ274" s="32"/>
      <c r="BA274" s="32"/>
      <c r="BB274" s="32"/>
      <c r="BC274" s="32"/>
      <c r="BD274" s="32"/>
      <c r="BE274" s="32"/>
      <c r="BF274" s="2"/>
      <c r="BG274" s="2"/>
      <c r="BH274" s="2"/>
      <c r="BI274" s="2"/>
      <c r="BJ274" s="2"/>
      <c r="BK274" s="32"/>
      <c r="BL274" s="2"/>
      <c r="BM274" s="32"/>
      <c r="BN274" s="32"/>
      <c r="BO274" s="32"/>
      <c r="BP274" s="2"/>
      <c r="BQ274" s="2"/>
      <c r="BR274" s="2"/>
      <c r="BS274" s="86"/>
      <c r="BT274" s="32"/>
      <c r="BU274" s="33"/>
      <c r="BV274" s="33"/>
      <c r="BW274" s="32"/>
      <c r="BX274" s="32"/>
      <c r="BY274" s="32"/>
      <c r="BZ274" s="32"/>
      <c r="CA274" s="33"/>
      <c r="CB274" s="32"/>
      <c r="CC274" s="32"/>
      <c r="CD274" s="31"/>
      <c r="CE274" s="31"/>
      <c r="CF274" s="48"/>
      <c r="CG274" s="31"/>
      <c r="CH274" s="31"/>
      <c r="CI274" s="32"/>
      <c r="CJ274" s="32"/>
      <c r="CK274" s="32"/>
      <c r="CL274" s="32"/>
      <c r="CM274" s="32"/>
      <c r="CN274" s="32"/>
      <c r="CO274" s="32"/>
      <c r="CP274" s="32"/>
      <c r="CQ274" s="32"/>
      <c r="CR274" s="32"/>
      <c r="CS274" s="32"/>
      <c r="CT274" s="32"/>
      <c r="CU274" s="32"/>
      <c r="CV274" s="32"/>
      <c r="CW274" s="32"/>
      <c r="CX274" s="32"/>
      <c r="CY274" s="32"/>
      <c r="CZ274" s="32"/>
      <c r="DA274" s="32"/>
      <c r="DB274" s="32"/>
    </row>
    <row r="275" spans="1:106" ht="15" hidden="1" customHeight="1">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c r="AE275" s="32"/>
      <c r="AF275" s="32"/>
      <c r="AG275" s="32"/>
      <c r="AH275" s="32"/>
      <c r="AI275" s="32"/>
      <c r="AJ275" s="32"/>
      <c r="AK275" s="32"/>
      <c r="AL275" s="32"/>
      <c r="AM275" s="32"/>
      <c r="AN275" s="32"/>
      <c r="AO275" s="32"/>
      <c r="AP275" s="32"/>
      <c r="AQ275" s="32"/>
      <c r="AR275" s="32"/>
      <c r="AS275" s="32"/>
      <c r="AT275" s="32"/>
      <c r="AU275" s="32"/>
      <c r="AV275" s="32"/>
      <c r="AW275" s="32"/>
      <c r="AX275" s="32"/>
      <c r="AY275" s="32"/>
      <c r="AZ275" s="32"/>
      <c r="BA275" s="32"/>
      <c r="BB275" s="32"/>
      <c r="BC275" s="32"/>
      <c r="BD275" s="32"/>
      <c r="BE275" s="32"/>
      <c r="BF275" s="2"/>
      <c r="BG275" s="2"/>
      <c r="BH275" s="2"/>
      <c r="BI275" s="2"/>
      <c r="BJ275" s="2"/>
      <c r="BK275" s="32"/>
      <c r="BL275" s="2"/>
      <c r="BM275" s="32"/>
      <c r="BN275" s="32"/>
      <c r="BO275" s="32"/>
      <c r="BP275" s="2"/>
      <c r="BQ275" s="2"/>
      <c r="BR275" s="2"/>
      <c r="BS275" s="86"/>
      <c r="BT275" s="32"/>
      <c r="BU275" s="33"/>
      <c r="BV275" s="33"/>
      <c r="BW275" s="32"/>
      <c r="BX275" s="32"/>
      <c r="BY275" s="32"/>
      <c r="BZ275" s="32"/>
      <c r="CA275" s="33"/>
      <c r="CB275" s="32"/>
      <c r="CC275" s="32"/>
      <c r="CD275" s="31"/>
      <c r="CE275" s="31"/>
      <c r="CF275" s="48"/>
      <c r="CG275" s="31"/>
      <c r="CH275" s="31"/>
      <c r="CI275" s="32"/>
      <c r="CJ275" s="32"/>
      <c r="CK275" s="32"/>
      <c r="CL275" s="32"/>
      <c r="CM275" s="32"/>
      <c r="CN275" s="32"/>
      <c r="CO275" s="32"/>
      <c r="CP275" s="32"/>
      <c r="CQ275" s="32"/>
      <c r="CR275" s="32"/>
      <c r="CS275" s="32"/>
      <c r="CT275" s="32"/>
      <c r="CU275" s="32"/>
      <c r="CV275" s="32"/>
      <c r="CW275" s="32"/>
      <c r="CX275" s="32"/>
      <c r="CY275" s="32"/>
      <c r="CZ275" s="32"/>
      <c r="DA275" s="32"/>
      <c r="DB275" s="32"/>
    </row>
    <row r="276" spans="1:106" ht="15" hidden="1" customHeight="1">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c r="AE276" s="32"/>
      <c r="AF276" s="32"/>
      <c r="AG276" s="32"/>
      <c r="AH276" s="32"/>
      <c r="AI276" s="32"/>
      <c r="AJ276" s="32"/>
      <c r="AK276" s="32"/>
      <c r="AL276" s="32"/>
      <c r="AM276" s="32"/>
      <c r="AN276" s="32"/>
      <c r="AO276" s="32"/>
      <c r="AP276" s="32"/>
      <c r="AQ276" s="32"/>
      <c r="AR276" s="32"/>
      <c r="AS276" s="32"/>
      <c r="AT276" s="32"/>
      <c r="AU276" s="32"/>
      <c r="AV276" s="32"/>
      <c r="AW276" s="32"/>
      <c r="AX276" s="32"/>
      <c r="AY276" s="32"/>
      <c r="AZ276" s="32"/>
      <c r="BA276" s="32"/>
      <c r="BB276" s="32"/>
      <c r="BC276" s="32"/>
      <c r="BD276" s="32"/>
      <c r="BE276" s="32"/>
      <c r="BF276" s="2"/>
      <c r="BG276" s="2"/>
      <c r="BH276" s="2"/>
      <c r="BI276" s="2"/>
      <c r="BJ276" s="2"/>
      <c r="BK276" s="32"/>
      <c r="BL276" s="2"/>
      <c r="BM276" s="32"/>
      <c r="BN276" s="32"/>
      <c r="BO276" s="32"/>
      <c r="BP276" s="2"/>
      <c r="BQ276" s="2"/>
      <c r="BR276" s="2"/>
      <c r="BS276" s="86"/>
      <c r="BT276" s="32"/>
      <c r="BU276" s="33"/>
      <c r="BV276" s="33"/>
      <c r="BW276" s="32"/>
      <c r="BX276" s="32"/>
      <c r="BY276" s="32"/>
      <c r="BZ276" s="32"/>
      <c r="CA276" s="33"/>
      <c r="CB276" s="32"/>
      <c r="CC276" s="32"/>
      <c r="CD276" s="31"/>
      <c r="CE276" s="31"/>
      <c r="CF276" s="48"/>
      <c r="CG276" s="31"/>
      <c r="CH276" s="31"/>
      <c r="CI276" s="32"/>
      <c r="CJ276" s="32"/>
      <c r="CK276" s="32"/>
      <c r="CL276" s="32"/>
      <c r="CM276" s="32"/>
      <c r="CN276" s="32"/>
      <c r="CO276" s="32"/>
      <c r="CP276" s="32"/>
      <c r="CQ276" s="32"/>
      <c r="CR276" s="32"/>
      <c r="CS276" s="32"/>
      <c r="CT276" s="32"/>
      <c r="CU276" s="32"/>
      <c r="CV276" s="32"/>
      <c r="CW276" s="32"/>
      <c r="CX276" s="32"/>
      <c r="CY276" s="32"/>
      <c r="CZ276" s="32"/>
      <c r="DA276" s="32"/>
      <c r="DB276" s="32"/>
    </row>
    <row r="277" spans="1:106" ht="15" hidden="1" customHeight="1">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c r="AE277" s="32"/>
      <c r="AF277" s="32"/>
      <c r="AG277" s="32"/>
      <c r="AH277" s="32"/>
      <c r="AI277" s="32"/>
      <c r="AJ277" s="32"/>
      <c r="AK277" s="32"/>
      <c r="AL277" s="32"/>
      <c r="AM277" s="32"/>
      <c r="AN277" s="32"/>
      <c r="AO277" s="32"/>
      <c r="AP277" s="32"/>
      <c r="AQ277" s="32"/>
      <c r="AR277" s="32"/>
      <c r="AS277" s="32"/>
      <c r="AT277" s="32"/>
      <c r="AU277" s="32"/>
      <c r="AV277" s="32"/>
      <c r="AW277" s="32"/>
      <c r="AX277" s="32"/>
      <c r="AY277" s="32"/>
      <c r="AZ277" s="32"/>
      <c r="BA277" s="32"/>
      <c r="BB277" s="32"/>
      <c r="BC277" s="32"/>
      <c r="BD277" s="32"/>
      <c r="BE277" s="32"/>
      <c r="BF277" s="2"/>
      <c r="BG277" s="2"/>
      <c r="BH277" s="2"/>
      <c r="BI277" s="2"/>
      <c r="BJ277" s="2"/>
      <c r="BK277" s="32"/>
      <c r="BL277" s="2"/>
      <c r="BM277" s="32"/>
      <c r="BN277" s="32"/>
      <c r="BO277" s="32"/>
      <c r="BP277" s="2"/>
      <c r="BQ277" s="2"/>
      <c r="BR277" s="2"/>
      <c r="BS277" s="86"/>
      <c r="BT277" s="32"/>
      <c r="BU277" s="33"/>
      <c r="BV277" s="33"/>
      <c r="BW277" s="32"/>
      <c r="BX277" s="32"/>
      <c r="BY277" s="32"/>
      <c r="BZ277" s="32"/>
      <c r="CA277" s="47"/>
      <c r="CB277" s="31"/>
      <c r="CC277" s="31"/>
      <c r="CD277" s="31"/>
      <c r="CE277" s="31"/>
      <c r="CF277" s="48"/>
      <c r="CG277" s="31"/>
      <c r="CH277" s="31"/>
      <c r="CI277" s="32"/>
      <c r="CJ277" s="32"/>
      <c r="CK277" s="32"/>
      <c r="CL277" s="32"/>
      <c r="CM277" s="32"/>
      <c r="CN277" s="32"/>
      <c r="CO277" s="32"/>
      <c r="CP277" s="32"/>
      <c r="CQ277" s="32"/>
      <c r="CR277" s="32"/>
      <c r="CS277" s="32"/>
      <c r="CT277" s="32"/>
      <c r="CU277" s="32"/>
      <c r="CV277" s="32"/>
      <c r="CW277" s="32"/>
      <c r="CX277" s="32"/>
      <c r="CY277" s="32"/>
      <c r="CZ277" s="32"/>
      <c r="DA277" s="32"/>
      <c r="DB277" s="32"/>
    </row>
    <row r="278" spans="1:106" ht="15" hidden="1" customHeight="1">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c r="AE278" s="32"/>
      <c r="AF278" s="32"/>
      <c r="AG278" s="32"/>
      <c r="AH278" s="32"/>
      <c r="AI278" s="32"/>
      <c r="AJ278" s="32"/>
      <c r="AK278" s="32"/>
      <c r="AL278" s="32"/>
      <c r="AM278" s="32"/>
      <c r="AN278" s="32"/>
      <c r="AO278" s="32"/>
      <c r="AP278" s="32"/>
      <c r="AQ278" s="32"/>
      <c r="AR278" s="32"/>
      <c r="AS278" s="32"/>
      <c r="AT278" s="32"/>
      <c r="AU278" s="32"/>
      <c r="AV278" s="32"/>
      <c r="AW278" s="32"/>
      <c r="AX278" s="32"/>
      <c r="AY278" s="32"/>
      <c r="AZ278" s="32"/>
      <c r="BA278" s="32"/>
      <c r="BB278" s="32"/>
      <c r="BC278" s="32"/>
      <c r="BD278" s="32"/>
      <c r="BE278" s="32"/>
      <c r="BF278" s="2"/>
      <c r="BG278" s="2"/>
      <c r="BH278" s="2"/>
      <c r="BI278" s="2"/>
      <c r="BJ278" s="2"/>
      <c r="BK278" s="32"/>
      <c r="BL278" s="2"/>
      <c r="BM278" s="32"/>
      <c r="BN278" s="32"/>
      <c r="BO278" s="32"/>
      <c r="BP278" s="2"/>
      <c r="BQ278" s="2"/>
      <c r="BR278" s="2"/>
      <c r="BS278" s="86"/>
      <c r="BT278" s="32"/>
      <c r="BU278" s="33"/>
      <c r="BV278" s="33"/>
      <c r="BW278" s="32"/>
      <c r="BX278" s="32"/>
      <c r="BY278" s="32"/>
      <c r="BZ278" s="32"/>
      <c r="CA278" s="47"/>
      <c r="CB278" s="31"/>
      <c r="CC278" s="31"/>
      <c r="CD278" s="31"/>
      <c r="CE278" s="31"/>
      <c r="CF278" s="48"/>
      <c r="CG278" s="31"/>
      <c r="CH278" s="31"/>
      <c r="CI278" s="32"/>
      <c r="CJ278" s="32"/>
      <c r="CK278" s="32"/>
      <c r="CL278" s="32"/>
      <c r="CM278" s="32"/>
      <c r="CN278" s="32"/>
      <c r="CO278" s="32"/>
      <c r="CP278" s="32"/>
      <c r="CQ278" s="32"/>
      <c r="CR278" s="32"/>
      <c r="CS278" s="32"/>
      <c r="CT278" s="32"/>
      <c r="CU278" s="32"/>
      <c r="CV278" s="32"/>
      <c r="CW278" s="32"/>
      <c r="CX278" s="32"/>
      <c r="CY278" s="32"/>
      <c r="CZ278" s="32"/>
      <c r="DA278" s="32"/>
      <c r="DB278" s="32"/>
    </row>
    <row r="279" spans="1:106" ht="15" hidden="1" customHeight="1">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c r="AE279" s="32"/>
      <c r="AF279" s="32"/>
      <c r="AG279" s="32"/>
      <c r="AH279" s="32"/>
      <c r="AI279" s="32"/>
      <c r="AJ279" s="32"/>
      <c r="AK279" s="32"/>
      <c r="AL279" s="32"/>
      <c r="AM279" s="32"/>
      <c r="AN279" s="32"/>
      <c r="AO279" s="32"/>
      <c r="AP279" s="32"/>
      <c r="AQ279" s="32"/>
      <c r="AR279" s="32"/>
      <c r="AS279" s="32"/>
      <c r="AT279" s="32"/>
      <c r="AU279" s="32"/>
      <c r="AV279" s="32"/>
      <c r="AW279" s="32"/>
      <c r="AX279" s="32"/>
      <c r="AY279" s="32"/>
      <c r="AZ279" s="32"/>
      <c r="BA279" s="32"/>
      <c r="BB279" s="32"/>
      <c r="BC279" s="32"/>
      <c r="BD279" s="32"/>
      <c r="BE279" s="32"/>
      <c r="BF279" s="2"/>
      <c r="BG279" s="2"/>
      <c r="BH279" s="2"/>
      <c r="BI279" s="2"/>
      <c r="BJ279" s="2"/>
      <c r="BK279" s="32"/>
      <c r="BL279" s="2"/>
      <c r="BM279" s="32"/>
      <c r="BN279" s="32"/>
      <c r="BO279" s="32"/>
      <c r="BP279" s="2"/>
      <c r="BQ279" s="2"/>
      <c r="BR279" s="2"/>
      <c r="BS279" s="86"/>
      <c r="BT279" s="32"/>
      <c r="BU279" s="33"/>
      <c r="BV279" s="33"/>
      <c r="BW279" s="32"/>
      <c r="BX279" s="32"/>
      <c r="BY279" s="32"/>
      <c r="BZ279" s="32"/>
      <c r="CA279" s="47"/>
      <c r="CB279" s="31"/>
      <c r="CC279" s="31"/>
      <c r="CD279" s="31"/>
      <c r="CE279" s="31"/>
      <c r="CF279" s="48"/>
      <c r="CG279" s="31"/>
      <c r="CH279" s="31"/>
      <c r="CI279" s="32"/>
      <c r="CJ279" s="32"/>
      <c r="CK279" s="32"/>
      <c r="CL279" s="32"/>
      <c r="CM279" s="32"/>
      <c r="CN279" s="32"/>
      <c r="CO279" s="32"/>
      <c r="CP279" s="32"/>
      <c r="CQ279" s="32"/>
      <c r="CR279" s="32"/>
      <c r="CS279" s="32"/>
      <c r="CT279" s="32"/>
      <c r="CU279" s="32"/>
      <c r="CV279" s="32"/>
      <c r="CW279" s="32"/>
      <c r="CX279" s="32"/>
      <c r="CY279" s="32"/>
      <c r="CZ279" s="32"/>
      <c r="DA279" s="32"/>
      <c r="DB279" s="32"/>
    </row>
    <row r="280" spans="1:106" ht="15" hidden="1" customHeight="1">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c r="AE280" s="32"/>
      <c r="AF280" s="32"/>
      <c r="AG280" s="32"/>
      <c r="AH280" s="32"/>
      <c r="AI280" s="32"/>
      <c r="AJ280" s="32"/>
      <c r="AK280" s="32"/>
      <c r="AL280" s="32"/>
      <c r="AM280" s="32"/>
      <c r="AN280" s="32"/>
      <c r="AO280" s="32"/>
      <c r="AP280" s="32"/>
      <c r="AQ280" s="32"/>
      <c r="AR280" s="32"/>
      <c r="AS280" s="32"/>
      <c r="AT280" s="32"/>
      <c r="AU280" s="32"/>
      <c r="AV280" s="32"/>
      <c r="AW280" s="32"/>
      <c r="AX280" s="32"/>
      <c r="AY280" s="32"/>
      <c r="AZ280" s="32"/>
      <c r="BA280" s="32"/>
      <c r="BB280" s="32"/>
      <c r="BC280" s="32"/>
      <c r="BD280" s="32"/>
      <c r="BE280" s="32"/>
      <c r="BF280" s="2"/>
      <c r="BG280" s="2"/>
      <c r="BH280" s="2"/>
      <c r="BI280" s="2"/>
      <c r="BJ280" s="2"/>
      <c r="BK280" s="32"/>
      <c r="BL280" s="2"/>
      <c r="BM280" s="32"/>
      <c r="BN280" s="32"/>
      <c r="BO280" s="32"/>
      <c r="BP280" s="2"/>
      <c r="BQ280" s="2"/>
      <c r="BR280" s="2"/>
      <c r="BS280" s="86"/>
      <c r="BT280" s="32"/>
      <c r="BU280" s="33"/>
      <c r="BV280" s="33"/>
      <c r="BW280" s="32"/>
      <c r="BX280" s="32"/>
      <c r="BY280" s="32"/>
      <c r="BZ280" s="32"/>
      <c r="CA280" s="47"/>
      <c r="CB280" s="31"/>
      <c r="CC280" s="31"/>
      <c r="CD280" s="31"/>
      <c r="CE280" s="31"/>
      <c r="CF280" s="48"/>
      <c r="CG280" s="31"/>
      <c r="CH280" s="31"/>
      <c r="CI280" s="32"/>
      <c r="CJ280" s="32"/>
      <c r="CK280" s="32"/>
      <c r="CL280" s="32"/>
      <c r="CM280" s="32"/>
      <c r="CN280" s="32"/>
      <c r="CO280" s="32"/>
      <c r="CP280" s="32"/>
      <c r="CQ280" s="32"/>
      <c r="CR280" s="32"/>
      <c r="CS280" s="32"/>
      <c r="CT280" s="32"/>
      <c r="CU280" s="32"/>
      <c r="CV280" s="32"/>
      <c r="CW280" s="32"/>
      <c r="CX280" s="32"/>
      <c r="CY280" s="32"/>
      <c r="CZ280" s="32"/>
      <c r="DA280" s="32"/>
      <c r="DB280" s="32"/>
    </row>
    <row r="281" spans="1:106" ht="15" hidden="1" customHeight="1">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c r="AE281" s="32"/>
      <c r="AF281" s="32"/>
      <c r="AG281" s="32"/>
      <c r="AH281" s="32"/>
      <c r="AI281" s="32"/>
      <c r="AJ281" s="32"/>
      <c r="AK281" s="32"/>
      <c r="AL281" s="32"/>
      <c r="AM281" s="32"/>
      <c r="AN281" s="32"/>
      <c r="AO281" s="32"/>
      <c r="AP281" s="32"/>
      <c r="AQ281" s="32"/>
      <c r="AR281" s="32"/>
      <c r="AS281" s="32"/>
      <c r="AT281" s="32"/>
      <c r="AU281" s="32"/>
      <c r="AV281" s="32"/>
      <c r="AW281" s="32"/>
      <c r="AX281" s="32"/>
      <c r="AY281" s="32"/>
      <c r="AZ281" s="32"/>
      <c r="BA281" s="32"/>
      <c r="BB281" s="32"/>
      <c r="BC281" s="32"/>
      <c r="BD281" s="32"/>
      <c r="BE281" s="32"/>
      <c r="BF281" s="2"/>
      <c r="BG281" s="2"/>
      <c r="BH281" s="2"/>
      <c r="BI281" s="2"/>
      <c r="BJ281" s="2"/>
      <c r="BK281" s="32"/>
      <c r="BL281" s="2"/>
      <c r="BM281" s="32"/>
      <c r="BN281" s="32"/>
      <c r="BO281" s="32"/>
      <c r="BP281" s="2"/>
      <c r="BQ281" s="2"/>
      <c r="BR281" s="2"/>
      <c r="BS281" s="86"/>
      <c r="BT281" s="32"/>
      <c r="BU281" s="33"/>
      <c r="BV281" s="33"/>
      <c r="BW281" s="32"/>
      <c r="BX281" s="32"/>
      <c r="BY281" s="32"/>
      <c r="BZ281" s="32"/>
      <c r="CA281" s="47"/>
      <c r="CB281" s="31"/>
      <c r="CC281" s="31"/>
      <c r="CD281" s="31"/>
      <c r="CE281" s="31"/>
      <c r="CF281" s="48"/>
      <c r="CG281" s="31"/>
      <c r="CH281" s="31"/>
      <c r="CI281" s="32"/>
      <c r="CJ281" s="32"/>
      <c r="CK281" s="32"/>
      <c r="CL281" s="32"/>
      <c r="CM281" s="32"/>
      <c r="CN281" s="32"/>
      <c r="CO281" s="32"/>
      <c r="CP281" s="32"/>
      <c r="CQ281" s="32"/>
      <c r="CR281" s="32"/>
      <c r="CS281" s="32"/>
      <c r="CT281" s="32"/>
      <c r="CU281" s="32"/>
      <c r="CV281" s="32"/>
      <c r="CW281" s="32"/>
      <c r="CX281" s="32"/>
      <c r="CY281" s="32"/>
      <c r="CZ281" s="32"/>
      <c r="DA281" s="32"/>
      <c r="DB281" s="32"/>
    </row>
    <row r="282" spans="1:106" ht="15" hidden="1" customHeight="1">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c r="AE282" s="32"/>
      <c r="AF282" s="32"/>
      <c r="AG282" s="32"/>
      <c r="AH282" s="32"/>
      <c r="AI282" s="32"/>
      <c r="AJ282" s="32"/>
      <c r="AK282" s="32"/>
      <c r="AL282" s="32"/>
      <c r="AM282" s="32"/>
      <c r="AN282" s="32"/>
      <c r="AO282" s="32"/>
      <c r="AP282" s="32"/>
      <c r="AQ282" s="32"/>
      <c r="AR282" s="32"/>
      <c r="AS282" s="32"/>
      <c r="AT282" s="32"/>
      <c r="AU282" s="32"/>
      <c r="AV282" s="32"/>
      <c r="AW282" s="32"/>
      <c r="AX282" s="32"/>
      <c r="AY282" s="32"/>
      <c r="AZ282" s="32"/>
      <c r="BA282" s="32"/>
      <c r="BB282" s="32"/>
      <c r="BC282" s="32"/>
      <c r="BD282" s="32"/>
      <c r="BE282" s="32"/>
      <c r="BF282" s="2"/>
      <c r="BG282" s="2"/>
      <c r="BH282" s="2"/>
      <c r="BI282" s="2"/>
      <c r="BJ282" s="2"/>
      <c r="BK282" s="32"/>
      <c r="BL282" s="2"/>
      <c r="BM282" s="32"/>
      <c r="BN282" s="32"/>
      <c r="BO282" s="32"/>
      <c r="BP282" s="2"/>
      <c r="BQ282" s="2"/>
      <c r="BR282" s="2"/>
      <c r="BS282" s="86"/>
      <c r="BT282" s="32"/>
      <c r="BU282" s="33"/>
      <c r="BV282" s="33"/>
      <c r="BW282" s="32"/>
      <c r="BX282" s="32"/>
      <c r="BY282" s="32"/>
      <c r="BZ282" s="32"/>
      <c r="CA282" s="47"/>
      <c r="CB282" s="31"/>
      <c r="CC282" s="31"/>
      <c r="CD282" s="31"/>
      <c r="CE282" s="31"/>
      <c r="CF282" s="48"/>
      <c r="CG282" s="31"/>
      <c r="CH282" s="31"/>
      <c r="CI282" s="32"/>
      <c r="CJ282" s="32"/>
      <c r="CK282" s="32"/>
      <c r="CL282" s="32"/>
      <c r="CM282" s="32"/>
      <c r="CN282" s="32"/>
      <c r="CO282" s="32"/>
      <c r="CP282" s="32"/>
      <c r="CQ282" s="32"/>
      <c r="CR282" s="32"/>
      <c r="CS282" s="32"/>
      <c r="CT282" s="32"/>
      <c r="CU282" s="32"/>
      <c r="CV282" s="32"/>
      <c r="CW282" s="32"/>
      <c r="CX282" s="32"/>
      <c r="CY282" s="32"/>
      <c r="CZ282" s="32"/>
      <c r="DA282" s="32"/>
      <c r="DB282" s="32"/>
    </row>
    <row r="283" spans="1:106" ht="15" hidden="1" customHeight="1">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c r="AG283" s="32"/>
      <c r="AH283" s="32"/>
      <c r="AI283" s="32"/>
      <c r="AJ283" s="32"/>
      <c r="AK283" s="32"/>
      <c r="AL283" s="32"/>
      <c r="AM283" s="32"/>
      <c r="AN283" s="32"/>
      <c r="AO283" s="32"/>
      <c r="AP283" s="32"/>
      <c r="AQ283" s="32"/>
      <c r="AR283" s="32"/>
      <c r="AS283" s="32"/>
      <c r="AT283" s="32"/>
      <c r="AU283" s="32"/>
      <c r="AV283" s="32"/>
      <c r="AW283" s="32"/>
      <c r="AX283" s="32"/>
      <c r="AY283" s="32"/>
      <c r="AZ283" s="32"/>
      <c r="BA283" s="32"/>
      <c r="BB283" s="32"/>
      <c r="BC283" s="32"/>
      <c r="BD283" s="32"/>
      <c r="BE283" s="32"/>
      <c r="BF283" s="2"/>
      <c r="BG283" s="2"/>
      <c r="BH283" s="2"/>
      <c r="BI283" s="2"/>
      <c r="BJ283" s="2"/>
      <c r="BK283" s="32"/>
      <c r="BL283" s="2"/>
      <c r="BM283" s="32"/>
      <c r="BN283" s="32"/>
      <c r="BO283" s="32"/>
      <c r="BP283" s="2"/>
      <c r="BQ283" s="2"/>
      <c r="BR283" s="2"/>
      <c r="BS283" s="86"/>
      <c r="BT283" s="32"/>
      <c r="BU283" s="33"/>
      <c r="BV283" s="33"/>
      <c r="BW283" s="32"/>
      <c r="BX283" s="32"/>
      <c r="BY283" s="32"/>
      <c r="BZ283" s="32"/>
      <c r="CA283" s="47"/>
      <c r="CB283" s="31"/>
      <c r="CC283" s="31"/>
      <c r="CD283" s="31"/>
      <c r="CE283" s="31"/>
      <c r="CF283" s="48"/>
      <c r="CG283" s="31"/>
      <c r="CH283" s="31"/>
      <c r="CI283" s="32"/>
      <c r="CJ283" s="32"/>
      <c r="CK283" s="32"/>
      <c r="CL283" s="32"/>
      <c r="CM283" s="32"/>
      <c r="CN283" s="32"/>
      <c r="CO283" s="32"/>
      <c r="CP283" s="32"/>
      <c r="CQ283" s="32"/>
      <c r="CR283" s="32"/>
      <c r="CS283" s="32"/>
      <c r="CT283" s="32"/>
      <c r="CU283" s="32"/>
      <c r="CV283" s="32"/>
      <c r="CW283" s="32"/>
      <c r="CX283" s="32"/>
      <c r="CY283" s="32"/>
      <c r="CZ283" s="32"/>
      <c r="DA283" s="32"/>
      <c r="DB283" s="32"/>
    </row>
    <row r="284" spans="1:106" ht="15" hidden="1" customHeight="1">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c r="AE284" s="32"/>
      <c r="AF284" s="32"/>
      <c r="AG284" s="32"/>
      <c r="AH284" s="32"/>
      <c r="AI284" s="32"/>
      <c r="AJ284" s="32"/>
      <c r="AK284" s="32"/>
      <c r="AL284" s="32"/>
      <c r="AM284" s="32"/>
      <c r="AN284" s="32"/>
      <c r="AO284" s="32"/>
      <c r="AP284" s="32"/>
      <c r="AQ284" s="32"/>
      <c r="AR284" s="32"/>
      <c r="AS284" s="32"/>
      <c r="AT284" s="32"/>
      <c r="AU284" s="32"/>
      <c r="AV284" s="32"/>
      <c r="AW284" s="32"/>
      <c r="AX284" s="32"/>
      <c r="AY284" s="32"/>
      <c r="AZ284" s="32"/>
      <c r="BA284" s="32"/>
      <c r="BB284" s="32"/>
      <c r="BC284" s="32"/>
      <c r="BD284" s="32"/>
      <c r="BE284" s="32"/>
      <c r="BF284" s="2"/>
      <c r="BG284" s="2"/>
      <c r="BH284" s="2"/>
      <c r="BI284" s="2"/>
      <c r="BJ284" s="2"/>
      <c r="BK284" s="32"/>
      <c r="BL284" s="2"/>
      <c r="BM284" s="32"/>
      <c r="BN284" s="32"/>
      <c r="BO284" s="32"/>
      <c r="BP284" s="2"/>
      <c r="BQ284" s="2"/>
      <c r="BR284" s="2"/>
      <c r="BS284" s="86"/>
      <c r="BT284" s="32"/>
      <c r="BU284" s="33"/>
      <c r="BV284" s="33"/>
      <c r="BW284" s="32"/>
      <c r="BX284" s="32"/>
      <c r="BY284" s="32"/>
      <c r="BZ284" s="99"/>
      <c r="CA284" s="31"/>
      <c r="CB284" s="31"/>
      <c r="CC284" s="31"/>
      <c r="CD284" s="31"/>
      <c r="CE284" s="31"/>
      <c r="CF284" s="48"/>
      <c r="CG284" s="31"/>
      <c r="CH284" s="31"/>
      <c r="CI284" s="32"/>
      <c r="CJ284" s="32"/>
      <c r="CK284" s="32"/>
      <c r="CL284" s="32"/>
      <c r="CM284" s="32"/>
      <c r="CN284" s="32"/>
      <c r="CO284" s="32"/>
      <c r="CP284" s="32"/>
      <c r="CQ284" s="32"/>
      <c r="CR284" s="32"/>
      <c r="CS284" s="32"/>
      <c r="CT284" s="32"/>
      <c r="CU284" s="32"/>
      <c r="CV284" s="32"/>
      <c r="CW284" s="32"/>
      <c r="CX284" s="32"/>
      <c r="CY284" s="32"/>
      <c r="CZ284" s="32"/>
      <c r="DA284" s="32"/>
      <c r="DB284" s="32"/>
    </row>
    <row r="285" spans="1:106" ht="15" hidden="1" customHeight="1">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c r="AE285" s="32"/>
      <c r="AF285" s="32"/>
      <c r="AG285" s="32"/>
      <c r="AH285" s="32"/>
      <c r="AI285" s="32"/>
      <c r="AJ285" s="32"/>
      <c r="AK285" s="32"/>
      <c r="AL285" s="32"/>
      <c r="AM285" s="32"/>
      <c r="AN285" s="32"/>
      <c r="AO285" s="32"/>
      <c r="AP285" s="32"/>
      <c r="AQ285" s="32"/>
      <c r="AR285" s="32"/>
      <c r="AS285" s="32"/>
      <c r="AT285" s="32"/>
      <c r="AU285" s="32"/>
      <c r="AV285" s="32"/>
      <c r="AW285" s="32"/>
      <c r="AX285" s="32"/>
      <c r="AY285" s="32"/>
      <c r="AZ285" s="32"/>
      <c r="BA285" s="32"/>
      <c r="BB285" s="32"/>
      <c r="BC285" s="32"/>
      <c r="BD285" s="32"/>
      <c r="BE285" s="32"/>
      <c r="BF285" s="2"/>
      <c r="BG285" s="2"/>
      <c r="BH285" s="2"/>
      <c r="BI285" s="2"/>
      <c r="BJ285" s="2"/>
      <c r="BK285" s="32"/>
      <c r="BL285" s="2"/>
      <c r="BM285" s="32"/>
      <c r="BN285" s="32"/>
      <c r="BO285" s="32"/>
      <c r="BP285" s="2"/>
      <c r="BQ285" s="2"/>
      <c r="BR285" s="2"/>
      <c r="BS285" s="86"/>
      <c r="BT285" s="32"/>
      <c r="BU285" s="33"/>
      <c r="BV285" s="33"/>
      <c r="BW285" s="32"/>
      <c r="BX285" s="32"/>
      <c r="BY285" s="32"/>
      <c r="BZ285" s="32"/>
      <c r="CA285" s="47"/>
      <c r="CB285" s="31"/>
      <c r="CC285" s="31"/>
      <c r="CD285" s="31"/>
      <c r="CE285" s="31"/>
      <c r="CF285" s="48"/>
      <c r="CG285" s="31"/>
      <c r="CH285" s="31"/>
      <c r="CI285" s="32"/>
      <c r="CJ285" s="32"/>
      <c r="CK285" s="32"/>
      <c r="CL285" s="32"/>
      <c r="CM285" s="32"/>
      <c r="CN285" s="32"/>
      <c r="CO285" s="32"/>
      <c r="CP285" s="32"/>
      <c r="CQ285" s="32"/>
      <c r="CR285" s="32"/>
      <c r="CS285" s="32"/>
      <c r="CT285" s="32"/>
      <c r="CU285" s="32"/>
      <c r="CV285" s="32"/>
      <c r="CW285" s="32"/>
      <c r="CX285" s="32"/>
      <c r="CY285" s="32"/>
      <c r="CZ285" s="32"/>
      <c r="DA285" s="32"/>
      <c r="DB285" s="32"/>
    </row>
    <row r="286" spans="1:106" ht="15" hidden="1" customHeight="1">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32"/>
      <c r="AL286" s="32"/>
      <c r="AM286" s="32"/>
      <c r="AN286" s="32"/>
      <c r="AO286" s="32"/>
      <c r="AP286" s="32"/>
      <c r="AQ286" s="32"/>
      <c r="AR286" s="32"/>
      <c r="AS286" s="32"/>
      <c r="AT286" s="32"/>
      <c r="AU286" s="32"/>
      <c r="AV286" s="32"/>
      <c r="AW286" s="32"/>
      <c r="AX286" s="32"/>
      <c r="AY286" s="32"/>
      <c r="AZ286" s="32"/>
      <c r="BA286" s="32"/>
      <c r="BB286" s="32"/>
      <c r="BC286" s="32"/>
      <c r="BD286" s="32"/>
      <c r="BE286" s="32"/>
      <c r="BF286" s="2"/>
      <c r="BG286" s="2"/>
      <c r="BH286" s="2"/>
      <c r="BI286" s="2"/>
      <c r="BJ286" s="2"/>
      <c r="BK286" s="32"/>
      <c r="BL286" s="2"/>
      <c r="BM286" s="32"/>
      <c r="BN286" s="32"/>
      <c r="BO286" s="32"/>
      <c r="BP286" s="2"/>
      <c r="BQ286" s="2"/>
      <c r="BR286" s="2"/>
      <c r="BS286" s="86"/>
      <c r="BT286" s="32"/>
      <c r="BU286" s="33"/>
      <c r="BV286" s="33"/>
      <c r="BW286" s="32"/>
      <c r="BX286" s="32"/>
      <c r="BY286" s="32"/>
      <c r="BZ286" s="32"/>
      <c r="CA286" s="33"/>
      <c r="CB286" s="32"/>
      <c r="CC286" s="32"/>
      <c r="CD286" s="31"/>
      <c r="CE286" s="31"/>
      <c r="CF286" s="48"/>
      <c r="CG286" s="31"/>
      <c r="CH286" s="31"/>
      <c r="CI286" s="32"/>
      <c r="CJ286" s="32"/>
      <c r="CK286" s="32"/>
      <c r="CL286" s="32"/>
      <c r="CM286" s="32"/>
      <c r="CN286" s="32"/>
      <c r="CO286" s="32"/>
      <c r="CP286" s="32"/>
      <c r="CQ286" s="32"/>
      <c r="CR286" s="32"/>
      <c r="CS286" s="32"/>
      <c r="CT286" s="32"/>
      <c r="CU286" s="32"/>
      <c r="CV286" s="32"/>
      <c r="CW286" s="32"/>
      <c r="CX286" s="32"/>
      <c r="CY286" s="32"/>
      <c r="CZ286" s="32"/>
      <c r="DA286" s="32"/>
      <c r="DB286" s="32"/>
    </row>
    <row r="287" spans="1:106" ht="15" hidden="1" customHeight="1">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c r="AE287" s="32"/>
      <c r="AF287" s="32"/>
      <c r="AG287" s="32"/>
      <c r="AH287" s="32"/>
      <c r="AI287" s="32"/>
      <c r="AJ287" s="32"/>
      <c r="AK287" s="32"/>
      <c r="AL287" s="32"/>
      <c r="AM287" s="32"/>
      <c r="AN287" s="32"/>
      <c r="AO287" s="32"/>
      <c r="AP287" s="32"/>
      <c r="AQ287" s="32"/>
      <c r="AR287" s="32"/>
      <c r="AS287" s="32"/>
      <c r="AT287" s="32"/>
      <c r="AU287" s="32"/>
      <c r="AV287" s="32"/>
      <c r="AW287" s="32"/>
      <c r="AX287" s="32"/>
      <c r="AY287" s="32"/>
      <c r="AZ287" s="32"/>
      <c r="BA287" s="32"/>
      <c r="BB287" s="32"/>
      <c r="BC287" s="32"/>
      <c r="BD287" s="32"/>
      <c r="BE287" s="32"/>
      <c r="BF287" s="2"/>
      <c r="BG287" s="2"/>
      <c r="BH287" s="2"/>
      <c r="BI287" s="2"/>
      <c r="BJ287" s="2"/>
      <c r="BK287" s="32"/>
      <c r="BL287" s="2"/>
      <c r="BM287" s="32"/>
      <c r="BN287" s="32"/>
      <c r="BO287" s="32"/>
      <c r="BP287" s="2"/>
      <c r="BQ287" s="2"/>
      <c r="BR287" s="2"/>
      <c r="BS287" s="86"/>
      <c r="BT287" s="32"/>
      <c r="BU287" s="33"/>
      <c r="BV287" s="33"/>
      <c r="BW287" s="32"/>
      <c r="BX287" s="32"/>
      <c r="BY287" s="32"/>
      <c r="BZ287" s="32"/>
      <c r="CA287" s="33"/>
      <c r="CB287" s="32"/>
      <c r="CC287" s="32"/>
      <c r="CD287" s="31"/>
      <c r="CE287" s="31"/>
      <c r="CF287" s="48"/>
      <c r="CG287" s="31"/>
      <c r="CH287" s="31"/>
      <c r="CI287" s="32"/>
      <c r="CJ287" s="32"/>
      <c r="CK287" s="32"/>
      <c r="CL287" s="32"/>
      <c r="CM287" s="32"/>
      <c r="CN287" s="32"/>
      <c r="CO287" s="32"/>
      <c r="CP287" s="32"/>
      <c r="CQ287" s="32"/>
      <c r="CR287" s="32"/>
      <c r="CS287" s="32"/>
      <c r="CT287" s="32"/>
      <c r="CU287" s="32"/>
      <c r="CV287" s="32"/>
      <c r="CW287" s="32"/>
      <c r="CX287" s="32"/>
      <c r="CY287" s="32"/>
      <c r="CZ287" s="32"/>
      <c r="DA287" s="32"/>
      <c r="DB287" s="32"/>
    </row>
    <row r="288" spans="1:106" ht="15" hidden="1" customHeight="1">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c r="AE288" s="32"/>
      <c r="AF288" s="32"/>
      <c r="AG288" s="32"/>
      <c r="AH288" s="32"/>
      <c r="AI288" s="32"/>
      <c r="AJ288" s="32"/>
      <c r="AK288" s="32"/>
      <c r="AL288" s="32"/>
      <c r="AM288" s="32"/>
      <c r="AN288" s="32"/>
      <c r="AO288" s="32"/>
      <c r="AP288" s="32"/>
      <c r="AQ288" s="32"/>
      <c r="AR288" s="32"/>
      <c r="AS288" s="32"/>
      <c r="AT288" s="32"/>
      <c r="AU288" s="32"/>
      <c r="AV288" s="32"/>
      <c r="AW288" s="32"/>
      <c r="AX288" s="32"/>
      <c r="AY288" s="32"/>
      <c r="AZ288" s="32"/>
      <c r="BA288" s="32"/>
      <c r="BB288" s="32"/>
      <c r="BC288" s="32"/>
      <c r="BD288" s="32"/>
      <c r="BE288" s="32"/>
      <c r="BF288" s="2"/>
      <c r="BG288" s="2"/>
      <c r="BH288" s="2"/>
      <c r="BI288" s="2"/>
      <c r="BJ288" s="2"/>
      <c r="BK288" s="32"/>
      <c r="BL288" s="2"/>
      <c r="BM288" s="32"/>
      <c r="BN288" s="32"/>
      <c r="BO288" s="32"/>
      <c r="BP288" s="2"/>
      <c r="BQ288" s="2"/>
      <c r="BR288" s="2"/>
      <c r="BS288" s="86"/>
      <c r="BT288" s="32"/>
      <c r="BU288" s="33"/>
      <c r="BV288" s="33"/>
      <c r="BW288" s="32"/>
      <c r="BX288" s="32"/>
      <c r="BY288" s="32"/>
      <c r="BZ288" s="32"/>
      <c r="CA288" s="33"/>
      <c r="CB288" s="32"/>
      <c r="CC288" s="32"/>
      <c r="CD288" s="31"/>
      <c r="CE288" s="31"/>
      <c r="CF288" s="48"/>
      <c r="CG288" s="31"/>
      <c r="CH288" s="31"/>
      <c r="CI288" s="32"/>
      <c r="CJ288" s="32"/>
      <c r="CK288" s="32"/>
      <c r="CL288" s="32"/>
      <c r="CM288" s="32"/>
      <c r="CN288" s="32"/>
      <c r="CO288" s="32"/>
      <c r="CP288" s="32"/>
      <c r="CQ288" s="32"/>
      <c r="CR288" s="32"/>
      <c r="CS288" s="32"/>
      <c r="CT288" s="32"/>
      <c r="CU288" s="32"/>
      <c r="CV288" s="32"/>
      <c r="CW288" s="32"/>
      <c r="CX288" s="32"/>
      <c r="CY288" s="32"/>
      <c r="CZ288" s="32"/>
      <c r="DA288" s="32"/>
      <c r="DB288" s="32"/>
    </row>
    <row r="289" spans="1:106" ht="15" hidden="1" customHeight="1">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c r="AE289" s="32"/>
      <c r="AF289" s="32"/>
      <c r="AG289" s="32"/>
      <c r="AH289" s="32"/>
      <c r="AI289" s="32"/>
      <c r="AJ289" s="32"/>
      <c r="AK289" s="32"/>
      <c r="AL289" s="32"/>
      <c r="AM289" s="32"/>
      <c r="AN289" s="32"/>
      <c r="AO289" s="32"/>
      <c r="AP289" s="32"/>
      <c r="AQ289" s="32"/>
      <c r="AR289" s="32"/>
      <c r="AS289" s="32"/>
      <c r="AT289" s="32"/>
      <c r="AU289" s="32"/>
      <c r="AV289" s="32"/>
      <c r="AW289" s="32"/>
      <c r="AX289" s="32"/>
      <c r="AY289" s="32"/>
      <c r="AZ289" s="32"/>
      <c r="BA289" s="32"/>
      <c r="BB289" s="32"/>
      <c r="BC289" s="32"/>
      <c r="BD289" s="32"/>
      <c r="BE289" s="32"/>
      <c r="BF289" s="2"/>
      <c r="BG289" s="2"/>
      <c r="BH289" s="2"/>
      <c r="BI289" s="2"/>
      <c r="BJ289" s="2"/>
      <c r="BK289" s="32"/>
      <c r="BL289" s="2"/>
      <c r="BM289" s="32"/>
      <c r="BN289" s="32"/>
      <c r="BO289" s="32"/>
      <c r="BP289" s="2"/>
      <c r="BQ289" s="2"/>
      <c r="BR289" s="2"/>
      <c r="BS289" s="86"/>
      <c r="BT289" s="32"/>
      <c r="BU289" s="33"/>
      <c r="BV289" s="33"/>
      <c r="BW289" s="32"/>
      <c r="BX289" s="32"/>
      <c r="BY289" s="32"/>
      <c r="BZ289" s="32"/>
      <c r="CA289" s="33"/>
      <c r="CB289" s="32"/>
      <c r="CC289" s="32"/>
      <c r="CD289" s="31"/>
      <c r="CE289" s="31"/>
      <c r="CF289" s="48"/>
      <c r="CG289" s="31"/>
      <c r="CH289" s="31"/>
      <c r="CI289" s="32"/>
      <c r="CJ289" s="32"/>
      <c r="CK289" s="32"/>
      <c r="CL289" s="32"/>
      <c r="CM289" s="32"/>
      <c r="CN289" s="32"/>
      <c r="CO289" s="32"/>
      <c r="CP289" s="32"/>
      <c r="CQ289" s="32"/>
      <c r="CR289" s="32"/>
      <c r="CS289" s="32"/>
      <c r="CT289" s="32"/>
      <c r="CU289" s="32"/>
      <c r="CV289" s="32"/>
      <c r="CW289" s="32"/>
      <c r="CX289" s="32"/>
      <c r="CY289" s="32"/>
      <c r="CZ289" s="32"/>
      <c r="DA289" s="32"/>
      <c r="DB289" s="32"/>
    </row>
    <row r="290" spans="1:106" ht="15" hidden="1" customHeight="1">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c r="AE290" s="32"/>
      <c r="AF290" s="32"/>
      <c r="AG290" s="32"/>
      <c r="AH290" s="32"/>
      <c r="AI290" s="32"/>
      <c r="AJ290" s="32"/>
      <c r="AK290" s="32"/>
      <c r="AL290" s="32"/>
      <c r="AM290" s="32"/>
      <c r="AN290" s="32"/>
      <c r="AO290" s="32"/>
      <c r="AP290" s="32"/>
      <c r="AQ290" s="32"/>
      <c r="AR290" s="32"/>
      <c r="AS290" s="32"/>
      <c r="AT290" s="32"/>
      <c r="AU290" s="32"/>
      <c r="AV290" s="32"/>
      <c r="AW290" s="32"/>
      <c r="AX290" s="32"/>
      <c r="AY290" s="32"/>
      <c r="AZ290" s="32"/>
      <c r="BA290" s="32"/>
      <c r="BB290" s="32"/>
      <c r="BC290" s="32"/>
      <c r="BD290" s="32"/>
      <c r="BE290" s="32"/>
      <c r="BF290" s="2"/>
      <c r="BG290" s="2"/>
      <c r="BH290" s="2"/>
      <c r="BI290" s="2"/>
      <c r="BJ290" s="2"/>
      <c r="BK290" s="32"/>
      <c r="BL290" s="2"/>
      <c r="BM290" s="32"/>
      <c r="BN290" s="32"/>
      <c r="BO290" s="32"/>
      <c r="BP290" s="2"/>
      <c r="BQ290" s="2"/>
      <c r="BR290" s="2"/>
      <c r="BS290" s="86"/>
      <c r="BT290" s="32"/>
      <c r="BU290" s="33"/>
      <c r="BV290" s="33"/>
      <c r="BW290" s="32"/>
      <c r="BX290" s="32"/>
      <c r="BY290" s="32"/>
      <c r="BZ290" s="32"/>
      <c r="CA290" s="33"/>
      <c r="CB290" s="32"/>
      <c r="CC290" s="32"/>
      <c r="CD290" s="31"/>
      <c r="CE290" s="31"/>
      <c r="CF290" s="48"/>
      <c r="CG290" s="31"/>
      <c r="CH290" s="31"/>
      <c r="CI290" s="32"/>
      <c r="CJ290" s="32"/>
      <c r="CK290" s="32"/>
      <c r="CL290" s="32"/>
      <c r="CM290" s="32"/>
      <c r="CN290" s="32"/>
      <c r="CO290" s="32"/>
      <c r="CP290" s="32"/>
      <c r="CQ290" s="32"/>
      <c r="CR290" s="32"/>
      <c r="CS290" s="32"/>
      <c r="CT290" s="32"/>
      <c r="CU290" s="32"/>
      <c r="CV290" s="32"/>
      <c r="CW290" s="32"/>
      <c r="CX290" s="32"/>
      <c r="CY290" s="32"/>
      <c r="CZ290" s="32"/>
      <c r="DA290" s="32"/>
      <c r="DB290" s="32"/>
    </row>
    <row r="291" spans="1:106" ht="15" hidden="1" customHeight="1">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c r="AE291" s="32"/>
      <c r="AF291" s="32"/>
      <c r="AG291" s="32"/>
      <c r="AH291" s="32"/>
      <c r="AI291" s="32"/>
      <c r="AJ291" s="32"/>
      <c r="AK291" s="32"/>
      <c r="AL291" s="32"/>
      <c r="AM291" s="32"/>
      <c r="AN291" s="32"/>
      <c r="AO291" s="32"/>
      <c r="AP291" s="32"/>
      <c r="AQ291" s="32"/>
      <c r="AR291" s="32"/>
      <c r="AS291" s="32"/>
      <c r="AT291" s="32"/>
      <c r="AU291" s="32"/>
      <c r="AV291" s="32"/>
      <c r="AW291" s="32"/>
      <c r="AX291" s="32"/>
      <c r="AY291" s="32"/>
      <c r="AZ291" s="32"/>
      <c r="BA291" s="32"/>
      <c r="BB291" s="32"/>
      <c r="BC291" s="32"/>
      <c r="BD291" s="32"/>
      <c r="BE291" s="32"/>
      <c r="BF291" s="2"/>
      <c r="BG291" s="2"/>
      <c r="BH291" s="2"/>
      <c r="BI291" s="2"/>
      <c r="BJ291" s="2"/>
      <c r="BK291" s="32"/>
      <c r="BL291" s="2"/>
      <c r="BM291" s="32"/>
      <c r="BN291" s="32"/>
      <c r="BO291" s="32"/>
      <c r="BP291" s="2"/>
      <c r="BQ291" s="2"/>
      <c r="BR291" s="2"/>
      <c r="BS291" s="86"/>
      <c r="BT291" s="32"/>
      <c r="BU291" s="33"/>
      <c r="BV291" s="33"/>
      <c r="BW291" s="32"/>
      <c r="BX291" s="32"/>
      <c r="BY291" s="32"/>
      <c r="BZ291" s="32"/>
      <c r="CA291" s="33"/>
      <c r="CB291" s="32"/>
      <c r="CC291" s="32"/>
      <c r="CD291" s="31"/>
      <c r="CE291" s="31"/>
      <c r="CF291" s="48"/>
      <c r="CG291" s="31"/>
      <c r="CH291" s="31"/>
      <c r="CI291" s="32"/>
      <c r="CJ291" s="32"/>
      <c r="CK291" s="32"/>
      <c r="CL291" s="32"/>
      <c r="CM291" s="32"/>
      <c r="CN291" s="32"/>
      <c r="CO291" s="32"/>
      <c r="CP291" s="32"/>
      <c r="CQ291" s="32"/>
      <c r="CR291" s="32"/>
      <c r="CS291" s="32"/>
      <c r="CT291" s="32"/>
      <c r="CU291" s="32"/>
      <c r="CV291" s="32"/>
      <c r="CW291" s="32"/>
      <c r="CX291" s="32"/>
      <c r="CY291" s="32"/>
      <c r="CZ291" s="32"/>
      <c r="DA291" s="32"/>
      <c r="DB291" s="32"/>
    </row>
    <row r="292" spans="1:106" ht="15" hidden="1" customHeight="1">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c r="AE292" s="32"/>
      <c r="AF292" s="32"/>
      <c r="AG292" s="32"/>
      <c r="AH292" s="32"/>
      <c r="AI292" s="32"/>
      <c r="AJ292" s="32"/>
      <c r="AK292" s="32"/>
      <c r="AL292" s="32"/>
      <c r="AM292" s="32"/>
      <c r="AN292" s="32"/>
      <c r="AO292" s="32"/>
      <c r="AP292" s="32"/>
      <c r="AQ292" s="32"/>
      <c r="AR292" s="32"/>
      <c r="AS292" s="32"/>
      <c r="AT292" s="32"/>
      <c r="AU292" s="32"/>
      <c r="AV292" s="32"/>
      <c r="AW292" s="32"/>
      <c r="AX292" s="32"/>
      <c r="AY292" s="32"/>
      <c r="AZ292" s="32"/>
      <c r="BA292" s="32"/>
      <c r="BB292" s="32"/>
      <c r="BC292" s="32"/>
      <c r="BD292" s="32"/>
      <c r="BE292" s="32"/>
      <c r="BF292" s="2"/>
      <c r="BG292" s="2"/>
      <c r="BH292" s="2"/>
      <c r="BI292" s="2"/>
      <c r="BJ292" s="2"/>
      <c r="BK292" s="32"/>
      <c r="BL292" s="2"/>
      <c r="BM292" s="32"/>
      <c r="BN292" s="32"/>
      <c r="BO292" s="32"/>
      <c r="BP292" s="2"/>
      <c r="BQ292" s="2"/>
      <c r="BR292" s="2"/>
      <c r="BS292" s="86"/>
      <c r="BT292" s="32"/>
      <c r="BU292" s="33"/>
      <c r="BV292" s="33"/>
      <c r="BW292" s="32"/>
      <c r="BX292" s="32"/>
      <c r="BY292" s="32"/>
      <c r="BZ292" s="32"/>
      <c r="CA292" s="33"/>
      <c r="CB292" s="32"/>
      <c r="CC292" s="32"/>
      <c r="CD292" s="31"/>
      <c r="CE292" s="31"/>
      <c r="CF292" s="48"/>
      <c r="CG292" s="31"/>
      <c r="CH292" s="31"/>
      <c r="CI292" s="32"/>
      <c r="CJ292" s="32"/>
      <c r="CK292" s="32"/>
      <c r="CL292" s="32"/>
      <c r="CM292" s="32"/>
      <c r="CN292" s="32"/>
      <c r="CO292" s="32"/>
      <c r="CP292" s="32"/>
      <c r="CQ292" s="32"/>
      <c r="CR292" s="32"/>
      <c r="CS292" s="32"/>
      <c r="CT292" s="32"/>
      <c r="CU292" s="32"/>
      <c r="CV292" s="32"/>
      <c r="CW292" s="32"/>
      <c r="CX292" s="32"/>
      <c r="CY292" s="32"/>
      <c r="CZ292" s="32"/>
      <c r="DA292" s="32"/>
      <c r="DB292" s="32"/>
    </row>
    <row r="293" spans="1:106" ht="15" hidden="1" customHeight="1">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c r="AE293" s="32"/>
      <c r="AF293" s="32"/>
      <c r="AG293" s="32"/>
      <c r="AH293" s="32"/>
      <c r="AI293" s="32"/>
      <c r="AJ293" s="32"/>
      <c r="AK293" s="32"/>
      <c r="AL293" s="32"/>
      <c r="AM293" s="32"/>
      <c r="AN293" s="32"/>
      <c r="AO293" s="32"/>
      <c r="AP293" s="32"/>
      <c r="AQ293" s="32"/>
      <c r="AR293" s="32"/>
      <c r="AS293" s="32"/>
      <c r="AT293" s="32"/>
      <c r="AU293" s="32"/>
      <c r="AV293" s="32"/>
      <c r="AW293" s="32"/>
      <c r="AX293" s="32"/>
      <c r="AY293" s="32"/>
      <c r="AZ293" s="32"/>
      <c r="BA293" s="32"/>
      <c r="BB293" s="32"/>
      <c r="BC293" s="32"/>
      <c r="BD293" s="32"/>
      <c r="BE293" s="32"/>
      <c r="BF293" s="2"/>
      <c r="BG293" s="2"/>
      <c r="BH293" s="2"/>
      <c r="BI293" s="2"/>
      <c r="BJ293" s="2"/>
      <c r="BK293" s="32"/>
      <c r="BL293" s="2"/>
      <c r="BM293" s="32"/>
      <c r="BN293" s="32"/>
      <c r="BO293" s="32"/>
      <c r="BP293" s="2"/>
      <c r="BQ293" s="2"/>
      <c r="BR293" s="2"/>
      <c r="BS293" s="86"/>
      <c r="BT293" s="32"/>
      <c r="BU293" s="33"/>
      <c r="BV293" s="33"/>
      <c r="BW293" s="32"/>
      <c r="BX293" s="32"/>
      <c r="BY293" s="32"/>
      <c r="BZ293" s="32"/>
      <c r="CA293" s="33"/>
      <c r="CB293" s="32"/>
      <c r="CC293" s="32"/>
      <c r="CD293" s="31"/>
      <c r="CE293" s="31"/>
      <c r="CF293" s="48"/>
      <c r="CG293" s="31"/>
      <c r="CH293" s="31"/>
      <c r="CI293" s="32"/>
      <c r="CJ293" s="32"/>
      <c r="CK293" s="32"/>
      <c r="CL293" s="32"/>
      <c r="CM293" s="32"/>
      <c r="CN293" s="32"/>
      <c r="CO293" s="32"/>
      <c r="CP293" s="32"/>
      <c r="CQ293" s="32"/>
      <c r="CR293" s="32"/>
      <c r="CS293" s="32"/>
      <c r="CT293" s="32"/>
      <c r="CU293" s="32"/>
      <c r="CV293" s="32"/>
      <c r="CW293" s="32"/>
      <c r="CX293" s="32"/>
      <c r="CY293" s="32"/>
      <c r="CZ293" s="32"/>
      <c r="DA293" s="32"/>
      <c r="DB293" s="32"/>
    </row>
    <row r="294" spans="1:106" ht="15" hidden="1" customHeight="1">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c r="AE294" s="32"/>
      <c r="AF294" s="32"/>
      <c r="AG294" s="32"/>
      <c r="AH294" s="32"/>
      <c r="AI294" s="32"/>
      <c r="AJ294" s="32"/>
      <c r="AK294" s="32"/>
      <c r="AL294" s="32"/>
      <c r="AM294" s="32"/>
      <c r="AN294" s="32"/>
      <c r="AO294" s="32"/>
      <c r="AP294" s="32"/>
      <c r="AQ294" s="32"/>
      <c r="AR294" s="32"/>
      <c r="AS294" s="32"/>
      <c r="AT294" s="32"/>
      <c r="AU294" s="32"/>
      <c r="AV294" s="32"/>
      <c r="AW294" s="32"/>
      <c r="AX294" s="32"/>
      <c r="AY294" s="32"/>
      <c r="AZ294" s="32"/>
      <c r="BA294" s="32"/>
      <c r="BB294" s="32"/>
      <c r="BC294" s="32"/>
      <c r="BD294" s="32"/>
      <c r="BE294" s="32"/>
      <c r="BF294" s="2"/>
      <c r="BG294" s="2"/>
      <c r="BH294" s="2"/>
      <c r="BI294" s="2"/>
      <c r="BJ294" s="2"/>
      <c r="BK294" s="32"/>
      <c r="BL294" s="2"/>
      <c r="BM294" s="32"/>
      <c r="BN294" s="32"/>
      <c r="BO294" s="32"/>
      <c r="BP294" s="2"/>
      <c r="BQ294" s="2"/>
      <c r="BR294" s="2"/>
      <c r="BS294" s="86"/>
      <c r="BT294" s="32"/>
      <c r="BU294" s="33"/>
      <c r="BV294" s="33"/>
      <c r="BW294" s="32"/>
      <c r="BX294" s="32"/>
      <c r="BY294" s="32"/>
      <c r="BZ294" s="32"/>
      <c r="CA294" s="33"/>
      <c r="CB294" s="32"/>
      <c r="CC294" s="32"/>
      <c r="CD294" s="31"/>
      <c r="CE294" s="31"/>
      <c r="CF294" s="48"/>
      <c r="CG294" s="31"/>
      <c r="CH294" s="31"/>
      <c r="CI294" s="32"/>
      <c r="CJ294" s="32"/>
      <c r="CK294" s="32"/>
      <c r="CL294" s="32"/>
      <c r="CM294" s="32"/>
      <c r="CN294" s="32"/>
      <c r="CO294" s="32"/>
      <c r="CP294" s="32"/>
      <c r="CQ294" s="32"/>
      <c r="CR294" s="32"/>
      <c r="CS294" s="32"/>
      <c r="CT294" s="32"/>
      <c r="CU294" s="32"/>
      <c r="CV294" s="32"/>
      <c r="CW294" s="32"/>
      <c r="CX294" s="32"/>
      <c r="CY294" s="32"/>
      <c r="CZ294" s="32"/>
      <c r="DA294" s="32"/>
      <c r="DB294" s="32"/>
    </row>
    <row r="295" spans="1:106" ht="15" hidden="1" customHeight="1">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c r="AA295" s="32"/>
      <c r="AB295" s="32"/>
      <c r="AC295" s="32"/>
      <c r="AD295" s="32"/>
      <c r="AE295" s="32"/>
      <c r="AF295" s="32"/>
      <c r="AG295" s="32"/>
      <c r="AH295" s="32"/>
      <c r="AI295" s="32"/>
      <c r="AJ295" s="32"/>
      <c r="AK295" s="32"/>
      <c r="AL295" s="32"/>
      <c r="AM295" s="32"/>
      <c r="AN295" s="32"/>
      <c r="AO295" s="32"/>
      <c r="AP295" s="32"/>
      <c r="AQ295" s="32"/>
      <c r="AR295" s="32"/>
      <c r="AS295" s="32"/>
      <c r="AT295" s="32"/>
      <c r="AU295" s="32"/>
      <c r="AV295" s="32"/>
      <c r="AW295" s="32"/>
      <c r="AX295" s="32"/>
      <c r="AY295" s="32"/>
      <c r="AZ295" s="32"/>
      <c r="BA295" s="32"/>
      <c r="BB295" s="32"/>
      <c r="BC295" s="32"/>
      <c r="BD295" s="32"/>
      <c r="BE295" s="32"/>
      <c r="BF295" s="2"/>
      <c r="BG295" s="2"/>
      <c r="BH295" s="2"/>
      <c r="BI295" s="2"/>
      <c r="BJ295" s="2"/>
      <c r="BK295" s="32"/>
      <c r="BL295" s="2"/>
      <c r="BM295" s="32"/>
      <c r="BN295" s="32"/>
      <c r="BO295" s="32"/>
      <c r="BP295" s="2"/>
      <c r="BQ295" s="2"/>
      <c r="BR295" s="2"/>
      <c r="BS295" s="86"/>
      <c r="BT295" s="32"/>
      <c r="BU295" s="33"/>
      <c r="BV295" s="33"/>
      <c r="BW295" s="32"/>
      <c r="BX295" s="32"/>
      <c r="BY295" s="32"/>
      <c r="BZ295" s="99"/>
      <c r="CA295" s="31"/>
      <c r="CB295" s="31"/>
      <c r="CC295" s="31"/>
      <c r="CD295" s="31"/>
      <c r="CE295" s="31"/>
      <c r="CF295" s="48"/>
      <c r="CG295" s="31"/>
      <c r="CH295" s="31"/>
      <c r="CI295" s="32"/>
      <c r="CJ295" s="32"/>
      <c r="CK295" s="32"/>
      <c r="CL295" s="32"/>
      <c r="CM295" s="32"/>
      <c r="CN295" s="32"/>
      <c r="CO295" s="32"/>
      <c r="CP295" s="32"/>
      <c r="CQ295" s="32"/>
      <c r="CR295" s="32"/>
      <c r="CS295" s="32"/>
      <c r="CT295" s="32"/>
      <c r="CU295" s="32"/>
      <c r="CV295" s="32"/>
      <c r="CW295" s="32"/>
      <c r="CX295" s="32"/>
      <c r="CY295" s="32"/>
      <c r="CZ295" s="32"/>
      <c r="DA295" s="32"/>
      <c r="DB295" s="32"/>
    </row>
    <row r="296" spans="1:106" ht="15" hidden="1" customHeight="1">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c r="AA296" s="32"/>
      <c r="AB296" s="32"/>
      <c r="AC296" s="32"/>
      <c r="AD296" s="32"/>
      <c r="AE296" s="32"/>
      <c r="AF296" s="32"/>
      <c r="AG296" s="32"/>
      <c r="AH296" s="32"/>
      <c r="AI296" s="32"/>
      <c r="AJ296" s="32"/>
      <c r="AK296" s="32"/>
      <c r="AL296" s="32"/>
      <c r="AM296" s="32"/>
      <c r="AN296" s="32"/>
      <c r="AO296" s="32"/>
      <c r="AP296" s="32"/>
      <c r="AQ296" s="32"/>
      <c r="AR296" s="32"/>
      <c r="AS296" s="32"/>
      <c r="AT296" s="32"/>
      <c r="AU296" s="32"/>
      <c r="AV296" s="32"/>
      <c r="AW296" s="32"/>
      <c r="AX296" s="32"/>
      <c r="AY296" s="32"/>
      <c r="AZ296" s="32"/>
      <c r="BA296" s="32"/>
      <c r="BB296" s="32"/>
      <c r="BC296" s="32"/>
      <c r="BD296" s="32"/>
      <c r="BE296" s="32"/>
      <c r="BF296" s="2"/>
      <c r="BG296" s="2"/>
      <c r="BH296" s="2"/>
      <c r="BI296" s="2"/>
      <c r="BJ296" s="2"/>
      <c r="BK296" s="32"/>
      <c r="BL296" s="2"/>
      <c r="BM296" s="32"/>
      <c r="BN296" s="32"/>
      <c r="BO296" s="32"/>
      <c r="BP296" s="2"/>
      <c r="BQ296" s="2"/>
      <c r="BR296" s="2"/>
      <c r="BS296" s="86"/>
      <c r="BT296" s="32"/>
      <c r="BU296" s="33"/>
      <c r="BV296" s="33"/>
      <c r="BW296" s="32"/>
      <c r="BX296" s="32"/>
      <c r="BY296" s="32"/>
      <c r="BZ296" s="32"/>
      <c r="CA296" s="33"/>
      <c r="CB296" s="32"/>
      <c r="CC296" s="32"/>
      <c r="CD296" s="31"/>
      <c r="CE296" s="31"/>
      <c r="CF296" s="48"/>
      <c r="CG296" s="31"/>
      <c r="CH296" s="31"/>
      <c r="CI296" s="32"/>
      <c r="CJ296" s="32"/>
      <c r="CK296" s="32"/>
      <c r="CL296" s="32"/>
      <c r="CM296" s="32"/>
      <c r="CN296" s="32"/>
      <c r="CO296" s="32"/>
      <c r="CP296" s="32"/>
      <c r="CQ296" s="32"/>
      <c r="CR296" s="32"/>
      <c r="CS296" s="32"/>
      <c r="CT296" s="32"/>
      <c r="CU296" s="32"/>
      <c r="CV296" s="32"/>
      <c r="CW296" s="32"/>
      <c r="CX296" s="32"/>
      <c r="CY296" s="32"/>
      <c r="CZ296" s="32"/>
      <c r="DA296" s="32"/>
      <c r="DB296" s="32"/>
    </row>
    <row r="297" spans="1:106" ht="15" hidden="1" customHeight="1">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c r="AA297" s="32"/>
      <c r="AB297" s="32"/>
      <c r="AC297" s="32"/>
      <c r="AD297" s="32"/>
      <c r="AE297" s="32"/>
      <c r="AF297" s="32"/>
      <c r="AG297" s="32"/>
      <c r="AH297" s="32"/>
      <c r="AI297" s="32"/>
      <c r="AJ297" s="32"/>
      <c r="AK297" s="32"/>
      <c r="AL297" s="32"/>
      <c r="AM297" s="32"/>
      <c r="AN297" s="32"/>
      <c r="AO297" s="32"/>
      <c r="AP297" s="32"/>
      <c r="AQ297" s="32"/>
      <c r="AR297" s="32"/>
      <c r="AS297" s="32"/>
      <c r="AT297" s="32"/>
      <c r="AU297" s="32"/>
      <c r="AV297" s="32"/>
      <c r="AW297" s="32"/>
      <c r="AX297" s="32"/>
      <c r="AY297" s="32"/>
      <c r="AZ297" s="32"/>
      <c r="BA297" s="32"/>
      <c r="BB297" s="32"/>
      <c r="BC297" s="32"/>
      <c r="BD297" s="32"/>
      <c r="BE297" s="32"/>
      <c r="BF297" s="2"/>
      <c r="BG297" s="2"/>
      <c r="BH297" s="2"/>
      <c r="BI297" s="2"/>
      <c r="BJ297" s="2"/>
      <c r="BK297" s="32"/>
      <c r="BL297" s="2"/>
      <c r="BM297" s="32"/>
      <c r="BN297" s="32"/>
      <c r="BO297" s="32"/>
      <c r="BP297" s="2"/>
      <c r="BQ297" s="2"/>
      <c r="BR297" s="2"/>
      <c r="BS297" s="86"/>
      <c r="BT297" s="32"/>
      <c r="BU297" s="33"/>
      <c r="BV297" s="33"/>
      <c r="BW297" s="32"/>
      <c r="BX297" s="32"/>
      <c r="BY297" s="32"/>
      <c r="BZ297" s="32"/>
      <c r="CA297" s="33"/>
      <c r="CB297" s="32"/>
      <c r="CC297" s="32"/>
      <c r="CD297" s="31"/>
      <c r="CE297" s="31"/>
      <c r="CF297" s="48"/>
      <c r="CG297" s="31"/>
      <c r="CH297" s="31"/>
      <c r="CI297" s="32"/>
      <c r="CJ297" s="32"/>
      <c r="CK297" s="32"/>
      <c r="CL297" s="32"/>
      <c r="CM297" s="32"/>
      <c r="CN297" s="32"/>
      <c r="CO297" s="32"/>
      <c r="CP297" s="32"/>
      <c r="CQ297" s="32"/>
      <c r="CR297" s="32"/>
      <c r="CS297" s="32"/>
      <c r="CT297" s="32"/>
      <c r="CU297" s="32"/>
      <c r="CV297" s="32"/>
      <c r="CW297" s="32"/>
      <c r="CX297" s="32"/>
      <c r="CY297" s="32"/>
      <c r="CZ297" s="32"/>
      <c r="DA297" s="32"/>
      <c r="DB297" s="32"/>
    </row>
    <row r="298" spans="1:106" ht="15" hidden="1" customHeight="1">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c r="AA298" s="32"/>
      <c r="AB298" s="32"/>
      <c r="AC298" s="32"/>
      <c r="AD298" s="32"/>
      <c r="AE298" s="32"/>
      <c r="AF298" s="32"/>
      <c r="AG298" s="32"/>
      <c r="AH298" s="32"/>
      <c r="AI298" s="32"/>
      <c r="AJ298" s="32"/>
      <c r="AK298" s="32"/>
      <c r="AL298" s="32"/>
      <c r="AM298" s="32"/>
      <c r="AN298" s="32"/>
      <c r="AO298" s="32"/>
      <c r="AP298" s="32"/>
      <c r="AQ298" s="32"/>
      <c r="AR298" s="32"/>
      <c r="AS298" s="32"/>
      <c r="AT298" s="32"/>
      <c r="AU298" s="32"/>
      <c r="AV298" s="32"/>
      <c r="AW298" s="32"/>
      <c r="AX298" s="32"/>
      <c r="AY298" s="32"/>
      <c r="AZ298" s="32"/>
      <c r="BA298" s="32"/>
      <c r="BB298" s="32"/>
      <c r="BC298" s="32"/>
      <c r="BD298" s="32"/>
      <c r="BE298" s="32"/>
      <c r="BF298" s="2"/>
      <c r="BG298" s="2"/>
      <c r="BH298" s="2"/>
      <c r="BI298" s="2"/>
      <c r="BJ298" s="2"/>
      <c r="BK298" s="32"/>
      <c r="BL298" s="2"/>
      <c r="BM298" s="32"/>
      <c r="BN298" s="32"/>
      <c r="BO298" s="32"/>
      <c r="BP298" s="2"/>
      <c r="BQ298" s="2"/>
      <c r="BR298" s="2"/>
      <c r="BS298" s="86"/>
      <c r="BT298" s="32"/>
      <c r="BU298" s="33"/>
      <c r="BV298" s="33"/>
      <c r="BW298" s="32"/>
      <c r="BX298" s="32"/>
      <c r="BY298" s="32"/>
      <c r="BZ298" s="32"/>
      <c r="CA298" s="33"/>
      <c r="CB298" s="32"/>
      <c r="CC298" s="32"/>
      <c r="CD298" s="31"/>
      <c r="CE298" s="31"/>
      <c r="CF298" s="48"/>
      <c r="CG298" s="31"/>
      <c r="CH298" s="31"/>
      <c r="CI298" s="32"/>
      <c r="CJ298" s="32"/>
      <c r="CK298" s="32"/>
      <c r="CL298" s="32"/>
      <c r="CM298" s="32"/>
      <c r="CN298" s="32"/>
      <c r="CO298" s="32"/>
      <c r="CP298" s="32"/>
      <c r="CQ298" s="32"/>
      <c r="CR298" s="32"/>
      <c r="CS298" s="32"/>
      <c r="CT298" s="32"/>
      <c r="CU298" s="32"/>
      <c r="CV298" s="32"/>
      <c r="CW298" s="32"/>
      <c r="CX298" s="32"/>
      <c r="CY298" s="32"/>
      <c r="CZ298" s="32"/>
      <c r="DA298" s="32"/>
      <c r="DB298" s="32"/>
    </row>
    <row r="299" spans="1:106" ht="15" hidden="1" customHeight="1">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c r="AA299" s="32"/>
      <c r="AB299" s="32"/>
      <c r="AC299" s="32"/>
      <c r="AD299" s="32"/>
      <c r="AE299" s="32"/>
      <c r="AF299" s="32"/>
      <c r="AG299" s="32"/>
      <c r="AH299" s="32"/>
      <c r="AI299" s="32"/>
      <c r="AJ299" s="32"/>
      <c r="AK299" s="32"/>
      <c r="AL299" s="32"/>
      <c r="AM299" s="32"/>
      <c r="AN299" s="32"/>
      <c r="AO299" s="32"/>
      <c r="AP299" s="32"/>
      <c r="AQ299" s="32"/>
      <c r="AR299" s="32"/>
      <c r="AS299" s="32"/>
      <c r="AT299" s="32"/>
      <c r="AU299" s="32"/>
      <c r="AV299" s="32"/>
      <c r="AW299" s="32"/>
      <c r="AX299" s="32"/>
      <c r="AY299" s="32"/>
      <c r="AZ299" s="32"/>
      <c r="BA299" s="32"/>
      <c r="BB299" s="32"/>
      <c r="BC299" s="32"/>
      <c r="BD299" s="32"/>
      <c r="BE299" s="32"/>
      <c r="BF299" s="2"/>
      <c r="BG299" s="2"/>
      <c r="BH299" s="2"/>
      <c r="BI299" s="2"/>
      <c r="BJ299" s="2"/>
      <c r="BK299" s="32"/>
      <c r="BL299" s="2"/>
      <c r="BM299" s="32"/>
      <c r="BN299" s="32"/>
      <c r="BO299" s="32"/>
      <c r="BP299" s="2"/>
      <c r="BQ299" s="2"/>
      <c r="BR299" s="2"/>
      <c r="BS299" s="86"/>
      <c r="BT299" s="32"/>
      <c r="BU299" s="33"/>
      <c r="BV299" s="33"/>
      <c r="BW299" s="32"/>
      <c r="BX299" s="32"/>
      <c r="BY299" s="32"/>
      <c r="BZ299" s="32"/>
      <c r="CA299" s="33"/>
      <c r="CB299" s="32"/>
      <c r="CC299" s="32"/>
      <c r="CD299" s="31"/>
      <c r="CE299" s="31"/>
      <c r="CF299" s="48"/>
      <c r="CG299" s="31"/>
      <c r="CH299" s="31"/>
      <c r="CI299" s="32"/>
      <c r="CJ299" s="32"/>
      <c r="CK299" s="32"/>
      <c r="CL299" s="32"/>
      <c r="CM299" s="32"/>
      <c r="CN299" s="32"/>
      <c r="CO299" s="32"/>
      <c r="CP299" s="32"/>
      <c r="CQ299" s="32"/>
      <c r="CR299" s="32"/>
      <c r="CS299" s="32"/>
      <c r="CT299" s="32"/>
      <c r="CU299" s="32"/>
      <c r="CV299" s="32"/>
      <c r="CW299" s="32"/>
      <c r="CX299" s="32"/>
      <c r="CY299" s="32"/>
      <c r="CZ299" s="32"/>
      <c r="DA299" s="32"/>
      <c r="DB299" s="32"/>
    </row>
    <row r="300" spans="1:106" ht="15" hidden="1" customHeight="1">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c r="AE300" s="32"/>
      <c r="AF300" s="32"/>
      <c r="AG300" s="32"/>
      <c r="AH300" s="32"/>
      <c r="AI300" s="32"/>
      <c r="AJ300" s="32"/>
      <c r="AK300" s="32"/>
      <c r="AL300" s="32"/>
      <c r="AM300" s="32"/>
      <c r="AN300" s="32"/>
      <c r="AO300" s="32"/>
      <c r="AP300" s="32"/>
      <c r="AQ300" s="32"/>
      <c r="AR300" s="32"/>
      <c r="AS300" s="32"/>
      <c r="AT300" s="32"/>
      <c r="AU300" s="32"/>
      <c r="AV300" s="32"/>
      <c r="AW300" s="32"/>
      <c r="AX300" s="32"/>
      <c r="AY300" s="32"/>
      <c r="AZ300" s="32"/>
      <c r="BA300" s="32"/>
      <c r="BB300" s="32"/>
      <c r="BC300" s="32"/>
      <c r="BD300" s="32"/>
      <c r="BE300" s="32"/>
      <c r="BF300" s="2"/>
      <c r="BG300" s="2"/>
      <c r="BH300" s="2"/>
      <c r="BI300" s="2"/>
      <c r="BJ300" s="2"/>
      <c r="BK300" s="32"/>
      <c r="BL300" s="2"/>
      <c r="BM300" s="32"/>
      <c r="BN300" s="32"/>
      <c r="BO300" s="32"/>
      <c r="BP300" s="2"/>
      <c r="BQ300" s="2"/>
      <c r="BR300" s="2"/>
      <c r="BS300" s="86"/>
      <c r="BT300" s="32"/>
      <c r="BU300" s="33"/>
      <c r="BV300" s="33"/>
      <c r="BW300" s="32"/>
      <c r="BX300" s="32"/>
      <c r="BY300" s="32"/>
      <c r="BZ300" s="32"/>
      <c r="CA300" s="33"/>
      <c r="CB300" s="32"/>
      <c r="CC300" s="32"/>
      <c r="CD300" s="31"/>
      <c r="CE300" s="31"/>
      <c r="CF300" s="48"/>
      <c r="CG300" s="31"/>
      <c r="CH300" s="31"/>
      <c r="CI300" s="32"/>
      <c r="CJ300" s="32"/>
      <c r="CK300" s="32"/>
      <c r="CL300" s="32"/>
      <c r="CM300" s="32"/>
      <c r="CN300" s="32"/>
      <c r="CO300" s="32"/>
      <c r="CP300" s="32"/>
      <c r="CQ300" s="32"/>
      <c r="CR300" s="32"/>
      <c r="CS300" s="32"/>
      <c r="CT300" s="32"/>
      <c r="CU300" s="32"/>
      <c r="CV300" s="32"/>
      <c r="CW300" s="32"/>
      <c r="CX300" s="32"/>
      <c r="CY300" s="32"/>
      <c r="CZ300" s="32"/>
      <c r="DA300" s="32"/>
      <c r="DB300" s="32"/>
    </row>
    <row r="301" spans="1:106" ht="15" hidden="1" customHeight="1">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c r="AA301" s="32"/>
      <c r="AB301" s="32"/>
      <c r="AC301" s="32"/>
      <c r="AD301" s="32"/>
      <c r="AE301" s="32"/>
      <c r="AF301" s="32"/>
      <c r="AG301" s="32"/>
      <c r="AH301" s="32"/>
      <c r="AI301" s="32"/>
      <c r="AJ301" s="32"/>
      <c r="AK301" s="32"/>
      <c r="AL301" s="32"/>
      <c r="AM301" s="32"/>
      <c r="AN301" s="32"/>
      <c r="AO301" s="32"/>
      <c r="AP301" s="32"/>
      <c r="AQ301" s="32"/>
      <c r="AR301" s="32"/>
      <c r="AS301" s="32"/>
      <c r="AT301" s="32"/>
      <c r="AU301" s="32"/>
      <c r="AV301" s="32"/>
      <c r="AW301" s="32"/>
      <c r="AX301" s="32"/>
      <c r="AY301" s="32"/>
      <c r="AZ301" s="32"/>
      <c r="BA301" s="32"/>
      <c r="BB301" s="32"/>
      <c r="BC301" s="32"/>
      <c r="BD301" s="32"/>
      <c r="BE301" s="32"/>
      <c r="BF301" s="2"/>
      <c r="BG301" s="2"/>
      <c r="BH301" s="2"/>
      <c r="BI301" s="2"/>
      <c r="BJ301" s="2"/>
      <c r="BK301" s="32"/>
      <c r="BL301" s="2"/>
      <c r="BM301" s="32"/>
      <c r="BN301" s="32"/>
      <c r="BO301" s="32"/>
      <c r="BP301" s="2"/>
      <c r="BQ301" s="2"/>
      <c r="BR301" s="2"/>
      <c r="BS301" s="86"/>
      <c r="BT301" s="32"/>
      <c r="BU301" s="33"/>
      <c r="BV301" s="33"/>
      <c r="BW301" s="32"/>
      <c r="BX301" s="32"/>
      <c r="BY301" s="32"/>
      <c r="BZ301" s="32"/>
      <c r="CA301" s="33"/>
      <c r="CB301" s="32"/>
      <c r="CC301" s="32"/>
      <c r="CD301" s="31"/>
      <c r="CE301" s="31"/>
      <c r="CF301" s="48"/>
      <c r="CG301" s="31"/>
      <c r="CH301" s="31"/>
      <c r="CI301" s="32"/>
      <c r="CJ301" s="32"/>
      <c r="CK301" s="32"/>
      <c r="CL301" s="32"/>
      <c r="CM301" s="32"/>
      <c r="CN301" s="32"/>
      <c r="CO301" s="32"/>
      <c r="CP301" s="32"/>
      <c r="CQ301" s="32"/>
      <c r="CR301" s="32"/>
      <c r="CS301" s="32"/>
      <c r="CT301" s="32"/>
      <c r="CU301" s="32"/>
      <c r="CV301" s="32"/>
      <c r="CW301" s="32"/>
      <c r="CX301" s="32"/>
      <c r="CY301" s="32"/>
      <c r="CZ301" s="32"/>
      <c r="DA301" s="32"/>
      <c r="DB301" s="32"/>
    </row>
    <row r="302" spans="1:106" ht="15" hidden="1" customHeight="1">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c r="AA302" s="32"/>
      <c r="AB302" s="32"/>
      <c r="AC302" s="32"/>
      <c r="AD302" s="32"/>
      <c r="AE302" s="32"/>
      <c r="AF302" s="32"/>
      <c r="AG302" s="32"/>
      <c r="AH302" s="32"/>
      <c r="AI302" s="32"/>
      <c r="AJ302" s="32"/>
      <c r="AK302" s="32"/>
      <c r="AL302" s="32"/>
      <c r="AM302" s="32"/>
      <c r="AN302" s="32"/>
      <c r="AO302" s="32"/>
      <c r="AP302" s="32"/>
      <c r="AQ302" s="32"/>
      <c r="AR302" s="32"/>
      <c r="AS302" s="32"/>
      <c r="AT302" s="32"/>
      <c r="AU302" s="32"/>
      <c r="AV302" s="32"/>
      <c r="AW302" s="32"/>
      <c r="AX302" s="32"/>
      <c r="AY302" s="32"/>
      <c r="AZ302" s="32"/>
      <c r="BA302" s="32"/>
      <c r="BB302" s="32"/>
      <c r="BC302" s="32"/>
      <c r="BD302" s="32"/>
      <c r="BE302" s="32"/>
      <c r="BF302" s="2"/>
      <c r="BG302" s="2"/>
      <c r="BH302" s="2"/>
      <c r="BI302" s="2"/>
      <c r="BJ302" s="2"/>
      <c r="BK302" s="32"/>
      <c r="BL302" s="2"/>
      <c r="BM302" s="32"/>
      <c r="BN302" s="32"/>
      <c r="BO302" s="32"/>
      <c r="BP302" s="2"/>
      <c r="BQ302" s="2"/>
      <c r="BR302" s="2"/>
      <c r="BS302" s="86"/>
      <c r="BT302" s="32"/>
      <c r="BU302" s="33"/>
      <c r="BV302" s="33"/>
      <c r="BW302" s="32"/>
      <c r="BX302" s="32"/>
      <c r="BY302" s="32"/>
      <c r="BZ302" s="32"/>
      <c r="CA302" s="33"/>
      <c r="CB302" s="32"/>
      <c r="CC302" s="32"/>
      <c r="CD302" s="31"/>
      <c r="CE302" s="31"/>
      <c r="CF302" s="48"/>
      <c r="CG302" s="31"/>
      <c r="CH302" s="31"/>
      <c r="CI302" s="32"/>
      <c r="CJ302" s="32"/>
      <c r="CK302" s="32"/>
      <c r="CL302" s="32"/>
      <c r="CM302" s="32"/>
      <c r="CN302" s="32"/>
      <c r="CO302" s="32"/>
      <c r="CP302" s="32"/>
      <c r="CQ302" s="32"/>
      <c r="CR302" s="32"/>
      <c r="CS302" s="32"/>
      <c r="CT302" s="32"/>
      <c r="CU302" s="32"/>
      <c r="CV302" s="32"/>
      <c r="CW302" s="32"/>
      <c r="CX302" s="32"/>
      <c r="CY302" s="32"/>
      <c r="CZ302" s="32"/>
      <c r="DA302" s="32"/>
      <c r="DB302" s="32"/>
    </row>
    <row r="303" spans="1:106" ht="15" hidden="1" customHeight="1">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c r="AE303" s="32"/>
      <c r="AF303" s="32"/>
      <c r="AG303" s="32"/>
      <c r="AH303" s="32"/>
      <c r="AI303" s="32"/>
      <c r="AJ303" s="32"/>
      <c r="AK303" s="32"/>
      <c r="AL303" s="32"/>
      <c r="AM303" s="32"/>
      <c r="AN303" s="32"/>
      <c r="AO303" s="32"/>
      <c r="AP303" s="32"/>
      <c r="AQ303" s="32"/>
      <c r="AR303" s="32"/>
      <c r="AS303" s="32"/>
      <c r="AT303" s="32"/>
      <c r="AU303" s="32"/>
      <c r="AV303" s="32"/>
      <c r="AW303" s="32"/>
      <c r="AX303" s="32"/>
      <c r="AY303" s="32"/>
      <c r="AZ303" s="32"/>
      <c r="BA303" s="32"/>
      <c r="BB303" s="32"/>
      <c r="BC303" s="32"/>
      <c r="BD303" s="32"/>
      <c r="BE303" s="32"/>
      <c r="BF303" s="2"/>
      <c r="BG303" s="2"/>
      <c r="BH303" s="2"/>
      <c r="BI303" s="2"/>
      <c r="BJ303" s="2"/>
      <c r="BK303" s="32"/>
      <c r="BL303" s="2"/>
      <c r="BM303" s="32"/>
      <c r="BN303" s="32"/>
      <c r="BO303" s="32"/>
      <c r="BP303" s="2"/>
      <c r="BQ303" s="2"/>
      <c r="BR303" s="2"/>
      <c r="BS303" s="86"/>
      <c r="BT303" s="32"/>
      <c r="BU303" s="33"/>
      <c r="BV303" s="33"/>
      <c r="BW303" s="32"/>
      <c r="BX303" s="32"/>
      <c r="BY303" s="32"/>
      <c r="BZ303" s="32"/>
      <c r="CA303" s="33"/>
      <c r="CB303" s="32"/>
      <c r="CC303" s="32"/>
      <c r="CD303" s="31"/>
      <c r="CE303" s="31"/>
      <c r="CF303" s="48"/>
      <c r="CG303" s="31"/>
      <c r="CH303" s="31"/>
      <c r="CI303" s="32"/>
      <c r="CJ303" s="32"/>
      <c r="CK303" s="32"/>
      <c r="CL303" s="32"/>
      <c r="CM303" s="32"/>
      <c r="CN303" s="32"/>
      <c r="CO303" s="32"/>
      <c r="CP303" s="32"/>
      <c r="CQ303" s="32"/>
      <c r="CR303" s="32"/>
      <c r="CS303" s="32"/>
      <c r="CT303" s="32"/>
      <c r="CU303" s="32"/>
      <c r="CV303" s="32"/>
      <c r="CW303" s="32"/>
      <c r="CX303" s="32"/>
      <c r="CY303" s="32"/>
      <c r="CZ303" s="32"/>
      <c r="DA303" s="32"/>
      <c r="DB303" s="32"/>
    </row>
    <row r="304" spans="1:106" ht="15" hidden="1" customHeight="1">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c r="AA304" s="32"/>
      <c r="AB304" s="32"/>
      <c r="AC304" s="32"/>
      <c r="AD304" s="32"/>
      <c r="AE304" s="32"/>
      <c r="AF304" s="32"/>
      <c r="AG304" s="32"/>
      <c r="AH304" s="32"/>
      <c r="AI304" s="32"/>
      <c r="AJ304" s="32"/>
      <c r="AK304" s="32"/>
      <c r="AL304" s="32"/>
      <c r="AM304" s="32"/>
      <c r="AN304" s="32"/>
      <c r="AO304" s="32"/>
      <c r="AP304" s="32"/>
      <c r="AQ304" s="32"/>
      <c r="AR304" s="32"/>
      <c r="AS304" s="32"/>
      <c r="AT304" s="32"/>
      <c r="AU304" s="32"/>
      <c r="AV304" s="32"/>
      <c r="AW304" s="32"/>
      <c r="AX304" s="32"/>
      <c r="AY304" s="32"/>
      <c r="AZ304" s="32"/>
      <c r="BA304" s="32"/>
      <c r="BB304" s="32"/>
      <c r="BC304" s="32"/>
      <c r="BD304" s="32"/>
      <c r="BE304" s="32"/>
      <c r="BF304" s="2"/>
      <c r="BG304" s="2"/>
      <c r="BH304" s="2"/>
      <c r="BI304" s="2"/>
      <c r="BJ304" s="2"/>
      <c r="BK304" s="32"/>
      <c r="BL304" s="2"/>
      <c r="BM304" s="32"/>
      <c r="BN304" s="32"/>
      <c r="BO304" s="32"/>
      <c r="BP304" s="2"/>
      <c r="BQ304" s="2"/>
      <c r="BR304" s="2"/>
      <c r="BS304" s="86"/>
      <c r="BT304" s="32"/>
      <c r="BU304" s="33"/>
      <c r="BV304" s="33"/>
      <c r="BW304" s="32"/>
      <c r="BX304" s="32"/>
      <c r="BY304" s="32"/>
      <c r="BZ304" s="32"/>
      <c r="CA304" s="33"/>
      <c r="CB304" s="32"/>
      <c r="CC304" s="32"/>
      <c r="CD304" s="31"/>
      <c r="CE304" s="31"/>
      <c r="CF304" s="48"/>
      <c r="CG304" s="31"/>
      <c r="CH304" s="31"/>
      <c r="CI304" s="32"/>
      <c r="CJ304" s="32"/>
      <c r="CK304" s="32"/>
      <c r="CL304" s="32"/>
      <c r="CM304" s="32"/>
      <c r="CN304" s="32"/>
      <c r="CO304" s="32"/>
      <c r="CP304" s="32"/>
      <c r="CQ304" s="32"/>
      <c r="CR304" s="32"/>
      <c r="CS304" s="32"/>
      <c r="CT304" s="32"/>
      <c r="CU304" s="32"/>
      <c r="CV304" s="32"/>
      <c r="CW304" s="32"/>
      <c r="CX304" s="32"/>
      <c r="CY304" s="32"/>
      <c r="CZ304" s="32"/>
      <c r="DA304" s="32"/>
      <c r="DB304" s="32"/>
    </row>
    <row r="305" spans="1:106" ht="15" hidden="1" customHeight="1">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c r="AA305" s="32"/>
      <c r="AB305" s="32"/>
      <c r="AC305" s="32"/>
      <c r="AD305" s="32"/>
      <c r="AE305" s="32"/>
      <c r="AF305" s="32"/>
      <c r="AG305" s="32"/>
      <c r="AH305" s="32"/>
      <c r="AI305" s="32"/>
      <c r="AJ305" s="32"/>
      <c r="AK305" s="32"/>
      <c r="AL305" s="32"/>
      <c r="AM305" s="32"/>
      <c r="AN305" s="32"/>
      <c r="AO305" s="32"/>
      <c r="AP305" s="32"/>
      <c r="AQ305" s="32"/>
      <c r="AR305" s="32"/>
      <c r="AS305" s="32"/>
      <c r="AT305" s="32"/>
      <c r="AU305" s="32"/>
      <c r="AV305" s="32"/>
      <c r="AW305" s="32"/>
      <c r="AX305" s="32"/>
      <c r="AY305" s="32"/>
      <c r="AZ305" s="32"/>
      <c r="BA305" s="32"/>
      <c r="BB305" s="32"/>
      <c r="BC305" s="32"/>
      <c r="BD305" s="32"/>
      <c r="BE305" s="32"/>
      <c r="BF305" s="2"/>
      <c r="BG305" s="2"/>
      <c r="BH305" s="2"/>
      <c r="BI305" s="2"/>
      <c r="BJ305" s="2"/>
      <c r="BK305" s="32"/>
      <c r="BL305" s="2"/>
      <c r="BM305" s="32"/>
      <c r="BN305" s="32"/>
      <c r="BO305" s="32"/>
      <c r="BP305" s="2"/>
      <c r="BQ305" s="2"/>
      <c r="BR305" s="2"/>
      <c r="BS305" s="86"/>
      <c r="BT305" s="32"/>
      <c r="BU305" s="33"/>
      <c r="BV305" s="33"/>
      <c r="BW305" s="32"/>
      <c r="BX305" s="32"/>
      <c r="BY305" s="32"/>
      <c r="BZ305" s="32"/>
      <c r="CA305" s="33"/>
      <c r="CB305" s="32"/>
      <c r="CC305" s="32"/>
      <c r="CD305" s="31"/>
      <c r="CE305" s="31"/>
      <c r="CF305" s="48"/>
      <c r="CG305" s="31"/>
      <c r="CH305" s="31"/>
      <c r="CI305" s="32"/>
      <c r="CJ305" s="32"/>
      <c r="CK305" s="32"/>
      <c r="CL305" s="32"/>
      <c r="CM305" s="32"/>
      <c r="CN305" s="32"/>
      <c r="CO305" s="32"/>
      <c r="CP305" s="32"/>
      <c r="CQ305" s="32"/>
      <c r="CR305" s="32"/>
      <c r="CS305" s="32"/>
      <c r="CT305" s="32"/>
      <c r="CU305" s="32"/>
      <c r="CV305" s="32"/>
      <c r="CW305" s="32"/>
      <c r="CX305" s="32"/>
      <c r="CY305" s="32"/>
      <c r="CZ305" s="32"/>
      <c r="DA305" s="32"/>
      <c r="DB305" s="32"/>
    </row>
    <row r="306" spans="1:106" ht="15" hidden="1" customHeight="1">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c r="AE306" s="32"/>
      <c r="AF306" s="32"/>
      <c r="AG306" s="32"/>
      <c r="AH306" s="32"/>
      <c r="AI306" s="32"/>
      <c r="AJ306" s="32"/>
      <c r="AK306" s="32"/>
      <c r="AL306" s="32"/>
      <c r="AM306" s="32"/>
      <c r="AN306" s="32"/>
      <c r="AO306" s="32"/>
      <c r="AP306" s="32"/>
      <c r="AQ306" s="32"/>
      <c r="AR306" s="32"/>
      <c r="AS306" s="32"/>
      <c r="AT306" s="32"/>
      <c r="AU306" s="32"/>
      <c r="AV306" s="32"/>
      <c r="AW306" s="32"/>
      <c r="AX306" s="32"/>
      <c r="AY306" s="32"/>
      <c r="AZ306" s="32"/>
      <c r="BA306" s="32"/>
      <c r="BB306" s="32"/>
      <c r="BC306" s="32"/>
      <c r="BD306" s="32"/>
      <c r="BE306" s="32"/>
      <c r="BF306" s="2"/>
      <c r="BG306" s="2"/>
      <c r="BH306" s="2"/>
      <c r="BI306" s="2"/>
      <c r="BJ306" s="2"/>
      <c r="BK306" s="32"/>
      <c r="BL306" s="2"/>
      <c r="BM306" s="32"/>
      <c r="BN306" s="32"/>
      <c r="BO306" s="32"/>
      <c r="BP306" s="2"/>
      <c r="BQ306" s="2"/>
      <c r="BR306" s="2"/>
      <c r="BS306" s="86"/>
      <c r="BT306" s="32"/>
      <c r="BU306" s="33"/>
      <c r="BV306" s="33"/>
      <c r="BW306" s="32"/>
      <c r="BX306" s="32"/>
      <c r="BY306" s="32"/>
      <c r="BZ306" s="32"/>
      <c r="CA306" s="33"/>
      <c r="CB306" s="32"/>
      <c r="CC306" s="32"/>
      <c r="CD306" s="31"/>
      <c r="CE306" s="31"/>
      <c r="CF306" s="48"/>
      <c r="CG306" s="31"/>
      <c r="CH306" s="31"/>
      <c r="CI306" s="32"/>
      <c r="CJ306" s="32"/>
      <c r="CK306" s="32"/>
      <c r="CL306" s="32"/>
      <c r="CM306" s="32"/>
      <c r="CN306" s="32"/>
      <c r="CO306" s="32"/>
      <c r="CP306" s="32"/>
      <c r="CQ306" s="32"/>
      <c r="CR306" s="32"/>
      <c r="CS306" s="32"/>
      <c r="CT306" s="32"/>
      <c r="CU306" s="32"/>
      <c r="CV306" s="32"/>
      <c r="CW306" s="32"/>
      <c r="CX306" s="32"/>
      <c r="CY306" s="32"/>
      <c r="CZ306" s="32"/>
      <c r="DA306" s="32"/>
      <c r="DB306" s="32"/>
    </row>
    <row r="307" spans="1:106" ht="15" hidden="1" customHeight="1">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c r="AE307" s="32"/>
      <c r="AF307" s="32"/>
      <c r="AG307" s="32"/>
      <c r="AH307" s="32"/>
      <c r="AI307" s="32"/>
      <c r="AJ307" s="32"/>
      <c r="AK307" s="32"/>
      <c r="AL307" s="32"/>
      <c r="AM307" s="32"/>
      <c r="AN307" s="32"/>
      <c r="AO307" s="32"/>
      <c r="AP307" s="32"/>
      <c r="AQ307" s="32"/>
      <c r="AR307" s="32"/>
      <c r="AS307" s="32"/>
      <c r="AT307" s="32"/>
      <c r="AU307" s="32"/>
      <c r="AV307" s="32"/>
      <c r="AW307" s="32"/>
      <c r="AX307" s="32"/>
      <c r="AY307" s="32"/>
      <c r="AZ307" s="32"/>
      <c r="BA307" s="32"/>
      <c r="BB307" s="32"/>
      <c r="BC307" s="32"/>
      <c r="BD307" s="32"/>
      <c r="BE307" s="32"/>
      <c r="BF307" s="2"/>
      <c r="BG307" s="2"/>
      <c r="BH307" s="2"/>
      <c r="BI307" s="2"/>
      <c r="BJ307" s="2"/>
      <c r="BK307" s="32"/>
      <c r="BL307" s="2"/>
      <c r="BM307" s="32"/>
      <c r="BN307" s="32"/>
      <c r="BO307" s="32"/>
      <c r="BP307" s="2"/>
      <c r="BQ307" s="2"/>
      <c r="BR307" s="2"/>
      <c r="BS307" s="86"/>
      <c r="BT307" s="32"/>
      <c r="BU307" s="33"/>
      <c r="BV307" s="33"/>
      <c r="BW307" s="32"/>
      <c r="BX307" s="32"/>
      <c r="BY307" s="32"/>
      <c r="BZ307" s="99"/>
      <c r="CA307" s="31"/>
      <c r="CB307" s="31"/>
      <c r="CC307" s="31"/>
      <c r="CD307" s="31"/>
      <c r="CE307" s="31"/>
      <c r="CF307" s="48"/>
      <c r="CG307" s="31"/>
      <c r="CH307" s="31"/>
      <c r="CI307" s="32"/>
      <c r="CJ307" s="32"/>
      <c r="CK307" s="32"/>
      <c r="CL307" s="32"/>
      <c r="CM307" s="32"/>
      <c r="CN307" s="32"/>
      <c r="CO307" s="32"/>
      <c r="CP307" s="32"/>
      <c r="CQ307" s="32"/>
      <c r="CR307" s="32"/>
      <c r="CS307" s="32"/>
      <c r="CT307" s="32"/>
      <c r="CU307" s="32"/>
      <c r="CV307" s="32"/>
      <c r="CW307" s="32"/>
      <c r="CX307" s="32"/>
      <c r="CY307" s="32"/>
      <c r="CZ307" s="32"/>
      <c r="DA307" s="32"/>
      <c r="DB307" s="32"/>
    </row>
    <row r="308" spans="1:106" ht="15" hidden="1" customHeight="1">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c r="AA308" s="32"/>
      <c r="AB308" s="32"/>
      <c r="AC308" s="32"/>
      <c r="AD308" s="32"/>
      <c r="AE308" s="32"/>
      <c r="AF308" s="32"/>
      <c r="AG308" s="32"/>
      <c r="AH308" s="32"/>
      <c r="AI308" s="32"/>
      <c r="AJ308" s="32"/>
      <c r="AK308" s="32"/>
      <c r="AL308" s="32"/>
      <c r="AM308" s="32"/>
      <c r="AN308" s="32"/>
      <c r="AO308" s="32"/>
      <c r="AP308" s="32"/>
      <c r="AQ308" s="32"/>
      <c r="AR308" s="32"/>
      <c r="AS308" s="32"/>
      <c r="AT308" s="32"/>
      <c r="AU308" s="32"/>
      <c r="AV308" s="32"/>
      <c r="AW308" s="32"/>
      <c r="AX308" s="32"/>
      <c r="AY308" s="32"/>
      <c r="AZ308" s="32"/>
      <c r="BA308" s="32"/>
      <c r="BB308" s="32"/>
      <c r="BC308" s="32"/>
      <c r="BD308" s="32"/>
      <c r="BE308" s="32"/>
      <c r="BF308" s="2"/>
      <c r="BG308" s="2"/>
      <c r="BH308" s="2"/>
      <c r="BI308" s="2"/>
      <c r="BJ308" s="2"/>
      <c r="BK308" s="32"/>
      <c r="BL308" s="2"/>
      <c r="BM308" s="32"/>
      <c r="BN308" s="32"/>
      <c r="BO308" s="32"/>
      <c r="BP308" s="2"/>
      <c r="BQ308" s="2"/>
      <c r="BR308" s="2"/>
      <c r="BS308" s="86"/>
      <c r="BT308" s="32"/>
      <c r="BU308" s="33"/>
      <c r="BV308" s="33"/>
      <c r="BW308" s="32"/>
      <c r="BX308" s="32"/>
      <c r="BY308" s="32"/>
      <c r="BZ308" s="32"/>
      <c r="CA308" s="33"/>
      <c r="CB308" s="32"/>
      <c r="CC308" s="32"/>
      <c r="CD308" s="31"/>
      <c r="CE308" s="31"/>
      <c r="CF308" s="48"/>
      <c r="CG308" s="31"/>
      <c r="CH308" s="31"/>
      <c r="CI308" s="32"/>
      <c r="CJ308" s="32"/>
      <c r="CK308" s="32"/>
      <c r="CL308" s="32"/>
      <c r="CM308" s="32"/>
      <c r="CN308" s="32"/>
      <c r="CO308" s="32"/>
      <c r="CP308" s="32"/>
      <c r="CQ308" s="32"/>
      <c r="CR308" s="32"/>
      <c r="CS308" s="32"/>
      <c r="CT308" s="32"/>
      <c r="CU308" s="32"/>
      <c r="CV308" s="32"/>
      <c r="CW308" s="32"/>
      <c r="CX308" s="32"/>
      <c r="CY308" s="32"/>
      <c r="CZ308" s="32"/>
      <c r="DA308" s="32"/>
      <c r="DB308" s="32"/>
    </row>
    <row r="309" spans="1:106" ht="15" hidden="1" customHeight="1">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c r="AA309" s="32"/>
      <c r="AB309" s="32"/>
      <c r="AC309" s="32"/>
      <c r="AD309" s="32"/>
      <c r="AE309" s="32"/>
      <c r="AF309" s="32"/>
      <c r="AG309" s="32"/>
      <c r="AH309" s="32"/>
      <c r="AI309" s="32"/>
      <c r="AJ309" s="32"/>
      <c r="AK309" s="32"/>
      <c r="AL309" s="32"/>
      <c r="AM309" s="32"/>
      <c r="AN309" s="32"/>
      <c r="AO309" s="32"/>
      <c r="AP309" s="32"/>
      <c r="AQ309" s="32"/>
      <c r="AR309" s="32"/>
      <c r="AS309" s="32"/>
      <c r="AT309" s="32"/>
      <c r="AU309" s="32"/>
      <c r="AV309" s="32"/>
      <c r="AW309" s="32"/>
      <c r="AX309" s="32"/>
      <c r="AY309" s="32"/>
      <c r="AZ309" s="32"/>
      <c r="BA309" s="32"/>
      <c r="BB309" s="32"/>
      <c r="BC309" s="32"/>
      <c r="BD309" s="32"/>
      <c r="BE309" s="32"/>
      <c r="BF309" s="2"/>
      <c r="BG309" s="2"/>
      <c r="BH309" s="2"/>
      <c r="BI309" s="2"/>
      <c r="BJ309" s="2"/>
      <c r="BK309" s="32"/>
      <c r="BL309" s="2"/>
      <c r="BM309" s="32"/>
      <c r="BN309" s="32"/>
      <c r="BO309" s="32"/>
      <c r="BP309" s="2"/>
      <c r="BQ309" s="2"/>
      <c r="BR309" s="2"/>
      <c r="BS309" s="86"/>
      <c r="BT309" s="32"/>
      <c r="BU309" s="33"/>
      <c r="BV309" s="33"/>
      <c r="BW309" s="32"/>
      <c r="BX309" s="32"/>
      <c r="BY309" s="32"/>
      <c r="BZ309" s="32"/>
      <c r="CA309" s="33"/>
      <c r="CB309" s="32"/>
      <c r="CC309" s="32"/>
      <c r="CD309" s="31"/>
      <c r="CE309" s="31"/>
      <c r="CF309" s="48"/>
      <c r="CG309" s="31"/>
      <c r="CH309" s="31"/>
      <c r="CI309" s="32"/>
      <c r="CJ309" s="32"/>
      <c r="CK309" s="32"/>
      <c r="CL309" s="32"/>
      <c r="CM309" s="32"/>
      <c r="CN309" s="32"/>
      <c r="CO309" s="32"/>
      <c r="CP309" s="32"/>
      <c r="CQ309" s="32"/>
      <c r="CR309" s="32"/>
      <c r="CS309" s="32"/>
      <c r="CT309" s="32"/>
      <c r="CU309" s="32"/>
      <c r="CV309" s="32"/>
      <c r="CW309" s="32"/>
      <c r="CX309" s="32"/>
      <c r="CY309" s="32"/>
      <c r="CZ309" s="32"/>
      <c r="DA309" s="32"/>
      <c r="DB309" s="32"/>
    </row>
    <row r="310" spans="1:106" ht="15" hidden="1" customHeight="1">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c r="AA310" s="32"/>
      <c r="AB310" s="32"/>
      <c r="AC310" s="32"/>
      <c r="AD310" s="32"/>
      <c r="AE310" s="32"/>
      <c r="AF310" s="32"/>
      <c r="AG310" s="32"/>
      <c r="AH310" s="32"/>
      <c r="AI310" s="32"/>
      <c r="AJ310" s="32"/>
      <c r="AK310" s="32"/>
      <c r="AL310" s="32"/>
      <c r="AM310" s="32"/>
      <c r="AN310" s="32"/>
      <c r="AO310" s="32"/>
      <c r="AP310" s="32"/>
      <c r="AQ310" s="32"/>
      <c r="AR310" s="32"/>
      <c r="AS310" s="32"/>
      <c r="AT310" s="32"/>
      <c r="AU310" s="32"/>
      <c r="AV310" s="32"/>
      <c r="AW310" s="32"/>
      <c r="AX310" s="32"/>
      <c r="AY310" s="32"/>
      <c r="AZ310" s="32"/>
      <c r="BA310" s="32"/>
      <c r="BB310" s="32"/>
      <c r="BC310" s="32"/>
      <c r="BD310" s="32"/>
      <c r="BE310" s="32"/>
      <c r="BF310" s="2"/>
      <c r="BG310" s="2"/>
      <c r="BH310" s="2"/>
      <c r="BI310" s="2"/>
      <c r="BJ310" s="2"/>
      <c r="BK310" s="32"/>
      <c r="BL310" s="2"/>
      <c r="BM310" s="32"/>
      <c r="BN310" s="32"/>
      <c r="BO310" s="32"/>
      <c r="BP310" s="2"/>
      <c r="BQ310" s="2"/>
      <c r="BR310" s="2"/>
      <c r="BS310" s="86"/>
      <c r="BT310" s="32"/>
      <c r="BU310" s="33"/>
      <c r="BV310" s="33"/>
      <c r="BW310" s="32"/>
      <c r="BX310" s="32"/>
      <c r="BY310" s="32"/>
      <c r="BZ310" s="32"/>
      <c r="CA310" s="33"/>
      <c r="CB310" s="32"/>
      <c r="CC310" s="32"/>
      <c r="CD310" s="31"/>
      <c r="CE310" s="31"/>
      <c r="CF310" s="48"/>
      <c r="CG310" s="31"/>
      <c r="CH310" s="31"/>
      <c r="CI310" s="32"/>
      <c r="CJ310" s="32"/>
      <c r="CK310" s="32"/>
      <c r="CL310" s="32"/>
      <c r="CM310" s="32"/>
      <c r="CN310" s="32"/>
      <c r="CO310" s="32"/>
      <c r="CP310" s="32"/>
      <c r="CQ310" s="32"/>
      <c r="CR310" s="32"/>
      <c r="CS310" s="32"/>
      <c r="CT310" s="32"/>
      <c r="CU310" s="32"/>
      <c r="CV310" s="32"/>
      <c r="CW310" s="32"/>
      <c r="CX310" s="32"/>
      <c r="CY310" s="32"/>
      <c r="CZ310" s="32"/>
      <c r="DA310" s="32"/>
      <c r="DB310" s="32"/>
    </row>
    <row r="311" spans="1:106" ht="15" hidden="1" customHeight="1">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c r="AA311" s="32"/>
      <c r="AB311" s="32"/>
      <c r="AC311" s="32"/>
      <c r="AD311" s="32"/>
      <c r="AE311" s="32"/>
      <c r="AF311" s="32"/>
      <c r="AG311" s="32"/>
      <c r="AH311" s="32"/>
      <c r="AI311" s="32"/>
      <c r="AJ311" s="32"/>
      <c r="AK311" s="32"/>
      <c r="AL311" s="32"/>
      <c r="AM311" s="32"/>
      <c r="AN311" s="32"/>
      <c r="AO311" s="32"/>
      <c r="AP311" s="32"/>
      <c r="AQ311" s="32"/>
      <c r="AR311" s="32"/>
      <c r="AS311" s="32"/>
      <c r="AT311" s="32"/>
      <c r="AU311" s="32"/>
      <c r="AV311" s="32"/>
      <c r="AW311" s="32"/>
      <c r="AX311" s="32"/>
      <c r="AY311" s="32"/>
      <c r="AZ311" s="32"/>
      <c r="BA311" s="32"/>
      <c r="BB311" s="32"/>
      <c r="BC311" s="32"/>
      <c r="BD311" s="32"/>
      <c r="BE311" s="32"/>
      <c r="BF311" s="2"/>
      <c r="BG311" s="2"/>
      <c r="BH311" s="2"/>
      <c r="BI311" s="2"/>
      <c r="BJ311" s="2"/>
      <c r="BK311" s="32"/>
      <c r="BL311" s="2"/>
      <c r="BM311" s="32"/>
      <c r="BN311" s="32"/>
      <c r="BO311" s="32"/>
      <c r="BP311" s="2"/>
      <c r="BQ311" s="2"/>
      <c r="BR311" s="2"/>
      <c r="BS311" s="86"/>
      <c r="BT311" s="32"/>
      <c r="BU311" s="33"/>
      <c r="BV311" s="33"/>
      <c r="BW311" s="32"/>
      <c r="BX311" s="32"/>
      <c r="BY311" s="32"/>
      <c r="BZ311" s="32"/>
      <c r="CA311" s="33"/>
      <c r="CB311" s="32"/>
      <c r="CC311" s="32"/>
      <c r="CD311" s="31"/>
      <c r="CE311" s="31"/>
      <c r="CF311" s="48"/>
      <c r="CG311" s="31"/>
      <c r="CH311" s="31"/>
      <c r="CI311" s="32"/>
      <c r="CJ311" s="32"/>
      <c r="CK311" s="32"/>
      <c r="CL311" s="32"/>
      <c r="CM311" s="32"/>
      <c r="CN311" s="32"/>
      <c r="CO311" s="32"/>
      <c r="CP311" s="32"/>
      <c r="CQ311" s="32"/>
      <c r="CR311" s="32"/>
      <c r="CS311" s="32"/>
      <c r="CT311" s="32"/>
      <c r="CU311" s="32"/>
      <c r="CV311" s="32"/>
      <c r="CW311" s="32"/>
      <c r="CX311" s="32"/>
      <c r="CY311" s="32"/>
      <c r="CZ311" s="32"/>
      <c r="DA311" s="32"/>
      <c r="DB311" s="32"/>
    </row>
    <row r="312" spans="1:106" ht="15" hidden="1" customHeight="1">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c r="AE312" s="32"/>
      <c r="AF312" s="32"/>
      <c r="AG312" s="32"/>
      <c r="AH312" s="32"/>
      <c r="AI312" s="32"/>
      <c r="AJ312" s="32"/>
      <c r="AK312" s="32"/>
      <c r="AL312" s="32"/>
      <c r="AM312" s="32"/>
      <c r="AN312" s="32"/>
      <c r="AO312" s="32"/>
      <c r="AP312" s="32"/>
      <c r="AQ312" s="32"/>
      <c r="AR312" s="32"/>
      <c r="AS312" s="32"/>
      <c r="AT312" s="32"/>
      <c r="AU312" s="32"/>
      <c r="AV312" s="32"/>
      <c r="AW312" s="32"/>
      <c r="AX312" s="32"/>
      <c r="AY312" s="32"/>
      <c r="AZ312" s="32"/>
      <c r="BA312" s="32"/>
      <c r="BB312" s="32"/>
      <c r="BC312" s="32"/>
      <c r="BD312" s="32"/>
      <c r="BE312" s="32"/>
      <c r="BF312" s="2"/>
      <c r="BG312" s="2"/>
      <c r="BH312" s="2"/>
      <c r="BI312" s="2"/>
      <c r="BJ312" s="2"/>
      <c r="BK312" s="32"/>
      <c r="BL312" s="2"/>
      <c r="BM312" s="32"/>
      <c r="BN312" s="32"/>
      <c r="BO312" s="32"/>
      <c r="BP312" s="2"/>
      <c r="BQ312" s="2"/>
      <c r="BR312" s="2"/>
      <c r="BS312" s="86"/>
      <c r="BT312" s="32"/>
      <c r="BU312" s="33"/>
      <c r="BV312" s="33"/>
      <c r="BW312" s="32"/>
      <c r="BX312" s="32"/>
      <c r="BY312" s="32"/>
      <c r="BZ312" s="32"/>
      <c r="CA312" s="33"/>
      <c r="CB312" s="32"/>
      <c r="CC312" s="32"/>
      <c r="CD312" s="31"/>
      <c r="CE312" s="31"/>
      <c r="CF312" s="48"/>
      <c r="CG312" s="31"/>
      <c r="CH312" s="31"/>
      <c r="CI312" s="32"/>
      <c r="CJ312" s="32"/>
      <c r="CK312" s="32"/>
      <c r="CL312" s="32"/>
      <c r="CM312" s="32"/>
      <c r="CN312" s="32"/>
      <c r="CO312" s="32"/>
      <c r="CP312" s="32"/>
      <c r="CQ312" s="32"/>
      <c r="CR312" s="32"/>
      <c r="CS312" s="32"/>
      <c r="CT312" s="32"/>
      <c r="CU312" s="32"/>
      <c r="CV312" s="32"/>
      <c r="CW312" s="32"/>
      <c r="CX312" s="32"/>
      <c r="CY312" s="32"/>
      <c r="CZ312" s="32"/>
      <c r="DA312" s="32"/>
      <c r="DB312" s="32"/>
    </row>
    <row r="313" spans="1:106" ht="15" hidden="1" customHeight="1">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c r="AE313" s="32"/>
      <c r="AF313" s="32"/>
      <c r="AG313" s="32"/>
      <c r="AH313" s="32"/>
      <c r="AI313" s="32"/>
      <c r="AJ313" s="32"/>
      <c r="AK313" s="32"/>
      <c r="AL313" s="32"/>
      <c r="AM313" s="32"/>
      <c r="AN313" s="32"/>
      <c r="AO313" s="32"/>
      <c r="AP313" s="32"/>
      <c r="AQ313" s="32"/>
      <c r="AR313" s="32"/>
      <c r="AS313" s="32"/>
      <c r="AT313" s="32"/>
      <c r="AU313" s="32"/>
      <c r="AV313" s="32"/>
      <c r="AW313" s="32"/>
      <c r="AX313" s="32"/>
      <c r="AY313" s="32"/>
      <c r="AZ313" s="32"/>
      <c r="BA313" s="32"/>
      <c r="BB313" s="32"/>
      <c r="BC313" s="32"/>
      <c r="BD313" s="32"/>
      <c r="BE313" s="32"/>
      <c r="BF313" s="2"/>
      <c r="BG313" s="2"/>
      <c r="BH313" s="2"/>
      <c r="BI313" s="2"/>
      <c r="BJ313" s="2"/>
      <c r="BK313" s="32"/>
      <c r="BL313" s="2"/>
      <c r="BM313" s="32"/>
      <c r="BN313" s="32"/>
      <c r="BO313" s="32"/>
      <c r="BP313" s="2"/>
      <c r="BQ313" s="2"/>
      <c r="BR313" s="2"/>
      <c r="BS313" s="86"/>
      <c r="BT313" s="32"/>
      <c r="BU313" s="33"/>
      <c r="BV313" s="33"/>
      <c r="BW313" s="32"/>
      <c r="BX313" s="32"/>
      <c r="BY313" s="32"/>
      <c r="BZ313" s="32"/>
      <c r="CA313" s="33"/>
      <c r="CB313" s="32"/>
      <c r="CC313" s="32"/>
      <c r="CD313" s="31"/>
      <c r="CE313" s="31"/>
      <c r="CF313" s="48"/>
      <c r="CG313" s="31"/>
      <c r="CH313" s="31"/>
      <c r="CI313" s="32"/>
      <c r="CJ313" s="32"/>
      <c r="CK313" s="32"/>
      <c r="CL313" s="32"/>
      <c r="CM313" s="32"/>
      <c r="CN313" s="32"/>
      <c r="CO313" s="32"/>
      <c r="CP313" s="32"/>
      <c r="CQ313" s="32"/>
      <c r="CR313" s="32"/>
      <c r="CS313" s="32"/>
      <c r="CT313" s="32"/>
      <c r="CU313" s="32"/>
      <c r="CV313" s="32"/>
      <c r="CW313" s="32"/>
      <c r="CX313" s="32"/>
      <c r="CY313" s="32"/>
      <c r="CZ313" s="32"/>
      <c r="DA313" s="32"/>
      <c r="DB313" s="32"/>
    </row>
    <row r="314" spans="1:106" ht="15" hidden="1" customHeight="1">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c r="AA314" s="32"/>
      <c r="AB314" s="32"/>
      <c r="AC314" s="32"/>
      <c r="AD314" s="32"/>
      <c r="AE314" s="32"/>
      <c r="AF314" s="32"/>
      <c r="AG314" s="32"/>
      <c r="AH314" s="32"/>
      <c r="AI314" s="32"/>
      <c r="AJ314" s="32"/>
      <c r="AK314" s="32"/>
      <c r="AL314" s="32"/>
      <c r="AM314" s="32"/>
      <c r="AN314" s="32"/>
      <c r="AO314" s="32"/>
      <c r="AP314" s="32"/>
      <c r="AQ314" s="32"/>
      <c r="AR314" s="32"/>
      <c r="AS314" s="32"/>
      <c r="AT314" s="32"/>
      <c r="AU314" s="32"/>
      <c r="AV314" s="32"/>
      <c r="AW314" s="32"/>
      <c r="AX314" s="32"/>
      <c r="AY314" s="32"/>
      <c r="AZ314" s="32"/>
      <c r="BA314" s="32"/>
      <c r="BB314" s="32"/>
      <c r="BC314" s="32"/>
      <c r="BD314" s="32"/>
      <c r="BE314" s="32"/>
      <c r="BF314" s="2"/>
      <c r="BG314" s="2"/>
      <c r="BH314" s="2"/>
      <c r="BI314" s="2"/>
      <c r="BJ314" s="2"/>
      <c r="BK314" s="32"/>
      <c r="BL314" s="2"/>
      <c r="BM314" s="32"/>
      <c r="BN314" s="32"/>
      <c r="BO314" s="32"/>
      <c r="BP314" s="2"/>
      <c r="BQ314" s="2"/>
      <c r="BR314" s="2"/>
      <c r="BS314" s="86"/>
      <c r="BT314" s="32"/>
      <c r="BU314" s="33"/>
      <c r="BV314" s="33"/>
      <c r="BW314" s="32"/>
      <c r="BX314" s="32"/>
      <c r="BY314" s="32"/>
      <c r="BZ314" s="32"/>
      <c r="CA314" s="33"/>
      <c r="CB314" s="32"/>
      <c r="CC314" s="32"/>
      <c r="CD314" s="31"/>
      <c r="CE314" s="31"/>
      <c r="CF314" s="48"/>
      <c r="CG314" s="31"/>
      <c r="CH314" s="31"/>
      <c r="CI314" s="32"/>
      <c r="CJ314" s="32"/>
      <c r="CK314" s="32"/>
      <c r="CL314" s="32"/>
      <c r="CM314" s="32"/>
      <c r="CN314" s="32"/>
      <c r="CO314" s="32"/>
      <c r="CP314" s="32"/>
      <c r="CQ314" s="32"/>
      <c r="CR314" s="32"/>
      <c r="CS314" s="32"/>
      <c r="CT314" s="32"/>
      <c r="CU314" s="32"/>
      <c r="CV314" s="32"/>
      <c r="CW314" s="32"/>
      <c r="CX314" s="32"/>
      <c r="CY314" s="32"/>
      <c r="CZ314" s="32"/>
      <c r="DA314" s="32"/>
      <c r="DB314" s="32"/>
    </row>
    <row r="315" spans="1:106" ht="15" hidden="1" customHeight="1">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c r="AA315" s="32"/>
      <c r="AB315" s="32"/>
      <c r="AC315" s="32"/>
      <c r="AD315" s="32"/>
      <c r="AE315" s="32"/>
      <c r="AF315" s="32"/>
      <c r="AG315" s="32"/>
      <c r="AH315" s="32"/>
      <c r="AI315" s="32"/>
      <c r="AJ315" s="32"/>
      <c r="AK315" s="32"/>
      <c r="AL315" s="32"/>
      <c r="AM315" s="32"/>
      <c r="AN315" s="32"/>
      <c r="AO315" s="32"/>
      <c r="AP315" s="32"/>
      <c r="AQ315" s="32"/>
      <c r="AR315" s="32"/>
      <c r="AS315" s="32"/>
      <c r="AT315" s="32"/>
      <c r="AU315" s="32"/>
      <c r="AV315" s="32"/>
      <c r="AW315" s="32"/>
      <c r="AX315" s="32"/>
      <c r="AY315" s="32"/>
      <c r="AZ315" s="32"/>
      <c r="BA315" s="32"/>
      <c r="BB315" s="32"/>
      <c r="BC315" s="32"/>
      <c r="BD315" s="32"/>
      <c r="BE315" s="32"/>
      <c r="BF315" s="2"/>
      <c r="BG315" s="2"/>
      <c r="BH315" s="2"/>
      <c r="BI315" s="2"/>
      <c r="BJ315" s="2"/>
      <c r="BK315" s="32"/>
      <c r="BL315" s="2"/>
      <c r="BM315" s="32"/>
      <c r="BN315" s="32"/>
      <c r="BO315" s="32"/>
      <c r="BP315" s="2"/>
      <c r="BQ315" s="2"/>
      <c r="BR315" s="2"/>
      <c r="BS315" s="86"/>
      <c r="BT315" s="32"/>
      <c r="BU315" s="33"/>
      <c r="BV315" s="33"/>
      <c r="BW315" s="32"/>
      <c r="BX315" s="32"/>
      <c r="BY315" s="32"/>
      <c r="BZ315" s="32"/>
      <c r="CA315" s="33"/>
      <c r="CB315" s="32"/>
      <c r="CC315" s="32"/>
      <c r="CD315" s="31"/>
      <c r="CE315" s="31"/>
      <c r="CF315" s="48"/>
      <c r="CG315" s="31"/>
      <c r="CH315" s="31"/>
      <c r="CI315" s="32"/>
      <c r="CJ315" s="32"/>
      <c r="CK315" s="32"/>
      <c r="CL315" s="32"/>
      <c r="CM315" s="32"/>
      <c r="CN315" s="32"/>
      <c r="CO315" s="32"/>
      <c r="CP315" s="32"/>
      <c r="CQ315" s="32"/>
      <c r="CR315" s="32"/>
      <c r="CS315" s="32"/>
      <c r="CT315" s="32"/>
      <c r="CU315" s="32"/>
      <c r="CV315" s="32"/>
      <c r="CW315" s="32"/>
      <c r="CX315" s="32"/>
      <c r="CY315" s="32"/>
      <c r="CZ315" s="32"/>
      <c r="DA315" s="32"/>
      <c r="DB315" s="32"/>
    </row>
    <row r="316" spans="1:106" ht="15" hidden="1" customHeight="1">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c r="AA316" s="32"/>
      <c r="AB316" s="32"/>
      <c r="AC316" s="32"/>
      <c r="AD316" s="32"/>
      <c r="AE316" s="32"/>
      <c r="AF316" s="32"/>
      <c r="AG316" s="32"/>
      <c r="AH316" s="32"/>
      <c r="AI316" s="32"/>
      <c r="AJ316" s="32"/>
      <c r="AK316" s="32"/>
      <c r="AL316" s="32"/>
      <c r="AM316" s="32"/>
      <c r="AN316" s="32"/>
      <c r="AO316" s="32"/>
      <c r="AP316" s="32"/>
      <c r="AQ316" s="32"/>
      <c r="AR316" s="32"/>
      <c r="AS316" s="32"/>
      <c r="AT316" s="32"/>
      <c r="AU316" s="32"/>
      <c r="AV316" s="32"/>
      <c r="AW316" s="32"/>
      <c r="AX316" s="32"/>
      <c r="AY316" s="32"/>
      <c r="AZ316" s="32"/>
      <c r="BA316" s="32"/>
      <c r="BB316" s="32"/>
      <c r="BC316" s="32"/>
      <c r="BD316" s="32"/>
      <c r="BE316" s="32"/>
      <c r="BF316" s="2"/>
      <c r="BG316" s="2"/>
      <c r="BH316" s="2"/>
      <c r="BI316" s="2"/>
      <c r="BJ316" s="2"/>
      <c r="BK316" s="32"/>
      <c r="BL316" s="2"/>
      <c r="BM316" s="32"/>
      <c r="BN316" s="32"/>
      <c r="BO316" s="32"/>
      <c r="BP316" s="2"/>
      <c r="BQ316" s="2"/>
      <c r="BR316" s="2"/>
      <c r="BS316" s="86"/>
      <c r="BT316" s="32"/>
      <c r="BU316" s="33"/>
      <c r="BV316" s="33"/>
      <c r="BW316" s="32"/>
      <c r="BX316" s="32"/>
      <c r="BY316" s="32"/>
      <c r="BZ316" s="32"/>
      <c r="CA316" s="33"/>
      <c r="CB316" s="32"/>
      <c r="CC316" s="32"/>
      <c r="CD316" s="31"/>
      <c r="CE316" s="31"/>
      <c r="CF316" s="48"/>
      <c r="CG316" s="31"/>
      <c r="CH316" s="31"/>
      <c r="CI316" s="32"/>
      <c r="CJ316" s="32"/>
      <c r="CK316" s="32"/>
      <c r="CL316" s="32"/>
      <c r="CM316" s="32"/>
      <c r="CN316" s="32"/>
      <c r="CO316" s="32"/>
      <c r="CP316" s="32"/>
      <c r="CQ316" s="32"/>
      <c r="CR316" s="32"/>
      <c r="CS316" s="32"/>
      <c r="CT316" s="32"/>
      <c r="CU316" s="32"/>
      <c r="CV316" s="32"/>
      <c r="CW316" s="32"/>
      <c r="CX316" s="32"/>
      <c r="CY316" s="32"/>
      <c r="CZ316" s="32"/>
      <c r="DA316" s="32"/>
      <c r="DB316" s="32"/>
    </row>
    <row r="317" spans="1:106" ht="15" hidden="1" customHeight="1">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c r="AA317" s="32"/>
      <c r="AB317" s="32"/>
      <c r="AC317" s="32"/>
      <c r="AD317" s="32"/>
      <c r="AE317" s="32"/>
      <c r="AF317" s="32"/>
      <c r="AG317" s="32"/>
      <c r="AH317" s="32"/>
      <c r="AI317" s="32"/>
      <c r="AJ317" s="32"/>
      <c r="AK317" s="32"/>
      <c r="AL317" s="32"/>
      <c r="AM317" s="32"/>
      <c r="AN317" s="32"/>
      <c r="AO317" s="32"/>
      <c r="AP317" s="32"/>
      <c r="AQ317" s="32"/>
      <c r="AR317" s="32"/>
      <c r="AS317" s="32"/>
      <c r="AT317" s="32"/>
      <c r="AU317" s="32"/>
      <c r="AV317" s="32"/>
      <c r="AW317" s="32"/>
      <c r="AX317" s="32"/>
      <c r="AY317" s="32"/>
      <c r="AZ317" s="32"/>
      <c r="BA317" s="32"/>
      <c r="BB317" s="32"/>
      <c r="BC317" s="32"/>
      <c r="BD317" s="32"/>
      <c r="BE317" s="32"/>
      <c r="BF317" s="2"/>
      <c r="BG317" s="2"/>
      <c r="BH317" s="2"/>
      <c r="BI317" s="2"/>
      <c r="BJ317" s="2"/>
      <c r="BK317" s="32"/>
      <c r="BL317" s="2"/>
      <c r="BM317" s="32"/>
      <c r="BN317" s="32"/>
      <c r="BO317" s="32"/>
      <c r="BP317" s="2"/>
      <c r="BQ317" s="2"/>
      <c r="BR317" s="2"/>
      <c r="BS317" s="86"/>
      <c r="BT317" s="32"/>
      <c r="BU317" s="33"/>
      <c r="BV317" s="33"/>
      <c r="BW317" s="32"/>
      <c r="BX317" s="32"/>
      <c r="BY317" s="32"/>
      <c r="BZ317" s="32"/>
      <c r="CA317" s="33"/>
      <c r="CB317" s="32"/>
      <c r="CC317" s="32"/>
      <c r="CD317" s="31"/>
      <c r="CE317" s="31"/>
      <c r="CF317" s="48"/>
      <c r="CG317" s="31"/>
      <c r="CH317" s="31"/>
      <c r="CI317" s="32"/>
      <c r="CJ317" s="32"/>
      <c r="CK317" s="32"/>
      <c r="CL317" s="32"/>
      <c r="CM317" s="32"/>
      <c r="CN317" s="32"/>
      <c r="CO317" s="32"/>
      <c r="CP317" s="32"/>
      <c r="CQ317" s="32"/>
      <c r="CR317" s="32"/>
      <c r="CS317" s="32"/>
      <c r="CT317" s="32"/>
      <c r="CU317" s="32"/>
      <c r="CV317" s="32"/>
      <c r="CW317" s="32"/>
      <c r="CX317" s="32"/>
      <c r="CY317" s="32"/>
      <c r="CZ317" s="32"/>
      <c r="DA317" s="32"/>
      <c r="DB317" s="32"/>
    </row>
    <row r="318" spans="1:106" ht="15" hidden="1" customHeight="1">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c r="AA318" s="32"/>
      <c r="AB318" s="32"/>
      <c r="AC318" s="32"/>
      <c r="AD318" s="32"/>
      <c r="AE318" s="32"/>
      <c r="AF318" s="32"/>
      <c r="AG318" s="32"/>
      <c r="AH318" s="32"/>
      <c r="AI318" s="32"/>
      <c r="AJ318" s="32"/>
      <c r="AK318" s="32"/>
      <c r="AL318" s="32"/>
      <c r="AM318" s="32"/>
      <c r="AN318" s="32"/>
      <c r="AO318" s="32"/>
      <c r="AP318" s="32"/>
      <c r="AQ318" s="32"/>
      <c r="AR318" s="32"/>
      <c r="AS318" s="32"/>
      <c r="AT318" s="32"/>
      <c r="AU318" s="32"/>
      <c r="AV318" s="32"/>
      <c r="AW318" s="32"/>
      <c r="AX318" s="32"/>
      <c r="AY318" s="32"/>
      <c r="AZ318" s="32"/>
      <c r="BA318" s="32"/>
      <c r="BB318" s="32"/>
      <c r="BC318" s="32"/>
      <c r="BD318" s="32"/>
      <c r="BE318" s="32"/>
      <c r="BF318" s="2"/>
      <c r="BG318" s="2"/>
      <c r="BH318" s="2"/>
      <c r="BI318" s="2"/>
      <c r="BJ318" s="2"/>
      <c r="BK318" s="32"/>
      <c r="BL318" s="2"/>
      <c r="BM318" s="32"/>
      <c r="BN318" s="32"/>
      <c r="BO318" s="32"/>
      <c r="BP318" s="2"/>
      <c r="BQ318" s="2"/>
      <c r="BR318" s="2"/>
      <c r="BS318" s="86"/>
      <c r="BT318" s="32"/>
      <c r="BU318" s="33"/>
      <c r="BV318" s="33"/>
      <c r="BW318" s="32"/>
      <c r="BX318" s="32"/>
      <c r="BY318" s="32"/>
      <c r="BZ318" s="32"/>
      <c r="CA318" s="33"/>
      <c r="CB318" s="32"/>
      <c r="CC318" s="32"/>
      <c r="CD318" s="31"/>
      <c r="CE318" s="31"/>
      <c r="CF318" s="48"/>
      <c r="CG318" s="31"/>
      <c r="CH318" s="31"/>
      <c r="CI318" s="32"/>
      <c r="CJ318" s="32"/>
      <c r="CK318" s="32"/>
      <c r="CL318" s="32"/>
      <c r="CM318" s="32"/>
      <c r="CN318" s="32"/>
      <c r="CO318" s="32"/>
      <c r="CP318" s="32"/>
      <c r="CQ318" s="32"/>
      <c r="CR318" s="32"/>
      <c r="CS318" s="32"/>
      <c r="CT318" s="32"/>
      <c r="CU318" s="32"/>
      <c r="CV318" s="32"/>
      <c r="CW318" s="32"/>
      <c r="CX318" s="32"/>
      <c r="CY318" s="32"/>
      <c r="CZ318" s="32"/>
      <c r="DA318" s="32"/>
      <c r="DB318" s="32"/>
    </row>
    <row r="319" spans="1:106" ht="15" hidden="1" customHeight="1">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c r="AE319" s="32"/>
      <c r="AF319" s="32"/>
      <c r="AG319" s="32"/>
      <c r="AH319" s="32"/>
      <c r="AI319" s="32"/>
      <c r="AJ319" s="32"/>
      <c r="AK319" s="32"/>
      <c r="AL319" s="32"/>
      <c r="AM319" s="32"/>
      <c r="AN319" s="32"/>
      <c r="AO319" s="32"/>
      <c r="AP319" s="32"/>
      <c r="AQ319" s="32"/>
      <c r="AR319" s="32"/>
      <c r="AS319" s="32"/>
      <c r="AT319" s="32"/>
      <c r="AU319" s="32"/>
      <c r="AV319" s="32"/>
      <c r="AW319" s="32"/>
      <c r="AX319" s="32"/>
      <c r="AY319" s="32"/>
      <c r="AZ319" s="32"/>
      <c r="BA319" s="32"/>
      <c r="BB319" s="32"/>
      <c r="BC319" s="32"/>
      <c r="BD319" s="32"/>
      <c r="BE319" s="32"/>
      <c r="BF319" s="2"/>
      <c r="BG319" s="2"/>
      <c r="BH319" s="2"/>
      <c r="BI319" s="2"/>
      <c r="BJ319" s="2"/>
      <c r="BK319" s="32"/>
      <c r="BL319" s="2"/>
      <c r="BM319" s="32"/>
      <c r="BN319" s="32"/>
      <c r="BO319" s="32"/>
      <c r="BP319" s="2"/>
      <c r="BQ319" s="2"/>
      <c r="BR319" s="2"/>
      <c r="BS319" s="86"/>
      <c r="BT319" s="32"/>
      <c r="BU319" s="33"/>
      <c r="BV319" s="33"/>
      <c r="BW319" s="32"/>
      <c r="BX319" s="32"/>
      <c r="BY319" s="32"/>
      <c r="BZ319" s="32"/>
      <c r="CA319" s="33"/>
      <c r="CB319" s="32"/>
      <c r="CC319" s="32"/>
      <c r="CD319" s="31"/>
      <c r="CE319" s="31"/>
      <c r="CF319" s="48"/>
      <c r="CG319" s="31"/>
      <c r="CH319" s="31"/>
      <c r="CI319" s="32"/>
      <c r="CJ319" s="32"/>
      <c r="CK319" s="32"/>
      <c r="CL319" s="32"/>
      <c r="CM319" s="32"/>
      <c r="CN319" s="32"/>
      <c r="CO319" s="32"/>
      <c r="CP319" s="32"/>
      <c r="CQ319" s="32"/>
      <c r="CR319" s="32"/>
      <c r="CS319" s="32"/>
      <c r="CT319" s="32"/>
      <c r="CU319" s="32"/>
      <c r="CV319" s="32"/>
      <c r="CW319" s="32"/>
      <c r="CX319" s="32"/>
      <c r="CY319" s="32"/>
      <c r="CZ319" s="32"/>
      <c r="DA319" s="32"/>
      <c r="DB319" s="32"/>
    </row>
    <row r="320" spans="1:106" ht="15" hidden="1" customHeight="1">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c r="AA320" s="32"/>
      <c r="AB320" s="32"/>
      <c r="AC320" s="32"/>
      <c r="AD320" s="32"/>
      <c r="AE320" s="32"/>
      <c r="AF320" s="32"/>
      <c r="AG320" s="32"/>
      <c r="AH320" s="32"/>
      <c r="AI320" s="32"/>
      <c r="AJ320" s="32"/>
      <c r="AK320" s="32"/>
      <c r="AL320" s="32"/>
      <c r="AM320" s="32"/>
      <c r="AN320" s="32"/>
      <c r="AO320" s="32"/>
      <c r="AP320" s="32"/>
      <c r="AQ320" s="32"/>
      <c r="AR320" s="32"/>
      <c r="AS320" s="32"/>
      <c r="AT320" s="32"/>
      <c r="AU320" s="32"/>
      <c r="AV320" s="32"/>
      <c r="AW320" s="32"/>
      <c r="AX320" s="32"/>
      <c r="AY320" s="32"/>
      <c r="AZ320" s="32"/>
      <c r="BA320" s="32"/>
      <c r="BB320" s="32"/>
      <c r="BC320" s="32"/>
      <c r="BD320" s="32"/>
      <c r="BE320" s="32"/>
      <c r="BF320" s="2"/>
      <c r="BG320" s="2"/>
      <c r="BH320" s="2"/>
      <c r="BI320" s="2"/>
      <c r="BJ320" s="2"/>
      <c r="BK320" s="32"/>
      <c r="BL320" s="2"/>
      <c r="BM320" s="32"/>
      <c r="BN320" s="32"/>
      <c r="BO320" s="32"/>
      <c r="BP320" s="2"/>
      <c r="BQ320" s="2"/>
      <c r="BR320" s="2"/>
      <c r="BS320" s="86"/>
      <c r="BT320" s="32"/>
      <c r="BU320" s="33"/>
      <c r="BV320" s="33"/>
      <c r="BW320" s="32"/>
      <c r="BX320" s="32"/>
      <c r="BY320" s="32"/>
      <c r="BZ320" s="32"/>
      <c r="CA320" s="33"/>
      <c r="CB320" s="32"/>
      <c r="CC320" s="32"/>
      <c r="CD320" s="31"/>
      <c r="CE320" s="31"/>
      <c r="CF320" s="48"/>
      <c r="CG320" s="31"/>
      <c r="CH320" s="31"/>
      <c r="CI320" s="32"/>
      <c r="CJ320" s="32"/>
      <c r="CK320" s="32"/>
      <c r="CL320" s="32"/>
      <c r="CM320" s="32"/>
      <c r="CN320" s="32"/>
      <c r="CO320" s="32"/>
      <c r="CP320" s="32"/>
      <c r="CQ320" s="32"/>
      <c r="CR320" s="32"/>
      <c r="CS320" s="32"/>
      <c r="CT320" s="32"/>
      <c r="CU320" s="32"/>
      <c r="CV320" s="32"/>
      <c r="CW320" s="32"/>
      <c r="CX320" s="32"/>
      <c r="CY320" s="32"/>
      <c r="CZ320" s="32"/>
      <c r="DA320" s="32"/>
      <c r="DB320" s="32"/>
    </row>
    <row r="321" spans="1:106" ht="15" hidden="1" customHeight="1">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c r="AE321" s="32"/>
      <c r="AF321" s="32"/>
      <c r="AG321" s="32"/>
      <c r="AH321" s="32"/>
      <c r="AI321" s="32"/>
      <c r="AJ321" s="32"/>
      <c r="AK321" s="32"/>
      <c r="AL321" s="32"/>
      <c r="AM321" s="32"/>
      <c r="AN321" s="32"/>
      <c r="AO321" s="32"/>
      <c r="AP321" s="32"/>
      <c r="AQ321" s="32"/>
      <c r="AR321" s="32"/>
      <c r="AS321" s="32"/>
      <c r="AT321" s="32"/>
      <c r="AU321" s="32"/>
      <c r="AV321" s="32"/>
      <c r="AW321" s="32"/>
      <c r="AX321" s="32"/>
      <c r="AY321" s="32"/>
      <c r="AZ321" s="32"/>
      <c r="BA321" s="32"/>
      <c r="BB321" s="32"/>
      <c r="BC321" s="32"/>
      <c r="BD321" s="32"/>
      <c r="BE321" s="32"/>
      <c r="BF321" s="2"/>
      <c r="BG321" s="2"/>
      <c r="BH321" s="2"/>
      <c r="BI321" s="2"/>
      <c r="BJ321" s="2"/>
      <c r="BK321" s="32"/>
      <c r="BL321" s="2"/>
      <c r="BM321" s="32"/>
      <c r="BN321" s="32"/>
      <c r="BO321" s="32"/>
      <c r="BP321" s="2"/>
      <c r="BQ321" s="2"/>
      <c r="BR321" s="2"/>
      <c r="BS321" s="86"/>
      <c r="BT321" s="32"/>
      <c r="BU321" s="33"/>
      <c r="BV321" s="33"/>
      <c r="BW321" s="32"/>
      <c r="BX321" s="32"/>
      <c r="BY321" s="32"/>
      <c r="BZ321" s="32"/>
      <c r="CA321" s="33"/>
      <c r="CB321" s="32"/>
      <c r="CC321" s="32"/>
      <c r="CD321" s="31"/>
      <c r="CE321" s="31"/>
      <c r="CF321" s="48"/>
      <c r="CG321" s="31"/>
      <c r="CH321" s="31"/>
      <c r="CI321" s="32"/>
      <c r="CJ321" s="32"/>
      <c r="CK321" s="32"/>
      <c r="CL321" s="32"/>
      <c r="CM321" s="32"/>
      <c r="CN321" s="32"/>
      <c r="CO321" s="32"/>
      <c r="CP321" s="32"/>
      <c r="CQ321" s="32"/>
      <c r="CR321" s="32"/>
      <c r="CS321" s="32"/>
      <c r="CT321" s="32"/>
      <c r="CU321" s="32"/>
      <c r="CV321" s="32"/>
      <c r="CW321" s="32"/>
      <c r="CX321" s="32"/>
      <c r="CY321" s="32"/>
      <c r="CZ321" s="32"/>
      <c r="DA321" s="32"/>
      <c r="DB321" s="32"/>
    </row>
    <row r="322" spans="1:106" ht="15" hidden="1" customHeight="1">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c r="AA322" s="32"/>
      <c r="AB322" s="32"/>
      <c r="AC322" s="32"/>
      <c r="AD322" s="32"/>
      <c r="AE322" s="32"/>
      <c r="AF322" s="32"/>
      <c r="AG322" s="32"/>
      <c r="AH322" s="32"/>
      <c r="AI322" s="32"/>
      <c r="AJ322" s="32"/>
      <c r="AK322" s="32"/>
      <c r="AL322" s="32"/>
      <c r="AM322" s="32"/>
      <c r="AN322" s="32"/>
      <c r="AO322" s="32"/>
      <c r="AP322" s="32"/>
      <c r="AQ322" s="32"/>
      <c r="AR322" s="32"/>
      <c r="AS322" s="32"/>
      <c r="AT322" s="32"/>
      <c r="AU322" s="32"/>
      <c r="AV322" s="32"/>
      <c r="AW322" s="32"/>
      <c r="AX322" s="32"/>
      <c r="AY322" s="32"/>
      <c r="AZ322" s="32"/>
      <c r="BA322" s="32"/>
      <c r="BB322" s="32"/>
      <c r="BC322" s="32"/>
      <c r="BD322" s="32"/>
      <c r="BE322" s="32"/>
      <c r="BF322" s="2"/>
      <c r="BG322" s="2"/>
      <c r="BH322" s="2"/>
      <c r="BI322" s="2"/>
      <c r="BJ322" s="2"/>
      <c r="BK322" s="32"/>
      <c r="BL322" s="2"/>
      <c r="BM322" s="32"/>
      <c r="BN322" s="32"/>
      <c r="BO322" s="32"/>
      <c r="BP322" s="2"/>
      <c r="BQ322" s="2"/>
      <c r="BR322" s="2"/>
      <c r="BS322" s="86"/>
      <c r="BT322" s="32"/>
      <c r="BU322" s="33"/>
      <c r="BV322" s="33"/>
      <c r="BW322" s="32"/>
      <c r="BX322" s="32"/>
      <c r="BY322" s="32"/>
      <c r="BZ322" s="32"/>
      <c r="CA322" s="33"/>
      <c r="CB322" s="32"/>
      <c r="CC322" s="32"/>
      <c r="CD322" s="31"/>
      <c r="CE322" s="31"/>
      <c r="CF322" s="48"/>
      <c r="CG322" s="31"/>
      <c r="CH322" s="31"/>
      <c r="CI322" s="32"/>
      <c r="CJ322" s="32"/>
      <c r="CK322" s="32"/>
      <c r="CL322" s="32"/>
      <c r="CM322" s="32"/>
      <c r="CN322" s="32"/>
      <c r="CO322" s="32"/>
      <c r="CP322" s="32"/>
      <c r="CQ322" s="32"/>
      <c r="CR322" s="32"/>
      <c r="CS322" s="32"/>
      <c r="CT322" s="32"/>
      <c r="CU322" s="32"/>
      <c r="CV322" s="32"/>
      <c r="CW322" s="32"/>
      <c r="CX322" s="32"/>
      <c r="CY322" s="32"/>
      <c r="CZ322" s="32"/>
      <c r="DA322" s="32"/>
      <c r="DB322" s="32"/>
    </row>
    <row r="323" spans="1:106" ht="15" hidden="1" customHeight="1">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c r="AA323" s="32"/>
      <c r="AB323" s="32"/>
      <c r="AC323" s="32"/>
      <c r="AD323" s="32"/>
      <c r="AE323" s="32"/>
      <c r="AF323" s="32"/>
      <c r="AG323" s="32"/>
      <c r="AH323" s="32"/>
      <c r="AI323" s="32"/>
      <c r="AJ323" s="32"/>
      <c r="AK323" s="32"/>
      <c r="AL323" s="32"/>
      <c r="AM323" s="32"/>
      <c r="AN323" s="32"/>
      <c r="AO323" s="32"/>
      <c r="AP323" s="32"/>
      <c r="AQ323" s="32"/>
      <c r="AR323" s="32"/>
      <c r="AS323" s="32"/>
      <c r="AT323" s="32"/>
      <c r="AU323" s="32"/>
      <c r="AV323" s="32"/>
      <c r="AW323" s="32"/>
      <c r="AX323" s="32"/>
      <c r="AY323" s="32"/>
      <c r="AZ323" s="32"/>
      <c r="BA323" s="32"/>
      <c r="BB323" s="32"/>
      <c r="BC323" s="32"/>
      <c r="BD323" s="32"/>
      <c r="BE323" s="32"/>
      <c r="BF323" s="2"/>
      <c r="BG323" s="2"/>
      <c r="BH323" s="2"/>
      <c r="BI323" s="2"/>
      <c r="BJ323" s="2"/>
      <c r="BK323" s="32"/>
      <c r="BL323" s="2"/>
      <c r="BM323" s="32"/>
      <c r="BN323" s="32"/>
      <c r="BO323" s="32"/>
      <c r="BP323" s="2"/>
      <c r="BQ323" s="2"/>
      <c r="BR323" s="2"/>
      <c r="BS323" s="86"/>
      <c r="BT323" s="32"/>
      <c r="BU323" s="33"/>
      <c r="BV323" s="33"/>
      <c r="BW323" s="32"/>
      <c r="BX323" s="32"/>
      <c r="BY323" s="32"/>
      <c r="BZ323" s="99"/>
      <c r="CA323" s="31"/>
      <c r="CB323" s="31"/>
      <c r="CC323" s="31"/>
      <c r="CD323" s="31"/>
      <c r="CE323" s="31"/>
      <c r="CF323" s="48"/>
      <c r="CG323" s="31"/>
      <c r="CH323" s="31"/>
      <c r="CI323" s="32"/>
      <c r="CJ323" s="32"/>
      <c r="CK323" s="32"/>
      <c r="CL323" s="32"/>
      <c r="CM323" s="32"/>
      <c r="CN323" s="32"/>
      <c r="CO323" s="32"/>
      <c r="CP323" s="32"/>
      <c r="CQ323" s="32"/>
      <c r="CR323" s="32"/>
      <c r="CS323" s="32"/>
      <c r="CT323" s="32"/>
      <c r="CU323" s="32"/>
      <c r="CV323" s="32"/>
      <c r="CW323" s="32"/>
      <c r="CX323" s="32"/>
      <c r="CY323" s="32"/>
      <c r="CZ323" s="32"/>
      <c r="DA323" s="32"/>
      <c r="DB323" s="32"/>
    </row>
    <row r="324" spans="1:106" ht="15" hidden="1" customHeight="1">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c r="AE324" s="32"/>
      <c r="AF324" s="32"/>
      <c r="AG324" s="32"/>
      <c r="AH324" s="32"/>
      <c r="AI324" s="32"/>
      <c r="AJ324" s="32"/>
      <c r="AK324" s="32"/>
      <c r="AL324" s="32"/>
      <c r="AM324" s="32"/>
      <c r="AN324" s="32"/>
      <c r="AO324" s="32"/>
      <c r="AP324" s="32"/>
      <c r="AQ324" s="32"/>
      <c r="AR324" s="32"/>
      <c r="AS324" s="32"/>
      <c r="AT324" s="32"/>
      <c r="AU324" s="32"/>
      <c r="AV324" s="32"/>
      <c r="AW324" s="32"/>
      <c r="AX324" s="32"/>
      <c r="AY324" s="32"/>
      <c r="AZ324" s="32"/>
      <c r="BA324" s="32"/>
      <c r="BB324" s="32"/>
      <c r="BC324" s="32"/>
      <c r="BD324" s="32"/>
      <c r="BE324" s="32"/>
      <c r="BF324" s="2"/>
      <c r="BG324" s="2"/>
      <c r="BH324" s="2"/>
      <c r="BI324" s="2"/>
      <c r="BJ324" s="2"/>
      <c r="BK324" s="32"/>
      <c r="BL324" s="2"/>
      <c r="BM324" s="32"/>
      <c r="BN324" s="32"/>
      <c r="BO324" s="32"/>
      <c r="BP324" s="2"/>
      <c r="BQ324" s="2"/>
      <c r="BR324" s="2"/>
      <c r="BS324" s="86"/>
      <c r="BT324" s="32"/>
      <c r="BU324" s="33"/>
      <c r="BV324" s="33"/>
      <c r="BW324" s="32"/>
      <c r="BX324" s="32"/>
      <c r="BY324" s="32"/>
      <c r="BZ324" s="32"/>
      <c r="CA324" s="33"/>
      <c r="CB324" s="32"/>
      <c r="CC324" s="32"/>
      <c r="CD324" s="31"/>
      <c r="CE324" s="31"/>
      <c r="CF324" s="48"/>
      <c r="CG324" s="31"/>
      <c r="CH324" s="31"/>
      <c r="CI324" s="32"/>
      <c r="CJ324" s="32"/>
      <c r="CK324" s="32"/>
      <c r="CL324" s="32"/>
      <c r="CM324" s="32"/>
      <c r="CN324" s="32"/>
      <c r="CO324" s="32"/>
      <c r="CP324" s="32"/>
      <c r="CQ324" s="32"/>
      <c r="CR324" s="32"/>
      <c r="CS324" s="32"/>
      <c r="CT324" s="32"/>
      <c r="CU324" s="32"/>
      <c r="CV324" s="32"/>
      <c r="CW324" s="32"/>
      <c r="CX324" s="32"/>
      <c r="CY324" s="32"/>
      <c r="CZ324" s="32"/>
      <c r="DA324" s="32"/>
      <c r="DB324" s="32"/>
    </row>
    <row r="325" spans="1:106" ht="15" hidden="1" customHeight="1">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c r="AA325" s="32"/>
      <c r="AB325" s="32"/>
      <c r="AC325" s="32"/>
      <c r="AD325" s="32"/>
      <c r="AE325" s="32"/>
      <c r="AF325" s="32"/>
      <c r="AG325" s="32"/>
      <c r="AH325" s="32"/>
      <c r="AI325" s="32"/>
      <c r="AJ325" s="32"/>
      <c r="AK325" s="32"/>
      <c r="AL325" s="32"/>
      <c r="AM325" s="32"/>
      <c r="AN325" s="32"/>
      <c r="AO325" s="32"/>
      <c r="AP325" s="32"/>
      <c r="AQ325" s="32"/>
      <c r="AR325" s="32"/>
      <c r="AS325" s="32"/>
      <c r="AT325" s="32"/>
      <c r="AU325" s="32"/>
      <c r="AV325" s="32"/>
      <c r="AW325" s="32"/>
      <c r="AX325" s="32"/>
      <c r="AY325" s="32"/>
      <c r="AZ325" s="32"/>
      <c r="BA325" s="32"/>
      <c r="BB325" s="32"/>
      <c r="BC325" s="32"/>
      <c r="BD325" s="32"/>
      <c r="BE325" s="32"/>
      <c r="BF325" s="2"/>
      <c r="BG325" s="2"/>
      <c r="BH325" s="2"/>
      <c r="BI325" s="2"/>
      <c r="BJ325" s="2"/>
      <c r="BK325" s="32"/>
      <c r="BL325" s="2"/>
      <c r="BM325" s="32"/>
      <c r="BN325" s="32"/>
      <c r="BO325" s="32"/>
      <c r="BP325" s="2"/>
      <c r="BQ325" s="2"/>
      <c r="BR325" s="2"/>
      <c r="BS325" s="86"/>
      <c r="BT325" s="32"/>
      <c r="BU325" s="33"/>
      <c r="BV325" s="33"/>
      <c r="BW325" s="32"/>
      <c r="BX325" s="32"/>
      <c r="BY325" s="32"/>
      <c r="BZ325" s="32"/>
      <c r="CA325" s="33"/>
      <c r="CB325" s="32"/>
      <c r="CC325" s="32"/>
      <c r="CD325" s="31"/>
      <c r="CE325" s="31"/>
      <c r="CF325" s="48"/>
      <c r="CG325" s="31"/>
      <c r="CH325" s="31"/>
      <c r="CI325" s="32"/>
      <c r="CJ325" s="32"/>
      <c r="CK325" s="32"/>
      <c r="CL325" s="32"/>
      <c r="CM325" s="32"/>
      <c r="CN325" s="32"/>
      <c r="CO325" s="32"/>
      <c r="CP325" s="32"/>
      <c r="CQ325" s="32"/>
      <c r="CR325" s="32"/>
      <c r="CS325" s="32"/>
      <c r="CT325" s="32"/>
      <c r="CU325" s="32"/>
      <c r="CV325" s="32"/>
      <c r="CW325" s="32"/>
      <c r="CX325" s="32"/>
      <c r="CY325" s="32"/>
      <c r="CZ325" s="32"/>
      <c r="DA325" s="32"/>
      <c r="DB325" s="32"/>
    </row>
    <row r="326" spans="1:106" ht="15" hidden="1" customHeight="1">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c r="AE326" s="32"/>
      <c r="AF326" s="32"/>
      <c r="AG326" s="32"/>
      <c r="AH326" s="32"/>
      <c r="AI326" s="32"/>
      <c r="AJ326" s="32"/>
      <c r="AK326" s="32"/>
      <c r="AL326" s="32"/>
      <c r="AM326" s="32"/>
      <c r="AN326" s="32"/>
      <c r="AO326" s="32"/>
      <c r="AP326" s="32"/>
      <c r="AQ326" s="32"/>
      <c r="AR326" s="32"/>
      <c r="AS326" s="32"/>
      <c r="AT326" s="32"/>
      <c r="AU326" s="32"/>
      <c r="AV326" s="32"/>
      <c r="AW326" s="32"/>
      <c r="AX326" s="32"/>
      <c r="AY326" s="32"/>
      <c r="AZ326" s="32"/>
      <c r="BA326" s="32"/>
      <c r="BB326" s="32"/>
      <c r="BC326" s="32"/>
      <c r="BD326" s="32"/>
      <c r="BE326" s="32"/>
      <c r="BF326" s="2"/>
      <c r="BG326" s="2"/>
      <c r="BH326" s="2"/>
      <c r="BI326" s="2"/>
      <c r="BJ326" s="2"/>
      <c r="BK326" s="32"/>
      <c r="BL326" s="2"/>
      <c r="BM326" s="32"/>
      <c r="BN326" s="32"/>
      <c r="BO326" s="32"/>
      <c r="BP326" s="2"/>
      <c r="BQ326" s="2"/>
      <c r="BR326" s="2"/>
      <c r="BS326" s="86"/>
      <c r="BT326" s="32"/>
      <c r="BU326" s="33"/>
      <c r="BV326" s="33"/>
      <c r="BW326" s="32"/>
      <c r="BX326" s="32"/>
      <c r="BY326" s="32"/>
      <c r="BZ326" s="32"/>
      <c r="CA326" s="33"/>
      <c r="CB326" s="32"/>
      <c r="CC326" s="32"/>
      <c r="CD326" s="31"/>
      <c r="CE326" s="31"/>
      <c r="CF326" s="48"/>
      <c r="CG326" s="31"/>
      <c r="CH326" s="31"/>
      <c r="CI326" s="32"/>
      <c r="CJ326" s="32"/>
      <c r="CK326" s="32"/>
      <c r="CL326" s="32"/>
      <c r="CM326" s="32"/>
      <c r="CN326" s="32"/>
      <c r="CO326" s="32"/>
      <c r="CP326" s="32"/>
      <c r="CQ326" s="32"/>
      <c r="CR326" s="32"/>
      <c r="CS326" s="32"/>
      <c r="CT326" s="32"/>
      <c r="CU326" s="32"/>
      <c r="CV326" s="32"/>
      <c r="CW326" s="32"/>
      <c r="CX326" s="32"/>
      <c r="CY326" s="32"/>
      <c r="CZ326" s="32"/>
      <c r="DA326" s="32"/>
      <c r="DB326" s="32"/>
    </row>
    <row r="327" spans="1:106" ht="15" hidden="1" customHeight="1">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c r="AA327" s="32"/>
      <c r="AB327" s="32"/>
      <c r="AC327" s="32"/>
      <c r="AD327" s="32"/>
      <c r="AE327" s="32"/>
      <c r="AF327" s="32"/>
      <c r="AG327" s="32"/>
      <c r="AH327" s="32"/>
      <c r="AI327" s="32"/>
      <c r="AJ327" s="32"/>
      <c r="AK327" s="32"/>
      <c r="AL327" s="32"/>
      <c r="AM327" s="32"/>
      <c r="AN327" s="32"/>
      <c r="AO327" s="32"/>
      <c r="AP327" s="32"/>
      <c r="AQ327" s="32"/>
      <c r="AR327" s="32"/>
      <c r="AS327" s="32"/>
      <c r="AT327" s="32"/>
      <c r="AU327" s="32"/>
      <c r="AV327" s="32"/>
      <c r="AW327" s="32"/>
      <c r="AX327" s="32"/>
      <c r="AY327" s="32"/>
      <c r="AZ327" s="32"/>
      <c r="BA327" s="32"/>
      <c r="BB327" s="32"/>
      <c r="BC327" s="32"/>
      <c r="BD327" s="32"/>
      <c r="BE327" s="32"/>
      <c r="BF327" s="2"/>
      <c r="BG327" s="2"/>
      <c r="BH327" s="2"/>
      <c r="BI327" s="2"/>
      <c r="BJ327" s="2"/>
      <c r="BK327" s="32"/>
      <c r="BL327" s="2"/>
      <c r="BM327" s="32"/>
      <c r="BN327" s="32"/>
      <c r="BO327" s="32"/>
      <c r="BP327" s="2"/>
      <c r="BQ327" s="2"/>
      <c r="BR327" s="2"/>
      <c r="BS327" s="86"/>
      <c r="BT327" s="32"/>
      <c r="BU327" s="33"/>
      <c r="BV327" s="33"/>
      <c r="BW327" s="32"/>
      <c r="BX327" s="32"/>
      <c r="BY327" s="32"/>
      <c r="BZ327" s="32"/>
      <c r="CA327" s="33"/>
      <c r="CB327" s="32"/>
      <c r="CC327" s="32"/>
      <c r="CD327" s="31"/>
      <c r="CE327" s="31"/>
      <c r="CF327" s="48"/>
      <c r="CG327" s="31"/>
      <c r="CH327" s="31"/>
      <c r="CI327" s="32"/>
      <c r="CJ327" s="32"/>
      <c r="CK327" s="32"/>
      <c r="CL327" s="32"/>
      <c r="CM327" s="32"/>
      <c r="CN327" s="32"/>
      <c r="CO327" s="32"/>
      <c r="CP327" s="32"/>
      <c r="CQ327" s="32"/>
      <c r="CR327" s="32"/>
      <c r="CS327" s="32"/>
      <c r="CT327" s="32"/>
      <c r="CU327" s="32"/>
      <c r="CV327" s="32"/>
      <c r="CW327" s="32"/>
      <c r="CX327" s="32"/>
      <c r="CY327" s="32"/>
      <c r="CZ327" s="32"/>
      <c r="DA327" s="32"/>
      <c r="DB327" s="32"/>
    </row>
    <row r="328" spans="1:106" ht="15" hidden="1" customHeight="1">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c r="AE328" s="32"/>
      <c r="AF328" s="32"/>
      <c r="AG328" s="32"/>
      <c r="AH328" s="32"/>
      <c r="AI328" s="32"/>
      <c r="AJ328" s="32"/>
      <c r="AK328" s="32"/>
      <c r="AL328" s="32"/>
      <c r="AM328" s="32"/>
      <c r="AN328" s="32"/>
      <c r="AO328" s="32"/>
      <c r="AP328" s="32"/>
      <c r="AQ328" s="32"/>
      <c r="AR328" s="32"/>
      <c r="AS328" s="32"/>
      <c r="AT328" s="32"/>
      <c r="AU328" s="32"/>
      <c r="AV328" s="32"/>
      <c r="AW328" s="32"/>
      <c r="AX328" s="32"/>
      <c r="AY328" s="32"/>
      <c r="AZ328" s="32"/>
      <c r="BA328" s="32"/>
      <c r="BB328" s="32"/>
      <c r="BC328" s="32"/>
      <c r="BD328" s="32"/>
      <c r="BE328" s="32"/>
      <c r="BF328" s="2"/>
      <c r="BG328" s="2"/>
      <c r="BH328" s="2"/>
      <c r="BI328" s="2"/>
      <c r="BJ328" s="2"/>
      <c r="BK328" s="32"/>
      <c r="BL328" s="2"/>
      <c r="BM328" s="32"/>
      <c r="BN328" s="32"/>
      <c r="BO328" s="32"/>
      <c r="BP328" s="2"/>
      <c r="BQ328" s="2"/>
      <c r="BR328" s="2"/>
      <c r="BS328" s="86"/>
      <c r="BT328" s="32"/>
      <c r="BU328" s="33"/>
      <c r="BV328" s="33"/>
      <c r="BW328" s="32"/>
      <c r="BX328" s="32"/>
      <c r="BY328" s="32"/>
      <c r="BZ328" s="32"/>
      <c r="CA328" s="33"/>
      <c r="CB328" s="32"/>
      <c r="CC328" s="32"/>
      <c r="CD328" s="31"/>
      <c r="CE328" s="31"/>
      <c r="CF328" s="48"/>
      <c r="CG328" s="31"/>
      <c r="CH328" s="31"/>
      <c r="CI328" s="32"/>
      <c r="CJ328" s="32"/>
      <c r="CK328" s="32"/>
      <c r="CL328" s="32"/>
      <c r="CM328" s="32"/>
      <c r="CN328" s="32"/>
      <c r="CO328" s="32"/>
      <c r="CP328" s="32"/>
      <c r="CQ328" s="32"/>
      <c r="CR328" s="32"/>
      <c r="CS328" s="32"/>
      <c r="CT328" s="32"/>
      <c r="CU328" s="32"/>
      <c r="CV328" s="32"/>
      <c r="CW328" s="32"/>
      <c r="CX328" s="32"/>
      <c r="CY328" s="32"/>
      <c r="CZ328" s="32"/>
      <c r="DA328" s="32"/>
      <c r="DB328" s="32"/>
    </row>
    <row r="329" spans="1:106" ht="15" hidden="1" customHeight="1">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c r="AE329" s="32"/>
      <c r="AF329" s="32"/>
      <c r="AG329" s="32"/>
      <c r="AH329" s="32"/>
      <c r="AI329" s="32"/>
      <c r="AJ329" s="32"/>
      <c r="AK329" s="32"/>
      <c r="AL329" s="32"/>
      <c r="AM329" s="32"/>
      <c r="AN329" s="32"/>
      <c r="AO329" s="32"/>
      <c r="AP329" s="32"/>
      <c r="AQ329" s="32"/>
      <c r="AR329" s="32"/>
      <c r="AS329" s="32"/>
      <c r="AT329" s="32"/>
      <c r="AU329" s="32"/>
      <c r="AV329" s="32"/>
      <c r="AW329" s="32"/>
      <c r="AX329" s="32"/>
      <c r="AY329" s="32"/>
      <c r="AZ329" s="32"/>
      <c r="BA329" s="32"/>
      <c r="BB329" s="32"/>
      <c r="BC329" s="32"/>
      <c r="BD329" s="32"/>
      <c r="BE329" s="32"/>
      <c r="BF329" s="2"/>
      <c r="BG329" s="2"/>
      <c r="BH329" s="2"/>
      <c r="BI329" s="2"/>
      <c r="BJ329" s="2"/>
      <c r="BK329" s="32"/>
      <c r="BL329" s="2"/>
      <c r="BM329" s="32"/>
      <c r="BN329" s="32"/>
      <c r="BO329" s="32"/>
      <c r="BP329" s="2"/>
      <c r="BQ329" s="2"/>
      <c r="BR329" s="2"/>
      <c r="BS329" s="86"/>
      <c r="BT329" s="32"/>
      <c r="BU329" s="33"/>
      <c r="BV329" s="33"/>
      <c r="BW329" s="32"/>
      <c r="BX329" s="32"/>
      <c r="BY329" s="32"/>
      <c r="BZ329" s="32"/>
      <c r="CA329" s="33"/>
      <c r="CB329" s="32"/>
      <c r="CC329" s="32"/>
      <c r="CD329" s="31"/>
      <c r="CE329" s="31"/>
      <c r="CF329" s="48"/>
      <c r="CG329" s="31"/>
      <c r="CH329" s="31"/>
      <c r="CI329" s="32"/>
      <c r="CJ329" s="32"/>
      <c r="CK329" s="32"/>
      <c r="CL329" s="32"/>
      <c r="CM329" s="32"/>
      <c r="CN329" s="32"/>
      <c r="CO329" s="32"/>
      <c r="CP329" s="32"/>
      <c r="CQ329" s="32"/>
      <c r="CR329" s="32"/>
      <c r="CS329" s="32"/>
      <c r="CT329" s="32"/>
      <c r="CU329" s="32"/>
      <c r="CV329" s="32"/>
      <c r="CW329" s="32"/>
      <c r="CX329" s="32"/>
      <c r="CY329" s="32"/>
      <c r="CZ329" s="32"/>
      <c r="DA329" s="32"/>
      <c r="DB329" s="32"/>
    </row>
    <row r="330" spans="1:106" ht="15" hidden="1" customHeight="1">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c r="AA330" s="32"/>
      <c r="AB330" s="32"/>
      <c r="AC330" s="32"/>
      <c r="AD330" s="32"/>
      <c r="AE330" s="32"/>
      <c r="AF330" s="32"/>
      <c r="AG330" s="32"/>
      <c r="AH330" s="32"/>
      <c r="AI330" s="32"/>
      <c r="AJ330" s="32"/>
      <c r="AK330" s="32"/>
      <c r="AL330" s="32"/>
      <c r="AM330" s="32"/>
      <c r="AN330" s="32"/>
      <c r="AO330" s="32"/>
      <c r="AP330" s="32"/>
      <c r="AQ330" s="32"/>
      <c r="AR330" s="32"/>
      <c r="AS330" s="32"/>
      <c r="AT330" s="32"/>
      <c r="AU330" s="32"/>
      <c r="AV330" s="32"/>
      <c r="AW330" s="32"/>
      <c r="AX330" s="32"/>
      <c r="AY330" s="32"/>
      <c r="AZ330" s="32"/>
      <c r="BA330" s="32"/>
      <c r="BB330" s="32"/>
      <c r="BC330" s="32"/>
      <c r="BD330" s="32"/>
      <c r="BE330" s="32"/>
      <c r="BF330" s="2"/>
      <c r="BG330" s="2"/>
      <c r="BH330" s="2"/>
      <c r="BI330" s="2"/>
      <c r="BJ330" s="2"/>
      <c r="BK330" s="32"/>
      <c r="BL330" s="2"/>
      <c r="BM330" s="32"/>
      <c r="BN330" s="32"/>
      <c r="BO330" s="32"/>
      <c r="BP330" s="2"/>
      <c r="BQ330" s="2"/>
      <c r="BR330" s="2"/>
      <c r="BS330" s="86"/>
      <c r="BT330" s="32"/>
      <c r="BU330" s="33"/>
      <c r="BV330" s="33"/>
      <c r="BW330" s="32"/>
      <c r="BX330" s="32"/>
      <c r="BY330" s="32"/>
      <c r="BZ330" s="32"/>
      <c r="CA330" s="33"/>
      <c r="CB330" s="32"/>
      <c r="CC330" s="32"/>
      <c r="CD330" s="31"/>
      <c r="CE330" s="31"/>
      <c r="CF330" s="48"/>
      <c r="CG330" s="31"/>
      <c r="CH330" s="31"/>
      <c r="CI330" s="32"/>
      <c r="CJ330" s="32"/>
      <c r="CK330" s="32"/>
      <c r="CL330" s="32"/>
      <c r="CM330" s="32"/>
      <c r="CN330" s="32"/>
      <c r="CO330" s="32"/>
      <c r="CP330" s="32"/>
      <c r="CQ330" s="32"/>
      <c r="CR330" s="32"/>
      <c r="CS330" s="32"/>
      <c r="CT330" s="32"/>
      <c r="CU330" s="32"/>
      <c r="CV330" s="32"/>
      <c r="CW330" s="32"/>
      <c r="CX330" s="32"/>
      <c r="CY330" s="32"/>
      <c r="CZ330" s="32"/>
      <c r="DA330" s="32"/>
      <c r="DB330" s="32"/>
    </row>
    <row r="331" spans="1:106" ht="15" hidden="1" customHeight="1">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c r="AA331" s="32"/>
      <c r="AB331" s="32"/>
      <c r="AC331" s="32"/>
      <c r="AD331" s="32"/>
      <c r="AE331" s="32"/>
      <c r="AF331" s="32"/>
      <c r="AG331" s="32"/>
      <c r="AH331" s="32"/>
      <c r="AI331" s="32"/>
      <c r="AJ331" s="32"/>
      <c r="AK331" s="32"/>
      <c r="AL331" s="32"/>
      <c r="AM331" s="32"/>
      <c r="AN331" s="32"/>
      <c r="AO331" s="32"/>
      <c r="AP331" s="32"/>
      <c r="AQ331" s="32"/>
      <c r="AR331" s="32"/>
      <c r="AS331" s="32"/>
      <c r="AT331" s="32"/>
      <c r="AU331" s="32"/>
      <c r="AV331" s="32"/>
      <c r="AW331" s="32"/>
      <c r="AX331" s="32"/>
      <c r="AY331" s="32"/>
      <c r="AZ331" s="32"/>
      <c r="BA331" s="32"/>
      <c r="BB331" s="32"/>
      <c r="BC331" s="32"/>
      <c r="BD331" s="32"/>
      <c r="BE331" s="32"/>
      <c r="BF331" s="2"/>
      <c r="BG331" s="2"/>
      <c r="BH331" s="2"/>
      <c r="BI331" s="2"/>
      <c r="BJ331" s="2"/>
      <c r="BK331" s="32"/>
      <c r="BL331" s="2"/>
      <c r="BM331" s="32"/>
      <c r="BN331" s="32"/>
      <c r="BO331" s="32"/>
      <c r="BP331" s="2"/>
      <c r="BQ331" s="2"/>
      <c r="BR331" s="2"/>
      <c r="BS331" s="86"/>
      <c r="BT331" s="32"/>
      <c r="BU331" s="33"/>
      <c r="BV331" s="33"/>
      <c r="BW331" s="32"/>
      <c r="BX331" s="32"/>
      <c r="BY331" s="32"/>
      <c r="BZ331" s="32"/>
      <c r="CA331" s="33"/>
      <c r="CB331" s="32"/>
      <c r="CC331" s="32"/>
      <c r="CD331" s="31"/>
      <c r="CE331" s="31"/>
      <c r="CF331" s="48"/>
      <c r="CG331" s="31"/>
      <c r="CH331" s="31"/>
      <c r="CI331" s="32"/>
      <c r="CJ331" s="32"/>
      <c r="CK331" s="32"/>
      <c r="CL331" s="32"/>
      <c r="CM331" s="32"/>
      <c r="CN331" s="32"/>
      <c r="CO331" s="32"/>
      <c r="CP331" s="32"/>
      <c r="CQ331" s="32"/>
      <c r="CR331" s="32"/>
      <c r="CS331" s="32"/>
      <c r="CT331" s="32"/>
      <c r="CU331" s="32"/>
      <c r="CV331" s="32"/>
      <c r="CW331" s="32"/>
      <c r="CX331" s="32"/>
      <c r="CY331" s="32"/>
      <c r="CZ331" s="32"/>
      <c r="DA331" s="32"/>
      <c r="DB331" s="32"/>
    </row>
    <row r="332" spans="1:106" ht="15" hidden="1" customHeight="1">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c r="AA332" s="32"/>
      <c r="AB332" s="32"/>
      <c r="AC332" s="32"/>
      <c r="AD332" s="32"/>
      <c r="AE332" s="32"/>
      <c r="AF332" s="32"/>
      <c r="AG332" s="32"/>
      <c r="AH332" s="32"/>
      <c r="AI332" s="32"/>
      <c r="AJ332" s="32"/>
      <c r="AK332" s="32"/>
      <c r="AL332" s="32"/>
      <c r="AM332" s="32"/>
      <c r="AN332" s="32"/>
      <c r="AO332" s="32"/>
      <c r="AP332" s="32"/>
      <c r="AQ332" s="32"/>
      <c r="AR332" s="32"/>
      <c r="AS332" s="32"/>
      <c r="AT332" s="32"/>
      <c r="AU332" s="32"/>
      <c r="AV332" s="32"/>
      <c r="AW332" s="32"/>
      <c r="AX332" s="32"/>
      <c r="AY332" s="32"/>
      <c r="AZ332" s="32"/>
      <c r="BA332" s="32"/>
      <c r="BB332" s="32"/>
      <c r="BC332" s="32"/>
      <c r="BD332" s="32"/>
      <c r="BE332" s="32"/>
      <c r="BF332" s="2"/>
      <c r="BG332" s="2"/>
      <c r="BH332" s="2"/>
      <c r="BI332" s="2"/>
      <c r="BJ332" s="2"/>
      <c r="BK332" s="32"/>
      <c r="BL332" s="2"/>
      <c r="BM332" s="32"/>
      <c r="BN332" s="32"/>
      <c r="BO332" s="32"/>
      <c r="BP332" s="2"/>
      <c r="BQ332" s="2"/>
      <c r="BR332" s="2"/>
      <c r="BS332" s="86"/>
      <c r="BT332" s="32"/>
      <c r="BU332" s="33"/>
      <c r="BV332" s="33"/>
      <c r="BW332" s="32"/>
      <c r="BX332" s="32"/>
      <c r="BY332" s="32"/>
      <c r="BZ332" s="32"/>
      <c r="CA332" s="33"/>
      <c r="CB332" s="32"/>
      <c r="CC332" s="32"/>
      <c r="CD332" s="31"/>
      <c r="CE332" s="31"/>
      <c r="CF332" s="48"/>
      <c r="CG332" s="31"/>
      <c r="CH332" s="31"/>
      <c r="CI332" s="32"/>
      <c r="CJ332" s="32"/>
      <c r="CK332" s="32"/>
      <c r="CL332" s="32"/>
      <c r="CM332" s="32"/>
      <c r="CN332" s="32"/>
      <c r="CO332" s="32"/>
      <c r="CP332" s="32"/>
      <c r="CQ332" s="32"/>
      <c r="CR332" s="32"/>
      <c r="CS332" s="32"/>
      <c r="CT332" s="32"/>
      <c r="CU332" s="32"/>
      <c r="CV332" s="32"/>
      <c r="CW332" s="32"/>
      <c r="CX332" s="32"/>
      <c r="CY332" s="32"/>
      <c r="CZ332" s="32"/>
      <c r="DA332" s="32"/>
      <c r="DB332" s="32"/>
    </row>
    <row r="333" spans="1:106" ht="15" hidden="1" customHeight="1">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c r="AA333" s="32"/>
      <c r="AB333" s="32"/>
      <c r="AC333" s="32"/>
      <c r="AD333" s="32"/>
      <c r="AE333" s="32"/>
      <c r="AF333" s="32"/>
      <c r="AG333" s="32"/>
      <c r="AH333" s="32"/>
      <c r="AI333" s="32"/>
      <c r="AJ333" s="32"/>
      <c r="AK333" s="32"/>
      <c r="AL333" s="32"/>
      <c r="AM333" s="32"/>
      <c r="AN333" s="32"/>
      <c r="AO333" s="32"/>
      <c r="AP333" s="32"/>
      <c r="AQ333" s="32"/>
      <c r="AR333" s="32"/>
      <c r="AS333" s="32"/>
      <c r="AT333" s="32"/>
      <c r="AU333" s="32"/>
      <c r="AV333" s="32"/>
      <c r="AW333" s="32"/>
      <c r="AX333" s="32"/>
      <c r="AY333" s="32"/>
      <c r="AZ333" s="32"/>
      <c r="BA333" s="32"/>
      <c r="BB333" s="32"/>
      <c r="BC333" s="32"/>
      <c r="BD333" s="32"/>
      <c r="BE333" s="32"/>
      <c r="BF333" s="2"/>
      <c r="BG333" s="2"/>
      <c r="BH333" s="2"/>
      <c r="BI333" s="2"/>
      <c r="BJ333" s="2"/>
      <c r="BK333" s="32"/>
      <c r="BL333" s="2"/>
      <c r="BM333" s="32"/>
      <c r="BN333" s="32"/>
      <c r="BO333" s="32"/>
      <c r="BP333" s="2"/>
      <c r="BQ333" s="2"/>
      <c r="BR333" s="2"/>
      <c r="BS333" s="86"/>
      <c r="BT333" s="32"/>
      <c r="BU333" s="33"/>
      <c r="BV333" s="33"/>
      <c r="BW333" s="32"/>
      <c r="BX333" s="32"/>
      <c r="BY333" s="32"/>
      <c r="BZ333" s="32"/>
      <c r="CA333" s="33"/>
      <c r="CB333" s="32"/>
      <c r="CC333" s="32"/>
      <c r="CD333" s="31"/>
      <c r="CE333" s="31"/>
      <c r="CF333" s="48"/>
      <c r="CG333" s="31"/>
      <c r="CH333" s="31"/>
      <c r="CI333" s="32"/>
      <c r="CJ333" s="32"/>
      <c r="CK333" s="32"/>
      <c r="CL333" s="32"/>
      <c r="CM333" s="32"/>
      <c r="CN333" s="32"/>
      <c r="CO333" s="32"/>
      <c r="CP333" s="32"/>
      <c r="CQ333" s="32"/>
      <c r="CR333" s="32"/>
      <c r="CS333" s="32"/>
      <c r="CT333" s="32"/>
      <c r="CU333" s="32"/>
      <c r="CV333" s="32"/>
      <c r="CW333" s="32"/>
      <c r="CX333" s="32"/>
      <c r="CY333" s="32"/>
      <c r="CZ333" s="32"/>
      <c r="DA333" s="32"/>
      <c r="DB333" s="32"/>
    </row>
    <row r="334" spans="1:106" ht="15" hidden="1" customHeight="1">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c r="AA334" s="32"/>
      <c r="AB334" s="32"/>
      <c r="AC334" s="32"/>
      <c r="AD334" s="32"/>
      <c r="AE334" s="32"/>
      <c r="AF334" s="32"/>
      <c r="AG334" s="32"/>
      <c r="AH334" s="32"/>
      <c r="AI334" s="32"/>
      <c r="AJ334" s="32"/>
      <c r="AK334" s="32"/>
      <c r="AL334" s="32"/>
      <c r="AM334" s="32"/>
      <c r="AN334" s="32"/>
      <c r="AO334" s="32"/>
      <c r="AP334" s="32"/>
      <c r="AQ334" s="32"/>
      <c r="AR334" s="32"/>
      <c r="AS334" s="32"/>
      <c r="AT334" s="32"/>
      <c r="AU334" s="32"/>
      <c r="AV334" s="32"/>
      <c r="AW334" s="32"/>
      <c r="AX334" s="32"/>
      <c r="AY334" s="32"/>
      <c r="AZ334" s="32"/>
      <c r="BA334" s="32"/>
      <c r="BB334" s="32"/>
      <c r="BC334" s="32"/>
      <c r="BD334" s="32"/>
      <c r="BE334" s="32"/>
      <c r="BF334" s="2"/>
      <c r="BG334" s="2"/>
      <c r="BH334" s="2"/>
      <c r="BI334" s="2"/>
      <c r="BJ334" s="2"/>
      <c r="BK334" s="32"/>
      <c r="BL334" s="2"/>
      <c r="BM334" s="32"/>
      <c r="BN334" s="32"/>
      <c r="BO334" s="32"/>
      <c r="BP334" s="2"/>
      <c r="BQ334" s="2"/>
      <c r="BR334" s="2"/>
      <c r="BS334" s="86"/>
      <c r="BT334" s="32"/>
      <c r="BU334" s="33"/>
      <c r="BV334" s="33"/>
      <c r="BW334" s="32"/>
      <c r="BX334" s="32"/>
      <c r="BY334" s="32"/>
      <c r="BZ334" s="32"/>
      <c r="CA334" s="33"/>
      <c r="CB334" s="32"/>
      <c r="CC334" s="32"/>
      <c r="CD334" s="31"/>
      <c r="CE334" s="31"/>
      <c r="CF334" s="48"/>
      <c r="CG334" s="31"/>
      <c r="CH334" s="31"/>
      <c r="CI334" s="32"/>
      <c r="CJ334" s="32"/>
      <c r="CK334" s="32"/>
      <c r="CL334" s="32"/>
      <c r="CM334" s="32"/>
      <c r="CN334" s="32"/>
      <c r="CO334" s="32"/>
      <c r="CP334" s="32"/>
      <c r="CQ334" s="32"/>
      <c r="CR334" s="32"/>
      <c r="CS334" s="32"/>
      <c r="CT334" s="32"/>
      <c r="CU334" s="32"/>
      <c r="CV334" s="32"/>
      <c r="CW334" s="32"/>
      <c r="CX334" s="32"/>
      <c r="CY334" s="32"/>
      <c r="CZ334" s="32"/>
      <c r="DA334" s="32"/>
      <c r="DB334" s="32"/>
    </row>
    <row r="335" spans="1:106" ht="15" hidden="1" customHeight="1">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c r="AA335" s="32"/>
      <c r="AB335" s="32"/>
      <c r="AC335" s="32"/>
      <c r="AD335" s="32"/>
      <c r="AE335" s="32"/>
      <c r="AF335" s="32"/>
      <c r="AG335" s="32"/>
      <c r="AH335" s="32"/>
      <c r="AI335" s="32"/>
      <c r="AJ335" s="32"/>
      <c r="AK335" s="32"/>
      <c r="AL335" s="32"/>
      <c r="AM335" s="32"/>
      <c r="AN335" s="32"/>
      <c r="AO335" s="32"/>
      <c r="AP335" s="32"/>
      <c r="AQ335" s="32"/>
      <c r="AR335" s="32"/>
      <c r="AS335" s="32"/>
      <c r="AT335" s="32"/>
      <c r="AU335" s="32"/>
      <c r="AV335" s="32"/>
      <c r="AW335" s="32"/>
      <c r="AX335" s="32"/>
      <c r="AY335" s="32"/>
      <c r="AZ335" s="32"/>
      <c r="BA335" s="32"/>
      <c r="BB335" s="32"/>
      <c r="BC335" s="32"/>
      <c r="BD335" s="32"/>
      <c r="BE335" s="32"/>
      <c r="BF335" s="2"/>
      <c r="BG335" s="2"/>
      <c r="BH335" s="2"/>
      <c r="BI335" s="2"/>
      <c r="BJ335" s="2"/>
      <c r="BK335" s="32"/>
      <c r="BL335" s="2"/>
      <c r="BM335" s="32"/>
      <c r="BN335" s="32"/>
      <c r="BO335" s="32"/>
      <c r="BP335" s="2"/>
      <c r="BQ335" s="2"/>
      <c r="BR335" s="2"/>
      <c r="BS335" s="86"/>
      <c r="BT335" s="32"/>
      <c r="BU335" s="33"/>
      <c r="BV335" s="33"/>
      <c r="BW335" s="32"/>
      <c r="BX335" s="32"/>
      <c r="BY335" s="32"/>
      <c r="BZ335" s="32"/>
      <c r="CA335" s="33"/>
      <c r="CB335" s="32"/>
      <c r="CC335" s="32"/>
      <c r="CD335" s="31"/>
      <c r="CE335" s="31"/>
      <c r="CF335" s="48"/>
      <c r="CG335" s="31"/>
      <c r="CH335" s="31"/>
      <c r="CI335" s="32"/>
      <c r="CJ335" s="32"/>
      <c r="CK335" s="32"/>
      <c r="CL335" s="32"/>
      <c r="CM335" s="32"/>
      <c r="CN335" s="32"/>
      <c r="CO335" s="32"/>
      <c r="CP335" s="32"/>
      <c r="CQ335" s="32"/>
      <c r="CR335" s="32"/>
      <c r="CS335" s="32"/>
      <c r="CT335" s="32"/>
      <c r="CU335" s="32"/>
      <c r="CV335" s="32"/>
      <c r="CW335" s="32"/>
      <c r="CX335" s="32"/>
      <c r="CY335" s="32"/>
      <c r="CZ335" s="32"/>
      <c r="DA335" s="32"/>
      <c r="DB335" s="32"/>
    </row>
    <row r="336" spans="1:106" ht="15" hidden="1" customHeight="1">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c r="AA336" s="32"/>
      <c r="AB336" s="32"/>
      <c r="AC336" s="32"/>
      <c r="AD336" s="32"/>
      <c r="AE336" s="32"/>
      <c r="AF336" s="32"/>
      <c r="AG336" s="32"/>
      <c r="AH336" s="32"/>
      <c r="AI336" s="32"/>
      <c r="AJ336" s="32"/>
      <c r="AK336" s="32"/>
      <c r="AL336" s="32"/>
      <c r="AM336" s="32"/>
      <c r="AN336" s="32"/>
      <c r="AO336" s="32"/>
      <c r="AP336" s="32"/>
      <c r="AQ336" s="32"/>
      <c r="AR336" s="32"/>
      <c r="AS336" s="32"/>
      <c r="AT336" s="32"/>
      <c r="AU336" s="32"/>
      <c r="AV336" s="32"/>
      <c r="AW336" s="32"/>
      <c r="AX336" s="32"/>
      <c r="AY336" s="32"/>
      <c r="AZ336" s="32"/>
      <c r="BA336" s="32"/>
      <c r="BB336" s="32"/>
      <c r="BC336" s="32"/>
      <c r="BD336" s="32"/>
      <c r="BE336" s="32"/>
      <c r="BF336" s="2"/>
      <c r="BG336" s="2"/>
      <c r="BH336" s="2"/>
      <c r="BI336" s="2"/>
      <c r="BJ336" s="2"/>
      <c r="BK336" s="32"/>
      <c r="BL336" s="2"/>
      <c r="BM336" s="32"/>
      <c r="BN336" s="32"/>
      <c r="BO336" s="32"/>
      <c r="BP336" s="2"/>
      <c r="BQ336" s="2"/>
      <c r="BR336" s="2"/>
      <c r="BS336" s="86"/>
      <c r="BT336" s="32"/>
      <c r="BU336" s="33"/>
      <c r="BV336" s="33"/>
      <c r="BW336" s="32"/>
      <c r="BX336" s="32"/>
      <c r="BY336" s="32"/>
      <c r="BZ336" s="32"/>
      <c r="CA336" s="33"/>
      <c r="CB336" s="32"/>
      <c r="CC336" s="32"/>
      <c r="CD336" s="31"/>
      <c r="CE336" s="31"/>
      <c r="CF336" s="48"/>
      <c r="CG336" s="31"/>
      <c r="CH336" s="31"/>
      <c r="CI336" s="32"/>
      <c r="CJ336" s="32"/>
      <c r="CK336" s="32"/>
      <c r="CL336" s="32"/>
      <c r="CM336" s="32"/>
      <c r="CN336" s="32"/>
      <c r="CO336" s="32"/>
      <c r="CP336" s="32"/>
      <c r="CQ336" s="32"/>
      <c r="CR336" s="32"/>
      <c r="CS336" s="32"/>
      <c r="CT336" s="32"/>
      <c r="CU336" s="32"/>
      <c r="CV336" s="32"/>
      <c r="CW336" s="32"/>
      <c r="CX336" s="32"/>
      <c r="CY336" s="32"/>
      <c r="CZ336" s="32"/>
      <c r="DA336" s="32"/>
      <c r="DB336" s="32"/>
    </row>
    <row r="337" spans="1:106" ht="15" hidden="1" customHeight="1">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c r="AA337" s="32"/>
      <c r="AB337" s="32"/>
      <c r="AC337" s="32"/>
      <c r="AD337" s="32"/>
      <c r="AE337" s="32"/>
      <c r="AF337" s="32"/>
      <c r="AG337" s="32"/>
      <c r="AH337" s="32"/>
      <c r="AI337" s="32"/>
      <c r="AJ337" s="32"/>
      <c r="AK337" s="32"/>
      <c r="AL337" s="32"/>
      <c r="AM337" s="32"/>
      <c r="AN337" s="32"/>
      <c r="AO337" s="32"/>
      <c r="AP337" s="32"/>
      <c r="AQ337" s="32"/>
      <c r="AR337" s="32"/>
      <c r="AS337" s="32"/>
      <c r="AT337" s="32"/>
      <c r="AU337" s="32"/>
      <c r="AV337" s="32"/>
      <c r="AW337" s="32"/>
      <c r="AX337" s="32"/>
      <c r="AY337" s="32"/>
      <c r="AZ337" s="32"/>
      <c r="BA337" s="32"/>
      <c r="BB337" s="32"/>
      <c r="BC337" s="32"/>
      <c r="BD337" s="32"/>
      <c r="BE337" s="32"/>
      <c r="BF337" s="2"/>
      <c r="BG337" s="2"/>
      <c r="BH337" s="2"/>
      <c r="BI337" s="2"/>
      <c r="BJ337" s="2"/>
      <c r="BK337" s="32"/>
      <c r="BL337" s="2"/>
      <c r="BM337" s="32"/>
      <c r="BN337" s="32"/>
      <c r="BO337" s="32"/>
      <c r="BP337" s="2"/>
      <c r="BQ337" s="2"/>
      <c r="BR337" s="2"/>
      <c r="BS337" s="86"/>
      <c r="BT337" s="32"/>
      <c r="BU337" s="33"/>
      <c r="BV337" s="33"/>
      <c r="BW337" s="32"/>
      <c r="BX337" s="32"/>
      <c r="BY337" s="32"/>
      <c r="BZ337" s="32"/>
      <c r="CA337" s="33"/>
      <c r="CB337" s="32"/>
      <c r="CC337" s="32"/>
      <c r="CD337" s="31"/>
      <c r="CE337" s="31"/>
      <c r="CF337" s="48"/>
      <c r="CG337" s="31"/>
      <c r="CH337" s="31"/>
      <c r="CI337" s="32"/>
      <c r="CJ337" s="32"/>
      <c r="CK337" s="32"/>
      <c r="CL337" s="32"/>
      <c r="CM337" s="32"/>
      <c r="CN337" s="32"/>
      <c r="CO337" s="32"/>
      <c r="CP337" s="32"/>
      <c r="CQ337" s="32"/>
      <c r="CR337" s="32"/>
      <c r="CS337" s="32"/>
      <c r="CT337" s="32"/>
      <c r="CU337" s="32"/>
      <c r="CV337" s="32"/>
      <c r="CW337" s="32"/>
      <c r="CX337" s="32"/>
      <c r="CY337" s="32"/>
      <c r="CZ337" s="32"/>
      <c r="DA337" s="32"/>
      <c r="DB337" s="32"/>
    </row>
    <row r="338" spans="1:106" ht="15" hidden="1" customHeight="1">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c r="AE338" s="32"/>
      <c r="AF338" s="32"/>
      <c r="AG338" s="32"/>
      <c r="AH338" s="32"/>
      <c r="AI338" s="32"/>
      <c r="AJ338" s="32"/>
      <c r="AK338" s="32"/>
      <c r="AL338" s="32"/>
      <c r="AM338" s="32"/>
      <c r="AN338" s="32"/>
      <c r="AO338" s="32"/>
      <c r="AP338" s="32"/>
      <c r="AQ338" s="32"/>
      <c r="AR338" s="32"/>
      <c r="AS338" s="32"/>
      <c r="AT338" s="32"/>
      <c r="AU338" s="32"/>
      <c r="AV338" s="32"/>
      <c r="AW338" s="32"/>
      <c r="AX338" s="32"/>
      <c r="AY338" s="32"/>
      <c r="AZ338" s="32"/>
      <c r="BA338" s="32"/>
      <c r="BB338" s="32"/>
      <c r="BC338" s="32"/>
      <c r="BD338" s="32"/>
      <c r="BE338" s="32"/>
      <c r="BF338" s="2"/>
      <c r="BG338" s="2"/>
      <c r="BH338" s="2"/>
      <c r="BI338" s="2"/>
      <c r="BJ338" s="2"/>
      <c r="BK338" s="32"/>
      <c r="BL338" s="2"/>
      <c r="BM338" s="32"/>
      <c r="BN338" s="32"/>
      <c r="BO338" s="32"/>
      <c r="BP338" s="2"/>
      <c r="BQ338" s="2"/>
      <c r="BR338" s="2"/>
      <c r="BS338" s="86"/>
      <c r="BT338" s="32"/>
      <c r="BU338" s="33"/>
      <c r="BV338" s="33"/>
      <c r="BW338" s="32"/>
      <c r="BX338" s="32"/>
      <c r="BY338" s="32"/>
      <c r="BZ338" s="99"/>
      <c r="CA338" s="31"/>
      <c r="CB338" s="31"/>
      <c r="CC338" s="31"/>
      <c r="CD338" s="31"/>
      <c r="CE338" s="31"/>
      <c r="CF338" s="48"/>
      <c r="CG338" s="31"/>
      <c r="CH338" s="31"/>
      <c r="CI338" s="32"/>
      <c r="CJ338" s="32"/>
      <c r="CK338" s="32"/>
      <c r="CL338" s="32"/>
      <c r="CM338" s="32"/>
      <c r="CN338" s="32"/>
      <c r="CO338" s="32"/>
      <c r="CP338" s="32"/>
      <c r="CQ338" s="32"/>
      <c r="CR338" s="32"/>
      <c r="CS338" s="32"/>
      <c r="CT338" s="32"/>
      <c r="CU338" s="32"/>
      <c r="CV338" s="32"/>
      <c r="CW338" s="32"/>
      <c r="CX338" s="32"/>
      <c r="CY338" s="32"/>
      <c r="CZ338" s="32"/>
      <c r="DA338" s="32"/>
      <c r="DB338" s="32"/>
    </row>
    <row r="339" spans="1:106" ht="15" hidden="1" customHeight="1">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c r="AA339" s="32"/>
      <c r="AB339" s="32"/>
      <c r="AC339" s="32"/>
      <c r="AD339" s="32"/>
      <c r="AE339" s="32"/>
      <c r="AF339" s="32"/>
      <c r="AG339" s="32"/>
      <c r="AH339" s="32"/>
      <c r="AI339" s="32"/>
      <c r="AJ339" s="32"/>
      <c r="AK339" s="32"/>
      <c r="AL339" s="32"/>
      <c r="AM339" s="32"/>
      <c r="AN339" s="32"/>
      <c r="AO339" s="32"/>
      <c r="AP339" s="32"/>
      <c r="AQ339" s="32"/>
      <c r="AR339" s="32"/>
      <c r="AS339" s="32"/>
      <c r="AT339" s="32"/>
      <c r="AU339" s="32"/>
      <c r="AV339" s="32"/>
      <c r="AW339" s="32"/>
      <c r="AX339" s="32"/>
      <c r="AY339" s="32"/>
      <c r="AZ339" s="32"/>
      <c r="BA339" s="32"/>
      <c r="BB339" s="32"/>
      <c r="BC339" s="32"/>
      <c r="BD339" s="32"/>
      <c r="BE339" s="32"/>
      <c r="BF339" s="2"/>
      <c r="BG339" s="2"/>
      <c r="BH339" s="2"/>
      <c r="BI339" s="2"/>
      <c r="BJ339" s="2"/>
      <c r="BK339" s="32"/>
      <c r="BL339" s="2"/>
      <c r="BM339" s="32"/>
      <c r="BN339" s="32"/>
      <c r="BO339" s="32"/>
      <c r="BP339" s="2"/>
      <c r="BQ339" s="2"/>
      <c r="BR339" s="2"/>
      <c r="BS339" s="86"/>
      <c r="BT339" s="32"/>
      <c r="BU339" s="33"/>
      <c r="BV339" s="33"/>
      <c r="BW339" s="32"/>
      <c r="BX339" s="32"/>
      <c r="BY339" s="32"/>
      <c r="BZ339" s="32"/>
      <c r="CA339" s="33"/>
      <c r="CB339" s="32"/>
      <c r="CC339" s="32"/>
      <c r="CD339" s="31"/>
      <c r="CE339" s="31"/>
      <c r="CF339" s="48"/>
      <c r="CG339" s="31"/>
      <c r="CH339" s="31"/>
      <c r="CI339" s="32"/>
      <c r="CJ339" s="32"/>
      <c r="CK339" s="32"/>
      <c r="CL339" s="32"/>
      <c r="CM339" s="32"/>
      <c r="CN339" s="32"/>
      <c r="CO339" s="32"/>
      <c r="CP339" s="32"/>
      <c r="CQ339" s="32"/>
      <c r="CR339" s="32"/>
      <c r="CS339" s="32"/>
      <c r="CT339" s="32"/>
      <c r="CU339" s="32"/>
      <c r="CV339" s="32"/>
      <c r="CW339" s="32"/>
      <c r="CX339" s="32"/>
      <c r="CY339" s="32"/>
      <c r="CZ339" s="32"/>
      <c r="DA339" s="32"/>
      <c r="DB339" s="32"/>
    </row>
    <row r="340" spans="1:106" ht="15" hidden="1" customHeight="1">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c r="AA340" s="32"/>
      <c r="AB340" s="32"/>
      <c r="AC340" s="32"/>
      <c r="AD340" s="32"/>
      <c r="AE340" s="32"/>
      <c r="AF340" s="32"/>
      <c r="AG340" s="32"/>
      <c r="AH340" s="32"/>
      <c r="AI340" s="32"/>
      <c r="AJ340" s="32"/>
      <c r="AK340" s="32"/>
      <c r="AL340" s="32"/>
      <c r="AM340" s="32"/>
      <c r="AN340" s="32"/>
      <c r="AO340" s="32"/>
      <c r="AP340" s="32"/>
      <c r="AQ340" s="32"/>
      <c r="AR340" s="32"/>
      <c r="AS340" s="32"/>
      <c r="AT340" s="32"/>
      <c r="AU340" s="32"/>
      <c r="AV340" s="32"/>
      <c r="AW340" s="32"/>
      <c r="AX340" s="32"/>
      <c r="AY340" s="32"/>
      <c r="AZ340" s="32"/>
      <c r="BA340" s="32"/>
      <c r="BB340" s="32"/>
      <c r="BC340" s="32"/>
      <c r="BD340" s="32"/>
      <c r="BE340" s="32"/>
      <c r="BF340" s="2"/>
      <c r="BG340" s="2"/>
      <c r="BH340" s="2"/>
      <c r="BI340" s="2"/>
      <c r="BJ340" s="2"/>
      <c r="BK340" s="32"/>
      <c r="BL340" s="2"/>
      <c r="BM340" s="32"/>
      <c r="BN340" s="32"/>
      <c r="BO340" s="32"/>
      <c r="BP340" s="2"/>
      <c r="BQ340" s="2"/>
      <c r="BR340" s="2"/>
      <c r="BS340" s="86"/>
      <c r="BT340" s="32"/>
      <c r="BU340" s="33"/>
      <c r="BV340" s="33"/>
      <c r="BW340" s="32"/>
      <c r="BX340" s="32"/>
      <c r="BY340" s="32"/>
      <c r="BZ340" s="32"/>
      <c r="CA340" s="33"/>
      <c r="CB340" s="32"/>
      <c r="CC340" s="32"/>
      <c r="CD340" s="31"/>
      <c r="CE340" s="31"/>
      <c r="CF340" s="48"/>
      <c r="CG340" s="31"/>
      <c r="CH340" s="31"/>
      <c r="CI340" s="32"/>
      <c r="CJ340" s="32"/>
      <c r="CK340" s="32"/>
      <c r="CL340" s="32"/>
      <c r="CM340" s="32"/>
      <c r="CN340" s="32"/>
      <c r="CO340" s="32"/>
      <c r="CP340" s="32"/>
      <c r="CQ340" s="32"/>
      <c r="CR340" s="32"/>
      <c r="CS340" s="32"/>
      <c r="CT340" s="32"/>
      <c r="CU340" s="32"/>
      <c r="CV340" s="32"/>
      <c r="CW340" s="32"/>
      <c r="CX340" s="32"/>
      <c r="CY340" s="32"/>
      <c r="CZ340" s="32"/>
      <c r="DA340" s="32"/>
      <c r="DB340" s="32"/>
    </row>
    <row r="341" spans="1:106" ht="15" hidden="1" customHeight="1">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c r="AA341" s="32"/>
      <c r="AB341" s="32"/>
      <c r="AC341" s="32"/>
      <c r="AD341" s="32"/>
      <c r="AE341" s="32"/>
      <c r="AF341" s="32"/>
      <c r="AG341" s="32"/>
      <c r="AH341" s="32"/>
      <c r="AI341" s="32"/>
      <c r="AJ341" s="32"/>
      <c r="AK341" s="32"/>
      <c r="AL341" s="32"/>
      <c r="AM341" s="32"/>
      <c r="AN341" s="32"/>
      <c r="AO341" s="32"/>
      <c r="AP341" s="32"/>
      <c r="AQ341" s="32"/>
      <c r="AR341" s="32"/>
      <c r="AS341" s="32"/>
      <c r="AT341" s="32"/>
      <c r="AU341" s="32"/>
      <c r="AV341" s="32"/>
      <c r="AW341" s="32"/>
      <c r="AX341" s="32"/>
      <c r="AY341" s="32"/>
      <c r="AZ341" s="32"/>
      <c r="BA341" s="32"/>
      <c r="BB341" s="32"/>
      <c r="BC341" s="32"/>
      <c r="BD341" s="32"/>
      <c r="BE341" s="32"/>
      <c r="BF341" s="2"/>
      <c r="BG341" s="2"/>
      <c r="BH341" s="2"/>
      <c r="BI341" s="2"/>
      <c r="BJ341" s="2"/>
      <c r="BK341" s="32"/>
      <c r="BL341" s="2"/>
      <c r="BM341" s="32"/>
      <c r="BN341" s="32"/>
      <c r="BO341" s="32"/>
      <c r="BP341" s="2"/>
      <c r="BQ341" s="2"/>
      <c r="BR341" s="2"/>
      <c r="BS341" s="86"/>
      <c r="BT341" s="32"/>
      <c r="BU341" s="33"/>
      <c r="BV341" s="33"/>
      <c r="BW341" s="32"/>
      <c r="BX341" s="32"/>
      <c r="BY341" s="32"/>
      <c r="BZ341" s="32"/>
      <c r="CA341" s="33"/>
      <c r="CB341" s="32"/>
      <c r="CC341" s="32"/>
      <c r="CD341" s="31"/>
      <c r="CE341" s="31"/>
      <c r="CF341" s="48"/>
      <c r="CG341" s="31"/>
      <c r="CH341" s="31"/>
      <c r="CI341" s="32"/>
      <c r="CJ341" s="32"/>
      <c r="CK341" s="32"/>
      <c r="CL341" s="32"/>
      <c r="CM341" s="32"/>
      <c r="CN341" s="32"/>
      <c r="CO341" s="32"/>
      <c r="CP341" s="32"/>
      <c r="CQ341" s="32"/>
      <c r="CR341" s="32"/>
      <c r="CS341" s="32"/>
      <c r="CT341" s="32"/>
      <c r="CU341" s="32"/>
      <c r="CV341" s="32"/>
      <c r="CW341" s="32"/>
      <c r="CX341" s="32"/>
      <c r="CY341" s="32"/>
      <c r="CZ341" s="32"/>
      <c r="DA341" s="32"/>
      <c r="DB341" s="32"/>
    </row>
    <row r="342" spans="1:106" ht="15" hidden="1" customHeight="1">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c r="AA342" s="32"/>
      <c r="AB342" s="32"/>
      <c r="AC342" s="32"/>
      <c r="AD342" s="32"/>
      <c r="AE342" s="32"/>
      <c r="AF342" s="32"/>
      <c r="AG342" s="32"/>
      <c r="AH342" s="32"/>
      <c r="AI342" s="32"/>
      <c r="AJ342" s="32"/>
      <c r="AK342" s="32"/>
      <c r="AL342" s="32"/>
      <c r="AM342" s="32"/>
      <c r="AN342" s="32"/>
      <c r="AO342" s="32"/>
      <c r="AP342" s="32"/>
      <c r="AQ342" s="32"/>
      <c r="AR342" s="32"/>
      <c r="AS342" s="32"/>
      <c r="AT342" s="32"/>
      <c r="AU342" s="32"/>
      <c r="AV342" s="32"/>
      <c r="AW342" s="32"/>
      <c r="AX342" s="32"/>
      <c r="AY342" s="32"/>
      <c r="AZ342" s="32"/>
      <c r="BA342" s="32"/>
      <c r="BB342" s="32"/>
      <c r="BC342" s="32"/>
      <c r="BD342" s="32"/>
      <c r="BE342" s="32"/>
      <c r="BF342" s="2"/>
      <c r="BG342" s="2"/>
      <c r="BH342" s="2"/>
      <c r="BI342" s="2"/>
      <c r="BJ342" s="2"/>
      <c r="BK342" s="32"/>
      <c r="BL342" s="2"/>
      <c r="BM342" s="32"/>
      <c r="BN342" s="32"/>
      <c r="BO342" s="32"/>
      <c r="BP342" s="2"/>
      <c r="BQ342" s="2"/>
      <c r="BR342" s="2"/>
      <c r="BS342" s="86"/>
      <c r="BT342" s="32"/>
      <c r="BU342" s="33"/>
      <c r="BV342" s="33"/>
      <c r="BW342" s="32"/>
      <c r="BX342" s="32"/>
      <c r="BY342" s="32"/>
      <c r="BZ342" s="32"/>
      <c r="CA342" s="33"/>
      <c r="CB342" s="32"/>
      <c r="CC342" s="32"/>
      <c r="CD342" s="31"/>
      <c r="CE342" s="31"/>
      <c r="CF342" s="48"/>
      <c r="CG342" s="31"/>
      <c r="CH342" s="31"/>
      <c r="CI342" s="32"/>
      <c r="CJ342" s="32"/>
      <c r="CK342" s="32"/>
      <c r="CL342" s="32"/>
      <c r="CM342" s="32"/>
      <c r="CN342" s="32"/>
      <c r="CO342" s="32"/>
      <c r="CP342" s="32"/>
      <c r="CQ342" s="32"/>
      <c r="CR342" s="32"/>
      <c r="CS342" s="32"/>
      <c r="CT342" s="32"/>
      <c r="CU342" s="32"/>
      <c r="CV342" s="32"/>
      <c r="CW342" s="32"/>
      <c r="CX342" s="32"/>
      <c r="CY342" s="32"/>
      <c r="CZ342" s="32"/>
      <c r="DA342" s="32"/>
      <c r="DB342" s="32"/>
    </row>
    <row r="343" spans="1:106" ht="15" hidden="1" customHeight="1">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c r="AH343" s="32"/>
      <c r="AI343" s="32"/>
      <c r="AJ343" s="32"/>
      <c r="AK343" s="32"/>
      <c r="AL343" s="32"/>
      <c r="AM343" s="32"/>
      <c r="AN343" s="32"/>
      <c r="AO343" s="32"/>
      <c r="AP343" s="32"/>
      <c r="AQ343" s="32"/>
      <c r="AR343" s="32"/>
      <c r="AS343" s="32"/>
      <c r="AT343" s="32"/>
      <c r="AU343" s="32"/>
      <c r="AV343" s="32"/>
      <c r="AW343" s="32"/>
      <c r="AX343" s="32"/>
      <c r="AY343" s="32"/>
      <c r="AZ343" s="32"/>
      <c r="BA343" s="32"/>
      <c r="BB343" s="32"/>
      <c r="BC343" s="32"/>
      <c r="BD343" s="32"/>
      <c r="BE343" s="32"/>
      <c r="BF343" s="2"/>
      <c r="BG343" s="2"/>
      <c r="BH343" s="2"/>
      <c r="BI343" s="2"/>
      <c r="BJ343" s="2"/>
      <c r="BK343" s="32"/>
      <c r="BL343" s="2"/>
      <c r="BM343" s="32"/>
      <c r="BN343" s="32"/>
      <c r="BO343" s="32"/>
      <c r="BP343" s="2"/>
      <c r="BQ343" s="2"/>
      <c r="BR343" s="2"/>
      <c r="BS343" s="86"/>
      <c r="BT343" s="32"/>
      <c r="BU343" s="33"/>
      <c r="BV343" s="33"/>
      <c r="BW343" s="32"/>
      <c r="BX343" s="32"/>
      <c r="BY343" s="32"/>
      <c r="BZ343" s="32"/>
      <c r="CA343" s="33"/>
      <c r="CB343" s="32"/>
      <c r="CC343" s="32"/>
      <c r="CD343" s="31"/>
      <c r="CE343" s="31"/>
      <c r="CF343" s="48"/>
      <c r="CG343" s="31"/>
      <c r="CH343" s="31"/>
      <c r="CI343" s="32"/>
      <c r="CJ343" s="32"/>
      <c r="CK343" s="32"/>
      <c r="CL343" s="32"/>
      <c r="CM343" s="32"/>
      <c r="CN343" s="32"/>
      <c r="CO343" s="32"/>
      <c r="CP343" s="32"/>
      <c r="CQ343" s="32"/>
      <c r="CR343" s="32"/>
      <c r="CS343" s="32"/>
      <c r="CT343" s="32"/>
      <c r="CU343" s="32"/>
      <c r="CV343" s="32"/>
      <c r="CW343" s="32"/>
      <c r="CX343" s="32"/>
      <c r="CY343" s="32"/>
      <c r="CZ343" s="32"/>
      <c r="DA343" s="32"/>
      <c r="DB343" s="32"/>
    </row>
    <row r="344" spans="1:106" ht="15" hidden="1" customHeight="1">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c r="AA344" s="32"/>
      <c r="AB344" s="32"/>
      <c r="AC344" s="32"/>
      <c r="AD344" s="32"/>
      <c r="AE344" s="32"/>
      <c r="AF344" s="32"/>
      <c r="AG344" s="32"/>
      <c r="AH344" s="32"/>
      <c r="AI344" s="32"/>
      <c r="AJ344" s="32"/>
      <c r="AK344" s="32"/>
      <c r="AL344" s="32"/>
      <c r="AM344" s="32"/>
      <c r="AN344" s="32"/>
      <c r="AO344" s="32"/>
      <c r="AP344" s="32"/>
      <c r="AQ344" s="32"/>
      <c r="AR344" s="32"/>
      <c r="AS344" s="32"/>
      <c r="AT344" s="32"/>
      <c r="AU344" s="32"/>
      <c r="AV344" s="32"/>
      <c r="AW344" s="32"/>
      <c r="AX344" s="32"/>
      <c r="AY344" s="32"/>
      <c r="AZ344" s="32"/>
      <c r="BA344" s="32"/>
      <c r="BB344" s="32"/>
      <c r="BC344" s="32"/>
      <c r="BD344" s="32"/>
      <c r="BE344" s="32"/>
      <c r="BF344" s="2"/>
      <c r="BG344" s="2"/>
      <c r="BH344" s="2"/>
      <c r="BI344" s="2"/>
      <c r="BJ344" s="2"/>
      <c r="BK344" s="32"/>
      <c r="BL344" s="2"/>
      <c r="BM344" s="32"/>
      <c r="BN344" s="32"/>
      <c r="BO344" s="32"/>
      <c r="BP344" s="2"/>
      <c r="BQ344" s="2"/>
      <c r="BR344" s="2"/>
      <c r="BS344" s="86"/>
      <c r="BT344" s="32"/>
      <c r="BU344" s="33"/>
      <c r="BV344" s="33"/>
      <c r="BW344" s="32"/>
      <c r="BX344" s="32"/>
      <c r="BY344" s="32"/>
      <c r="BZ344" s="32"/>
      <c r="CA344" s="33"/>
      <c r="CB344" s="32"/>
      <c r="CC344" s="32"/>
      <c r="CD344" s="31"/>
      <c r="CE344" s="31"/>
      <c r="CF344" s="48"/>
      <c r="CG344" s="31"/>
      <c r="CH344" s="31"/>
      <c r="CI344" s="32"/>
      <c r="CJ344" s="32"/>
      <c r="CK344" s="32"/>
      <c r="CL344" s="32"/>
      <c r="CM344" s="32"/>
      <c r="CN344" s="32"/>
      <c r="CO344" s="32"/>
      <c r="CP344" s="32"/>
      <c r="CQ344" s="32"/>
      <c r="CR344" s="32"/>
      <c r="CS344" s="32"/>
      <c r="CT344" s="32"/>
      <c r="CU344" s="32"/>
      <c r="CV344" s="32"/>
      <c r="CW344" s="32"/>
      <c r="CX344" s="32"/>
      <c r="CY344" s="32"/>
      <c r="CZ344" s="32"/>
      <c r="DA344" s="32"/>
      <c r="DB344" s="32"/>
    </row>
    <row r="345" spans="1:106" ht="15" hidden="1" customHeight="1">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c r="AA345" s="32"/>
      <c r="AB345" s="32"/>
      <c r="AC345" s="32"/>
      <c r="AD345" s="32"/>
      <c r="AE345" s="32"/>
      <c r="AF345" s="32"/>
      <c r="AG345" s="32"/>
      <c r="AH345" s="32"/>
      <c r="AI345" s="32"/>
      <c r="AJ345" s="32"/>
      <c r="AK345" s="32"/>
      <c r="AL345" s="32"/>
      <c r="AM345" s="32"/>
      <c r="AN345" s="32"/>
      <c r="AO345" s="32"/>
      <c r="AP345" s="32"/>
      <c r="AQ345" s="32"/>
      <c r="AR345" s="32"/>
      <c r="AS345" s="32"/>
      <c r="AT345" s="32"/>
      <c r="AU345" s="32"/>
      <c r="AV345" s="32"/>
      <c r="AW345" s="32"/>
      <c r="AX345" s="32"/>
      <c r="AY345" s="32"/>
      <c r="AZ345" s="32"/>
      <c r="BA345" s="32"/>
      <c r="BB345" s="32"/>
      <c r="BC345" s="32"/>
      <c r="BD345" s="32"/>
      <c r="BE345" s="32"/>
      <c r="BF345" s="2"/>
      <c r="BG345" s="2"/>
      <c r="BH345" s="2"/>
      <c r="BI345" s="2"/>
      <c r="BJ345" s="2"/>
      <c r="BK345" s="32"/>
      <c r="BL345" s="2"/>
      <c r="BM345" s="32"/>
      <c r="BN345" s="32"/>
      <c r="BO345" s="32"/>
      <c r="BP345" s="2"/>
      <c r="BQ345" s="2"/>
      <c r="BR345" s="2"/>
      <c r="BS345" s="86"/>
      <c r="BT345" s="32"/>
      <c r="BU345" s="33"/>
      <c r="BV345" s="33"/>
      <c r="BW345" s="32"/>
      <c r="BX345" s="32"/>
      <c r="BY345" s="32"/>
      <c r="BZ345" s="32"/>
      <c r="CA345" s="33"/>
      <c r="CB345" s="32"/>
      <c r="CC345" s="32"/>
      <c r="CD345" s="31"/>
      <c r="CE345" s="31"/>
      <c r="CF345" s="48"/>
      <c r="CG345" s="31"/>
      <c r="CH345" s="31"/>
      <c r="CI345" s="32"/>
      <c r="CJ345" s="32"/>
      <c r="CK345" s="32"/>
      <c r="CL345" s="32"/>
      <c r="CM345" s="32"/>
      <c r="CN345" s="32"/>
      <c r="CO345" s="32"/>
      <c r="CP345" s="32"/>
      <c r="CQ345" s="32"/>
      <c r="CR345" s="32"/>
      <c r="CS345" s="32"/>
      <c r="CT345" s="32"/>
      <c r="CU345" s="32"/>
      <c r="CV345" s="32"/>
      <c r="CW345" s="32"/>
      <c r="CX345" s="32"/>
      <c r="CY345" s="32"/>
      <c r="CZ345" s="32"/>
      <c r="DA345" s="32"/>
      <c r="DB345" s="32"/>
    </row>
    <row r="346" spans="1:106" ht="15" hidden="1" customHeight="1">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c r="AE346" s="32"/>
      <c r="AF346" s="32"/>
      <c r="AG346" s="32"/>
      <c r="AH346" s="32"/>
      <c r="AI346" s="32"/>
      <c r="AJ346" s="32"/>
      <c r="AK346" s="32"/>
      <c r="AL346" s="32"/>
      <c r="AM346" s="32"/>
      <c r="AN346" s="32"/>
      <c r="AO346" s="32"/>
      <c r="AP346" s="32"/>
      <c r="AQ346" s="32"/>
      <c r="AR346" s="32"/>
      <c r="AS346" s="32"/>
      <c r="AT346" s="32"/>
      <c r="AU346" s="32"/>
      <c r="AV346" s="32"/>
      <c r="AW346" s="32"/>
      <c r="AX346" s="32"/>
      <c r="AY346" s="32"/>
      <c r="AZ346" s="32"/>
      <c r="BA346" s="32"/>
      <c r="BB346" s="32"/>
      <c r="BC346" s="32"/>
      <c r="BD346" s="32"/>
      <c r="BE346" s="32"/>
      <c r="BF346" s="2"/>
      <c r="BG346" s="2"/>
      <c r="BH346" s="2"/>
      <c r="BI346" s="2"/>
      <c r="BJ346" s="2"/>
      <c r="BK346" s="32"/>
      <c r="BL346" s="2"/>
      <c r="BM346" s="32"/>
      <c r="BN346" s="32"/>
      <c r="BO346" s="32"/>
      <c r="BP346" s="2"/>
      <c r="BQ346" s="2"/>
      <c r="BR346" s="2"/>
      <c r="BS346" s="86"/>
      <c r="BT346" s="32"/>
      <c r="BU346" s="33"/>
      <c r="BV346" s="33"/>
      <c r="BW346" s="32"/>
      <c r="BX346" s="32"/>
      <c r="BY346" s="32"/>
      <c r="BZ346" s="32"/>
      <c r="CA346" s="33"/>
      <c r="CB346" s="32"/>
      <c r="CC346" s="32"/>
      <c r="CD346" s="31"/>
      <c r="CE346" s="31"/>
      <c r="CF346" s="48"/>
      <c r="CG346" s="31"/>
      <c r="CH346" s="31"/>
      <c r="CI346" s="32"/>
      <c r="CJ346" s="32"/>
      <c r="CK346" s="32"/>
      <c r="CL346" s="32"/>
      <c r="CM346" s="32"/>
      <c r="CN346" s="32"/>
      <c r="CO346" s="32"/>
      <c r="CP346" s="32"/>
      <c r="CQ346" s="32"/>
      <c r="CR346" s="32"/>
      <c r="CS346" s="32"/>
      <c r="CT346" s="32"/>
      <c r="CU346" s="32"/>
      <c r="CV346" s="32"/>
      <c r="CW346" s="32"/>
      <c r="CX346" s="32"/>
      <c r="CY346" s="32"/>
      <c r="CZ346" s="32"/>
      <c r="DA346" s="32"/>
      <c r="DB346" s="32"/>
    </row>
    <row r="347" spans="1:106" ht="15" hidden="1" customHeight="1">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32"/>
      <c r="AL347" s="32"/>
      <c r="AM347" s="32"/>
      <c r="AN347" s="32"/>
      <c r="AO347" s="32"/>
      <c r="AP347" s="32"/>
      <c r="AQ347" s="32"/>
      <c r="AR347" s="32"/>
      <c r="AS347" s="32"/>
      <c r="AT347" s="32"/>
      <c r="AU347" s="32"/>
      <c r="AV347" s="32"/>
      <c r="AW347" s="32"/>
      <c r="AX347" s="32"/>
      <c r="AY347" s="32"/>
      <c r="AZ347" s="32"/>
      <c r="BA347" s="32"/>
      <c r="BB347" s="32"/>
      <c r="BC347" s="32"/>
      <c r="BD347" s="32"/>
      <c r="BE347" s="32"/>
      <c r="BF347" s="2"/>
      <c r="BG347" s="2"/>
      <c r="BH347" s="2"/>
      <c r="BI347" s="2"/>
      <c r="BJ347" s="2"/>
      <c r="BK347" s="32"/>
      <c r="BL347" s="2"/>
      <c r="BM347" s="32"/>
      <c r="BN347" s="32"/>
      <c r="BO347" s="32"/>
      <c r="BP347" s="2"/>
      <c r="BQ347" s="2"/>
      <c r="BR347" s="2"/>
      <c r="BS347" s="86"/>
      <c r="BT347" s="32"/>
      <c r="BU347" s="33"/>
      <c r="BV347" s="33"/>
      <c r="BW347" s="32"/>
      <c r="BX347" s="32"/>
      <c r="BY347" s="32"/>
      <c r="BZ347" s="32"/>
      <c r="CA347" s="33"/>
      <c r="CB347" s="32"/>
      <c r="CC347" s="32"/>
      <c r="CD347" s="31"/>
      <c r="CE347" s="31"/>
      <c r="CF347" s="48"/>
      <c r="CG347" s="31"/>
      <c r="CH347" s="31"/>
      <c r="CI347" s="32"/>
      <c r="CJ347" s="32"/>
      <c r="CK347" s="32"/>
      <c r="CL347" s="32"/>
      <c r="CM347" s="32"/>
      <c r="CN347" s="32"/>
      <c r="CO347" s="32"/>
      <c r="CP347" s="32"/>
      <c r="CQ347" s="32"/>
      <c r="CR347" s="32"/>
      <c r="CS347" s="32"/>
      <c r="CT347" s="32"/>
      <c r="CU347" s="32"/>
      <c r="CV347" s="32"/>
      <c r="CW347" s="32"/>
      <c r="CX347" s="32"/>
      <c r="CY347" s="32"/>
      <c r="CZ347" s="32"/>
      <c r="DA347" s="32"/>
      <c r="DB347" s="32"/>
    </row>
    <row r="348" spans="1:106" ht="15" hidden="1" customHeight="1">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c r="AA348" s="32"/>
      <c r="AB348" s="32"/>
      <c r="AC348" s="32"/>
      <c r="AD348" s="32"/>
      <c r="AE348" s="32"/>
      <c r="AF348" s="32"/>
      <c r="AG348" s="32"/>
      <c r="AH348" s="32"/>
      <c r="AI348" s="32"/>
      <c r="AJ348" s="32"/>
      <c r="AK348" s="32"/>
      <c r="AL348" s="32"/>
      <c r="AM348" s="32"/>
      <c r="AN348" s="32"/>
      <c r="AO348" s="32"/>
      <c r="AP348" s="32"/>
      <c r="AQ348" s="32"/>
      <c r="AR348" s="32"/>
      <c r="AS348" s="32"/>
      <c r="AT348" s="32"/>
      <c r="AU348" s="32"/>
      <c r="AV348" s="32"/>
      <c r="AW348" s="32"/>
      <c r="AX348" s="32"/>
      <c r="AY348" s="32"/>
      <c r="AZ348" s="32"/>
      <c r="BA348" s="32"/>
      <c r="BB348" s="32"/>
      <c r="BC348" s="32"/>
      <c r="BD348" s="32"/>
      <c r="BE348" s="32"/>
      <c r="BF348" s="2"/>
      <c r="BG348" s="2"/>
      <c r="BH348" s="2"/>
      <c r="BI348" s="2"/>
      <c r="BJ348" s="2"/>
      <c r="BK348" s="32"/>
      <c r="BL348" s="2"/>
      <c r="BM348" s="32"/>
      <c r="BN348" s="32"/>
      <c r="BO348" s="32"/>
      <c r="BP348" s="2"/>
      <c r="BQ348" s="2"/>
      <c r="BR348" s="2"/>
      <c r="BS348" s="86"/>
      <c r="BT348" s="32"/>
      <c r="BU348" s="33"/>
      <c r="BV348" s="33"/>
      <c r="BW348" s="32"/>
      <c r="BX348" s="32"/>
      <c r="BY348" s="32"/>
      <c r="BZ348" s="32"/>
      <c r="CA348" s="33"/>
      <c r="CB348" s="32"/>
      <c r="CC348" s="32"/>
      <c r="CD348" s="31"/>
      <c r="CE348" s="31"/>
      <c r="CF348" s="48"/>
      <c r="CG348" s="31"/>
      <c r="CH348" s="31"/>
      <c r="CI348" s="32"/>
      <c r="CJ348" s="32"/>
      <c r="CK348" s="32"/>
      <c r="CL348" s="32"/>
      <c r="CM348" s="32"/>
      <c r="CN348" s="32"/>
      <c r="CO348" s="32"/>
      <c r="CP348" s="32"/>
      <c r="CQ348" s="32"/>
      <c r="CR348" s="32"/>
      <c r="CS348" s="32"/>
      <c r="CT348" s="32"/>
      <c r="CU348" s="32"/>
      <c r="CV348" s="32"/>
      <c r="CW348" s="32"/>
      <c r="CX348" s="32"/>
      <c r="CY348" s="32"/>
      <c r="CZ348" s="32"/>
      <c r="DA348" s="32"/>
      <c r="DB348" s="32"/>
    </row>
    <row r="349" spans="1:106" ht="15" hidden="1" customHeight="1">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c r="AA349" s="32"/>
      <c r="AB349" s="32"/>
      <c r="AC349" s="32"/>
      <c r="AD349" s="32"/>
      <c r="AE349" s="32"/>
      <c r="AF349" s="32"/>
      <c r="AG349" s="32"/>
      <c r="AH349" s="32"/>
      <c r="AI349" s="32"/>
      <c r="AJ349" s="32"/>
      <c r="AK349" s="32"/>
      <c r="AL349" s="32"/>
      <c r="AM349" s="32"/>
      <c r="AN349" s="32"/>
      <c r="AO349" s="32"/>
      <c r="AP349" s="32"/>
      <c r="AQ349" s="32"/>
      <c r="AR349" s="32"/>
      <c r="AS349" s="32"/>
      <c r="AT349" s="32"/>
      <c r="AU349" s="32"/>
      <c r="AV349" s="32"/>
      <c r="AW349" s="32"/>
      <c r="AX349" s="32"/>
      <c r="AY349" s="32"/>
      <c r="AZ349" s="32"/>
      <c r="BA349" s="32"/>
      <c r="BB349" s="32"/>
      <c r="BC349" s="32"/>
      <c r="BD349" s="32"/>
      <c r="BE349" s="32"/>
      <c r="BF349" s="2"/>
      <c r="BG349" s="2"/>
      <c r="BH349" s="2"/>
      <c r="BI349" s="2"/>
      <c r="BJ349" s="2"/>
      <c r="BK349" s="32"/>
      <c r="BL349" s="2"/>
      <c r="BM349" s="32"/>
      <c r="BN349" s="32"/>
      <c r="BO349" s="32"/>
      <c r="BP349" s="2"/>
      <c r="BQ349" s="2"/>
      <c r="BR349" s="2"/>
      <c r="BS349" s="86"/>
      <c r="BT349" s="32"/>
      <c r="BU349" s="33"/>
      <c r="BV349" s="33"/>
      <c r="BW349" s="32"/>
      <c r="BX349" s="32"/>
      <c r="BY349" s="32"/>
      <c r="BZ349" s="32"/>
      <c r="CA349" s="33"/>
      <c r="CB349" s="32"/>
      <c r="CC349" s="32"/>
      <c r="CD349" s="31"/>
      <c r="CE349" s="31"/>
      <c r="CF349" s="48"/>
      <c r="CG349" s="31"/>
      <c r="CH349" s="31"/>
      <c r="CI349" s="32"/>
      <c r="CJ349" s="32"/>
      <c r="CK349" s="32"/>
      <c r="CL349" s="32"/>
      <c r="CM349" s="32"/>
      <c r="CN349" s="32"/>
      <c r="CO349" s="32"/>
      <c r="CP349" s="32"/>
      <c r="CQ349" s="32"/>
      <c r="CR349" s="32"/>
      <c r="CS349" s="32"/>
      <c r="CT349" s="32"/>
      <c r="CU349" s="32"/>
      <c r="CV349" s="32"/>
      <c r="CW349" s="32"/>
      <c r="CX349" s="32"/>
      <c r="CY349" s="32"/>
      <c r="CZ349" s="32"/>
      <c r="DA349" s="32"/>
      <c r="DB349" s="32"/>
    </row>
    <row r="350" spans="1:106" ht="15" hidden="1" customHeight="1">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c r="AA350" s="32"/>
      <c r="AB350" s="32"/>
      <c r="AC350" s="32"/>
      <c r="AD350" s="32"/>
      <c r="AE350" s="32"/>
      <c r="AF350" s="32"/>
      <c r="AG350" s="32"/>
      <c r="AH350" s="32"/>
      <c r="AI350" s="32"/>
      <c r="AJ350" s="32"/>
      <c r="AK350" s="32"/>
      <c r="AL350" s="32"/>
      <c r="AM350" s="32"/>
      <c r="AN350" s="32"/>
      <c r="AO350" s="32"/>
      <c r="AP350" s="32"/>
      <c r="AQ350" s="32"/>
      <c r="AR350" s="32"/>
      <c r="AS350" s="32"/>
      <c r="AT350" s="32"/>
      <c r="AU350" s="32"/>
      <c r="AV350" s="32"/>
      <c r="AW350" s="32"/>
      <c r="AX350" s="32"/>
      <c r="AY350" s="32"/>
      <c r="AZ350" s="32"/>
      <c r="BA350" s="32"/>
      <c r="BB350" s="32"/>
      <c r="BC350" s="32"/>
      <c r="BD350" s="32"/>
      <c r="BE350" s="32"/>
      <c r="BF350" s="2"/>
      <c r="BG350" s="2"/>
      <c r="BH350" s="2"/>
      <c r="BI350" s="2"/>
      <c r="BJ350" s="2"/>
      <c r="BK350" s="32"/>
      <c r="BL350" s="2"/>
      <c r="BM350" s="32"/>
      <c r="BN350" s="32"/>
      <c r="BO350" s="32"/>
      <c r="BP350" s="2"/>
      <c r="BQ350" s="2"/>
      <c r="BR350" s="2"/>
      <c r="BS350" s="86"/>
      <c r="BT350" s="32"/>
      <c r="BU350" s="33"/>
      <c r="BV350" s="33"/>
      <c r="BW350" s="32"/>
      <c r="BX350" s="32"/>
      <c r="BY350" s="32"/>
      <c r="BZ350" s="32"/>
      <c r="CA350" s="33"/>
      <c r="CB350" s="32"/>
      <c r="CC350" s="32"/>
      <c r="CD350" s="31"/>
      <c r="CE350" s="31"/>
      <c r="CF350" s="48"/>
      <c r="CG350" s="31"/>
      <c r="CH350" s="31"/>
      <c r="CI350" s="32"/>
      <c r="CJ350" s="32"/>
      <c r="CK350" s="32"/>
      <c r="CL350" s="32"/>
      <c r="CM350" s="32"/>
      <c r="CN350" s="32"/>
      <c r="CO350" s="32"/>
      <c r="CP350" s="32"/>
      <c r="CQ350" s="32"/>
      <c r="CR350" s="32"/>
      <c r="CS350" s="32"/>
      <c r="CT350" s="32"/>
      <c r="CU350" s="32"/>
      <c r="CV350" s="32"/>
      <c r="CW350" s="32"/>
      <c r="CX350" s="32"/>
      <c r="CY350" s="32"/>
      <c r="CZ350" s="32"/>
      <c r="DA350" s="32"/>
      <c r="DB350" s="32"/>
    </row>
    <row r="351" spans="1:106" ht="15" hidden="1" customHeight="1">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c r="AA351" s="32"/>
      <c r="AB351" s="32"/>
      <c r="AC351" s="32"/>
      <c r="AD351" s="32"/>
      <c r="AE351" s="32"/>
      <c r="AF351" s="32"/>
      <c r="AG351" s="32"/>
      <c r="AH351" s="32"/>
      <c r="AI351" s="32"/>
      <c r="AJ351" s="32"/>
      <c r="AK351" s="32"/>
      <c r="AL351" s="32"/>
      <c r="AM351" s="32"/>
      <c r="AN351" s="32"/>
      <c r="AO351" s="32"/>
      <c r="AP351" s="32"/>
      <c r="AQ351" s="32"/>
      <c r="AR351" s="32"/>
      <c r="AS351" s="32"/>
      <c r="AT351" s="32"/>
      <c r="AU351" s="32"/>
      <c r="AV351" s="32"/>
      <c r="AW351" s="32"/>
      <c r="AX351" s="32"/>
      <c r="AY351" s="32"/>
      <c r="AZ351" s="32"/>
      <c r="BA351" s="32"/>
      <c r="BB351" s="32"/>
      <c r="BC351" s="32"/>
      <c r="BD351" s="32"/>
      <c r="BE351" s="32"/>
      <c r="BF351" s="2"/>
      <c r="BG351" s="2"/>
      <c r="BH351" s="2"/>
      <c r="BI351" s="2"/>
      <c r="BJ351" s="2"/>
      <c r="BK351" s="32"/>
      <c r="BL351" s="2"/>
      <c r="BM351" s="32"/>
      <c r="BN351" s="32"/>
      <c r="BO351" s="32"/>
      <c r="BP351" s="2"/>
      <c r="BQ351" s="2"/>
      <c r="BR351" s="2"/>
      <c r="BS351" s="86"/>
      <c r="BT351" s="32"/>
      <c r="BU351" s="33"/>
      <c r="BV351" s="33"/>
      <c r="BW351" s="32"/>
      <c r="BX351" s="32"/>
      <c r="BY351" s="32"/>
      <c r="BZ351" s="32"/>
      <c r="CA351" s="33"/>
      <c r="CB351" s="32"/>
      <c r="CC351" s="32"/>
      <c r="CD351" s="31"/>
      <c r="CE351" s="31"/>
      <c r="CF351" s="48"/>
      <c r="CG351" s="31"/>
      <c r="CH351" s="31"/>
      <c r="CI351" s="32"/>
      <c r="CJ351" s="32"/>
      <c r="CK351" s="32"/>
      <c r="CL351" s="32"/>
      <c r="CM351" s="32"/>
      <c r="CN351" s="32"/>
      <c r="CO351" s="32"/>
      <c r="CP351" s="32"/>
      <c r="CQ351" s="32"/>
      <c r="CR351" s="32"/>
      <c r="CS351" s="32"/>
      <c r="CT351" s="32"/>
      <c r="CU351" s="32"/>
      <c r="CV351" s="32"/>
      <c r="CW351" s="32"/>
      <c r="CX351" s="32"/>
      <c r="CY351" s="32"/>
      <c r="CZ351" s="32"/>
      <c r="DA351" s="32"/>
      <c r="DB351" s="32"/>
    </row>
    <row r="352" spans="1:106" ht="15" hidden="1" customHeight="1">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c r="AA352" s="32"/>
      <c r="AB352" s="32"/>
      <c r="AC352" s="32"/>
      <c r="AD352" s="32"/>
      <c r="AE352" s="32"/>
      <c r="AF352" s="32"/>
      <c r="AG352" s="32"/>
      <c r="AH352" s="32"/>
      <c r="AI352" s="32"/>
      <c r="AJ352" s="32"/>
      <c r="AK352" s="32"/>
      <c r="AL352" s="32"/>
      <c r="AM352" s="32"/>
      <c r="AN352" s="32"/>
      <c r="AO352" s="32"/>
      <c r="AP352" s="32"/>
      <c r="AQ352" s="32"/>
      <c r="AR352" s="32"/>
      <c r="AS352" s="32"/>
      <c r="AT352" s="32"/>
      <c r="AU352" s="32"/>
      <c r="AV352" s="32"/>
      <c r="AW352" s="32"/>
      <c r="AX352" s="32"/>
      <c r="AY352" s="32"/>
      <c r="AZ352" s="32"/>
      <c r="BA352" s="32"/>
      <c r="BB352" s="32"/>
      <c r="BC352" s="32"/>
      <c r="BD352" s="32"/>
      <c r="BE352" s="32"/>
      <c r="BF352" s="2"/>
      <c r="BG352" s="2"/>
      <c r="BH352" s="2"/>
      <c r="BI352" s="2"/>
      <c r="BJ352" s="2"/>
      <c r="BK352" s="32"/>
      <c r="BL352" s="2"/>
      <c r="BM352" s="32"/>
      <c r="BN352" s="32"/>
      <c r="BO352" s="32"/>
      <c r="BP352" s="2"/>
      <c r="BQ352" s="2"/>
      <c r="BR352" s="2"/>
      <c r="BS352" s="86"/>
      <c r="BT352" s="32"/>
      <c r="BU352" s="33"/>
      <c r="BV352" s="33"/>
      <c r="BW352" s="32"/>
      <c r="BX352" s="32"/>
      <c r="BY352" s="32"/>
      <c r="BZ352" s="32"/>
      <c r="CA352" s="33"/>
      <c r="CB352" s="32"/>
      <c r="CC352" s="32"/>
      <c r="CD352" s="31"/>
      <c r="CE352" s="31"/>
      <c r="CF352" s="48"/>
      <c r="CG352" s="31"/>
      <c r="CH352" s="31"/>
      <c r="CI352" s="32"/>
      <c r="CJ352" s="32"/>
      <c r="CK352" s="32"/>
      <c r="CL352" s="32"/>
      <c r="CM352" s="32"/>
      <c r="CN352" s="32"/>
      <c r="CO352" s="32"/>
      <c r="CP352" s="32"/>
      <c r="CQ352" s="32"/>
      <c r="CR352" s="32"/>
      <c r="CS352" s="32"/>
      <c r="CT352" s="32"/>
      <c r="CU352" s="32"/>
      <c r="CV352" s="32"/>
      <c r="CW352" s="32"/>
      <c r="CX352" s="32"/>
      <c r="CY352" s="32"/>
      <c r="CZ352" s="32"/>
      <c r="DA352" s="32"/>
      <c r="DB352" s="32"/>
    </row>
    <row r="353" spans="1:106" ht="15" hidden="1" customHeight="1">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c r="AA353" s="32"/>
      <c r="AB353" s="32"/>
      <c r="AC353" s="32"/>
      <c r="AD353" s="32"/>
      <c r="AE353" s="32"/>
      <c r="AF353" s="32"/>
      <c r="AG353" s="32"/>
      <c r="AH353" s="32"/>
      <c r="AI353" s="32"/>
      <c r="AJ353" s="32"/>
      <c r="AK353" s="32"/>
      <c r="AL353" s="32"/>
      <c r="AM353" s="32"/>
      <c r="AN353" s="32"/>
      <c r="AO353" s="32"/>
      <c r="AP353" s="32"/>
      <c r="AQ353" s="32"/>
      <c r="AR353" s="32"/>
      <c r="AS353" s="32"/>
      <c r="AT353" s="32"/>
      <c r="AU353" s="32"/>
      <c r="AV353" s="32"/>
      <c r="AW353" s="32"/>
      <c r="AX353" s="32"/>
      <c r="AY353" s="32"/>
      <c r="AZ353" s="32"/>
      <c r="BA353" s="32"/>
      <c r="BB353" s="32"/>
      <c r="BC353" s="32"/>
      <c r="BD353" s="32"/>
      <c r="BE353" s="32"/>
      <c r="BF353" s="2"/>
      <c r="BG353" s="2"/>
      <c r="BH353" s="2"/>
      <c r="BI353" s="2"/>
      <c r="BJ353" s="2"/>
      <c r="BK353" s="32"/>
      <c r="BL353" s="2"/>
      <c r="BM353" s="32"/>
      <c r="BN353" s="32"/>
      <c r="BO353" s="32"/>
      <c r="BP353" s="2"/>
      <c r="BQ353" s="2"/>
      <c r="BR353" s="2"/>
      <c r="BS353" s="86"/>
      <c r="BT353" s="32"/>
      <c r="BU353" s="33"/>
      <c r="BV353" s="33"/>
      <c r="BW353" s="32"/>
      <c r="BX353" s="32"/>
      <c r="BY353" s="32"/>
      <c r="BZ353" s="32"/>
      <c r="CA353" s="33"/>
      <c r="CB353" s="32"/>
      <c r="CC353" s="32"/>
      <c r="CD353" s="31"/>
      <c r="CE353" s="31"/>
      <c r="CF353" s="48"/>
      <c r="CG353" s="31"/>
      <c r="CH353" s="31"/>
      <c r="CI353" s="32"/>
      <c r="CJ353" s="32"/>
      <c r="CK353" s="32"/>
      <c r="CL353" s="32"/>
      <c r="CM353" s="32"/>
      <c r="CN353" s="32"/>
      <c r="CO353" s="32"/>
      <c r="CP353" s="32"/>
      <c r="CQ353" s="32"/>
      <c r="CR353" s="32"/>
      <c r="CS353" s="32"/>
      <c r="CT353" s="32"/>
      <c r="CU353" s="32"/>
      <c r="CV353" s="32"/>
      <c r="CW353" s="32"/>
      <c r="CX353" s="32"/>
      <c r="CY353" s="32"/>
      <c r="CZ353" s="32"/>
      <c r="DA353" s="32"/>
      <c r="DB353" s="32"/>
    </row>
    <row r="354" spans="1:106" ht="15" hidden="1" customHeight="1">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c r="AA354" s="32"/>
      <c r="AB354" s="32"/>
      <c r="AC354" s="32"/>
      <c r="AD354" s="32"/>
      <c r="AE354" s="32"/>
      <c r="AF354" s="32"/>
      <c r="AG354" s="32"/>
      <c r="AH354" s="32"/>
      <c r="AI354" s="32"/>
      <c r="AJ354" s="32"/>
      <c r="AK354" s="32"/>
      <c r="AL354" s="32"/>
      <c r="AM354" s="32"/>
      <c r="AN354" s="32"/>
      <c r="AO354" s="32"/>
      <c r="AP354" s="32"/>
      <c r="AQ354" s="32"/>
      <c r="AR354" s="32"/>
      <c r="AS354" s="32"/>
      <c r="AT354" s="32"/>
      <c r="AU354" s="32"/>
      <c r="AV354" s="32"/>
      <c r="AW354" s="32"/>
      <c r="AX354" s="32"/>
      <c r="AY354" s="32"/>
      <c r="AZ354" s="32"/>
      <c r="BA354" s="32"/>
      <c r="BB354" s="32"/>
      <c r="BC354" s="32"/>
      <c r="BD354" s="32"/>
      <c r="BE354" s="32"/>
      <c r="BF354" s="2"/>
      <c r="BG354" s="2"/>
      <c r="BH354" s="2"/>
      <c r="BI354" s="2"/>
      <c r="BJ354" s="2"/>
      <c r="BK354" s="32"/>
      <c r="BL354" s="2"/>
      <c r="BM354" s="32"/>
      <c r="BN354" s="32"/>
      <c r="BO354" s="32"/>
      <c r="BP354" s="2"/>
      <c r="BQ354" s="2"/>
      <c r="BR354" s="2"/>
      <c r="BS354" s="86"/>
      <c r="BT354" s="32"/>
      <c r="BU354" s="33"/>
      <c r="BV354" s="33"/>
      <c r="BW354" s="32"/>
      <c r="BX354" s="32"/>
      <c r="BY354" s="32"/>
      <c r="BZ354" s="32"/>
      <c r="CA354" s="33"/>
      <c r="CB354" s="32"/>
      <c r="CC354" s="32"/>
      <c r="CD354" s="31"/>
      <c r="CE354" s="31"/>
      <c r="CF354" s="48"/>
      <c r="CG354" s="31"/>
      <c r="CH354" s="31"/>
      <c r="CI354" s="32"/>
      <c r="CJ354" s="32"/>
      <c r="CK354" s="32"/>
      <c r="CL354" s="32"/>
      <c r="CM354" s="32"/>
      <c r="CN354" s="32"/>
      <c r="CO354" s="32"/>
      <c r="CP354" s="32"/>
      <c r="CQ354" s="32"/>
      <c r="CR354" s="32"/>
      <c r="CS354" s="32"/>
      <c r="CT354" s="32"/>
      <c r="CU354" s="32"/>
      <c r="CV354" s="32"/>
      <c r="CW354" s="32"/>
      <c r="CX354" s="32"/>
      <c r="CY354" s="32"/>
      <c r="CZ354" s="32"/>
      <c r="DA354" s="32"/>
      <c r="DB354" s="32"/>
    </row>
    <row r="355" spans="1:106" ht="15" hidden="1" customHeight="1">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32"/>
      <c r="AL355" s="32"/>
      <c r="AM355" s="32"/>
      <c r="AN355" s="32"/>
      <c r="AO355" s="32"/>
      <c r="AP355" s="32"/>
      <c r="AQ355" s="32"/>
      <c r="AR355" s="32"/>
      <c r="AS355" s="32"/>
      <c r="AT355" s="32"/>
      <c r="AU355" s="32"/>
      <c r="AV355" s="32"/>
      <c r="AW355" s="32"/>
      <c r="AX355" s="32"/>
      <c r="AY355" s="32"/>
      <c r="AZ355" s="32"/>
      <c r="BA355" s="32"/>
      <c r="BB355" s="32"/>
      <c r="BC355" s="32"/>
      <c r="BD355" s="32"/>
      <c r="BE355" s="32"/>
      <c r="BF355" s="2"/>
      <c r="BG355" s="2"/>
      <c r="BH355" s="2"/>
      <c r="BI355" s="2"/>
      <c r="BJ355" s="2"/>
      <c r="BK355" s="32"/>
      <c r="BL355" s="2"/>
      <c r="BM355" s="32"/>
      <c r="BN355" s="32"/>
      <c r="BO355" s="32"/>
      <c r="BP355" s="2"/>
      <c r="BQ355" s="2"/>
      <c r="BR355" s="2"/>
      <c r="BS355" s="86"/>
      <c r="BT355" s="32"/>
      <c r="BU355" s="33"/>
      <c r="BV355" s="33"/>
      <c r="BW355" s="32"/>
      <c r="BX355" s="32"/>
      <c r="BY355" s="32"/>
      <c r="BZ355" s="99"/>
      <c r="CA355" s="31"/>
      <c r="CB355" s="31"/>
      <c r="CC355" s="31"/>
      <c r="CD355" s="31"/>
      <c r="CE355" s="31"/>
      <c r="CF355" s="48"/>
      <c r="CG355" s="31"/>
      <c r="CH355" s="31"/>
      <c r="CI355" s="32"/>
      <c r="CJ355" s="32"/>
      <c r="CK355" s="32"/>
      <c r="CL355" s="32"/>
      <c r="CM355" s="32"/>
      <c r="CN355" s="32"/>
      <c r="CO355" s="32"/>
      <c r="CP355" s="32"/>
      <c r="CQ355" s="32"/>
      <c r="CR355" s="32"/>
      <c r="CS355" s="32"/>
      <c r="CT355" s="32"/>
      <c r="CU355" s="32"/>
      <c r="CV355" s="32"/>
      <c r="CW355" s="32"/>
      <c r="CX355" s="32"/>
      <c r="CY355" s="32"/>
      <c r="CZ355" s="32"/>
      <c r="DA355" s="32"/>
      <c r="DB355" s="32"/>
    </row>
    <row r="356" spans="1:106" ht="15" hidden="1" customHeight="1">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c r="AA356" s="32"/>
      <c r="AB356" s="32"/>
      <c r="AC356" s="32"/>
      <c r="AD356" s="32"/>
      <c r="AE356" s="32"/>
      <c r="AF356" s="32"/>
      <c r="AG356" s="32"/>
      <c r="AH356" s="32"/>
      <c r="AI356" s="32"/>
      <c r="AJ356" s="32"/>
      <c r="AK356" s="32"/>
      <c r="AL356" s="32"/>
      <c r="AM356" s="32"/>
      <c r="AN356" s="32"/>
      <c r="AO356" s="32"/>
      <c r="AP356" s="32"/>
      <c r="AQ356" s="32"/>
      <c r="AR356" s="32"/>
      <c r="AS356" s="32"/>
      <c r="AT356" s="32"/>
      <c r="AU356" s="32"/>
      <c r="AV356" s="32"/>
      <c r="AW356" s="32"/>
      <c r="AX356" s="32"/>
      <c r="AY356" s="32"/>
      <c r="AZ356" s="32"/>
      <c r="BA356" s="32"/>
      <c r="BB356" s="32"/>
      <c r="BC356" s="32"/>
      <c r="BD356" s="32"/>
      <c r="BE356" s="32"/>
      <c r="BF356" s="2"/>
      <c r="BG356" s="2"/>
      <c r="BH356" s="2"/>
      <c r="BI356" s="2"/>
      <c r="BJ356" s="2"/>
      <c r="BK356" s="32"/>
      <c r="BL356" s="2"/>
      <c r="BM356" s="32"/>
      <c r="BN356" s="32"/>
      <c r="BO356" s="32"/>
      <c r="BP356" s="2"/>
      <c r="BQ356" s="2"/>
      <c r="BR356" s="2"/>
      <c r="BS356" s="86"/>
      <c r="BT356" s="32"/>
      <c r="BU356" s="33"/>
      <c r="BV356" s="33"/>
      <c r="BW356" s="32"/>
      <c r="BX356" s="32"/>
      <c r="BY356" s="32"/>
      <c r="BZ356" s="32"/>
      <c r="CA356" s="33"/>
      <c r="CB356" s="32"/>
      <c r="CC356" s="32"/>
      <c r="CD356" s="31"/>
      <c r="CE356" s="31"/>
      <c r="CF356" s="48"/>
      <c r="CG356" s="31"/>
      <c r="CH356" s="31"/>
      <c r="CI356" s="32"/>
      <c r="CJ356" s="32"/>
      <c r="CK356" s="32"/>
      <c r="CL356" s="32"/>
      <c r="CM356" s="32"/>
      <c r="CN356" s="32"/>
      <c r="CO356" s="32"/>
      <c r="CP356" s="32"/>
      <c r="CQ356" s="32"/>
      <c r="CR356" s="32"/>
      <c r="CS356" s="32"/>
      <c r="CT356" s="32"/>
      <c r="CU356" s="32"/>
      <c r="CV356" s="32"/>
      <c r="CW356" s="32"/>
      <c r="CX356" s="32"/>
      <c r="CY356" s="32"/>
      <c r="CZ356" s="32"/>
      <c r="DA356" s="32"/>
      <c r="DB356" s="32"/>
    </row>
    <row r="357" spans="1:106" ht="15" hidden="1" customHeight="1">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c r="AA357" s="32"/>
      <c r="AB357" s="32"/>
      <c r="AC357" s="32"/>
      <c r="AD357" s="32"/>
      <c r="AE357" s="32"/>
      <c r="AF357" s="32"/>
      <c r="AG357" s="32"/>
      <c r="AH357" s="32"/>
      <c r="AI357" s="32"/>
      <c r="AJ357" s="32"/>
      <c r="AK357" s="32"/>
      <c r="AL357" s="32"/>
      <c r="AM357" s="32"/>
      <c r="AN357" s="32"/>
      <c r="AO357" s="32"/>
      <c r="AP357" s="32"/>
      <c r="AQ357" s="32"/>
      <c r="AR357" s="32"/>
      <c r="AS357" s="32"/>
      <c r="AT357" s="32"/>
      <c r="AU357" s="32"/>
      <c r="AV357" s="32"/>
      <c r="AW357" s="32"/>
      <c r="AX357" s="32"/>
      <c r="AY357" s="32"/>
      <c r="AZ357" s="32"/>
      <c r="BA357" s="32"/>
      <c r="BB357" s="32"/>
      <c r="BC357" s="32"/>
      <c r="BD357" s="32"/>
      <c r="BE357" s="32"/>
      <c r="BF357" s="2"/>
      <c r="BG357" s="2"/>
      <c r="BH357" s="2"/>
      <c r="BI357" s="2"/>
      <c r="BJ357" s="2"/>
      <c r="BK357" s="32"/>
      <c r="BL357" s="2"/>
      <c r="BM357" s="32"/>
      <c r="BN357" s="32"/>
      <c r="BO357" s="32"/>
      <c r="BP357" s="2"/>
      <c r="BQ357" s="2"/>
      <c r="BR357" s="2"/>
      <c r="BS357" s="86"/>
      <c r="BT357" s="32"/>
      <c r="BU357" s="33"/>
      <c r="BV357" s="33"/>
      <c r="BW357" s="32"/>
      <c r="BX357" s="32"/>
      <c r="BY357" s="32"/>
      <c r="BZ357" s="32"/>
      <c r="CA357" s="33"/>
      <c r="CB357" s="32"/>
      <c r="CC357" s="32"/>
      <c r="CD357" s="31"/>
      <c r="CE357" s="31"/>
      <c r="CF357" s="48"/>
      <c r="CG357" s="31"/>
      <c r="CH357" s="31"/>
      <c r="CI357" s="32"/>
      <c r="CJ357" s="32"/>
      <c r="CK357" s="32"/>
      <c r="CL357" s="32"/>
      <c r="CM357" s="32"/>
      <c r="CN357" s="32"/>
      <c r="CO357" s="32"/>
      <c r="CP357" s="32"/>
      <c r="CQ357" s="32"/>
      <c r="CR357" s="32"/>
      <c r="CS357" s="32"/>
      <c r="CT357" s="32"/>
      <c r="CU357" s="32"/>
      <c r="CV357" s="32"/>
      <c r="CW357" s="32"/>
      <c r="CX357" s="32"/>
      <c r="CY357" s="32"/>
      <c r="CZ357" s="32"/>
      <c r="DA357" s="32"/>
      <c r="DB357" s="32"/>
    </row>
    <row r="358" spans="1:106" ht="15" hidden="1" customHeight="1">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c r="AA358" s="32"/>
      <c r="AB358" s="32"/>
      <c r="AC358" s="32"/>
      <c r="AD358" s="32"/>
      <c r="AE358" s="32"/>
      <c r="AF358" s="32"/>
      <c r="AG358" s="32"/>
      <c r="AH358" s="32"/>
      <c r="AI358" s="32"/>
      <c r="AJ358" s="32"/>
      <c r="AK358" s="32"/>
      <c r="AL358" s="32"/>
      <c r="AM358" s="32"/>
      <c r="AN358" s="32"/>
      <c r="AO358" s="32"/>
      <c r="AP358" s="32"/>
      <c r="AQ358" s="32"/>
      <c r="AR358" s="32"/>
      <c r="AS358" s="32"/>
      <c r="AT358" s="32"/>
      <c r="AU358" s="32"/>
      <c r="AV358" s="32"/>
      <c r="AW358" s="32"/>
      <c r="AX358" s="32"/>
      <c r="AY358" s="32"/>
      <c r="AZ358" s="32"/>
      <c r="BA358" s="32"/>
      <c r="BB358" s="32"/>
      <c r="BC358" s="32"/>
      <c r="BD358" s="32"/>
      <c r="BE358" s="32"/>
      <c r="BF358" s="2"/>
      <c r="BG358" s="2"/>
      <c r="BH358" s="2"/>
      <c r="BI358" s="2"/>
      <c r="BJ358" s="2"/>
      <c r="BK358" s="32"/>
      <c r="BL358" s="2"/>
      <c r="BM358" s="32"/>
      <c r="BN358" s="32"/>
      <c r="BO358" s="32"/>
      <c r="BP358" s="2"/>
      <c r="BQ358" s="2"/>
      <c r="BR358" s="2"/>
      <c r="BS358" s="86"/>
      <c r="BT358" s="32"/>
      <c r="BU358" s="33"/>
      <c r="BV358" s="33"/>
      <c r="BW358" s="32"/>
      <c r="BX358" s="32"/>
      <c r="BY358" s="32"/>
      <c r="BZ358" s="32"/>
      <c r="CA358" s="33"/>
      <c r="CB358" s="32"/>
      <c r="CC358" s="32"/>
      <c r="CD358" s="31"/>
      <c r="CE358" s="31"/>
      <c r="CF358" s="48"/>
      <c r="CG358" s="31"/>
      <c r="CH358" s="31"/>
      <c r="CI358" s="32"/>
      <c r="CJ358" s="32"/>
      <c r="CK358" s="32"/>
      <c r="CL358" s="32"/>
      <c r="CM358" s="32"/>
      <c r="CN358" s="32"/>
      <c r="CO358" s="32"/>
      <c r="CP358" s="32"/>
      <c r="CQ358" s="32"/>
      <c r="CR358" s="32"/>
      <c r="CS358" s="32"/>
      <c r="CT358" s="32"/>
      <c r="CU358" s="32"/>
      <c r="CV358" s="32"/>
      <c r="CW358" s="32"/>
      <c r="CX358" s="32"/>
      <c r="CY358" s="32"/>
      <c r="CZ358" s="32"/>
      <c r="DA358" s="32"/>
      <c r="DB358" s="32"/>
    </row>
    <row r="359" spans="1:106" ht="15" hidden="1" customHeight="1">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c r="AA359" s="32"/>
      <c r="AB359" s="32"/>
      <c r="AC359" s="32"/>
      <c r="AD359" s="32"/>
      <c r="AE359" s="32"/>
      <c r="AF359" s="32"/>
      <c r="AG359" s="32"/>
      <c r="AH359" s="32"/>
      <c r="AI359" s="32"/>
      <c r="AJ359" s="32"/>
      <c r="AK359" s="32"/>
      <c r="AL359" s="32"/>
      <c r="AM359" s="32"/>
      <c r="AN359" s="32"/>
      <c r="AO359" s="32"/>
      <c r="AP359" s="32"/>
      <c r="AQ359" s="32"/>
      <c r="AR359" s="32"/>
      <c r="AS359" s="32"/>
      <c r="AT359" s="32"/>
      <c r="AU359" s="32"/>
      <c r="AV359" s="32"/>
      <c r="AW359" s="32"/>
      <c r="AX359" s="32"/>
      <c r="AY359" s="32"/>
      <c r="AZ359" s="32"/>
      <c r="BA359" s="32"/>
      <c r="BB359" s="32"/>
      <c r="BC359" s="32"/>
      <c r="BD359" s="32"/>
      <c r="BE359" s="32"/>
      <c r="BF359" s="2"/>
      <c r="BG359" s="2"/>
      <c r="BH359" s="2"/>
      <c r="BI359" s="2"/>
      <c r="BJ359" s="2"/>
      <c r="BK359" s="32"/>
      <c r="BL359" s="2"/>
      <c r="BM359" s="32"/>
      <c r="BN359" s="32"/>
      <c r="BO359" s="32"/>
      <c r="BP359" s="2"/>
      <c r="BQ359" s="2"/>
      <c r="BR359" s="2"/>
      <c r="BS359" s="86"/>
      <c r="BT359" s="32"/>
      <c r="BU359" s="33"/>
      <c r="BV359" s="33"/>
      <c r="BW359" s="32"/>
      <c r="BX359" s="32"/>
      <c r="BY359" s="32"/>
      <c r="BZ359" s="32"/>
      <c r="CA359" s="33"/>
      <c r="CB359" s="32"/>
      <c r="CC359" s="32"/>
      <c r="CD359" s="31"/>
      <c r="CE359" s="31"/>
      <c r="CF359" s="48"/>
      <c r="CG359" s="31"/>
      <c r="CH359" s="31"/>
      <c r="CI359" s="32"/>
      <c r="CJ359" s="32"/>
      <c r="CK359" s="32"/>
      <c r="CL359" s="32"/>
      <c r="CM359" s="32"/>
      <c r="CN359" s="32"/>
      <c r="CO359" s="32"/>
      <c r="CP359" s="32"/>
      <c r="CQ359" s="32"/>
      <c r="CR359" s="32"/>
      <c r="CS359" s="32"/>
      <c r="CT359" s="32"/>
      <c r="CU359" s="32"/>
      <c r="CV359" s="32"/>
      <c r="CW359" s="32"/>
      <c r="CX359" s="32"/>
      <c r="CY359" s="32"/>
      <c r="CZ359" s="32"/>
      <c r="DA359" s="32"/>
      <c r="DB359" s="32"/>
    </row>
    <row r="360" spans="1:106" ht="15" hidden="1" customHeight="1">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c r="AA360" s="32"/>
      <c r="AB360" s="32"/>
      <c r="AC360" s="32"/>
      <c r="AD360" s="32"/>
      <c r="AE360" s="32"/>
      <c r="AF360" s="32"/>
      <c r="AG360" s="32"/>
      <c r="AH360" s="32"/>
      <c r="AI360" s="32"/>
      <c r="AJ360" s="32"/>
      <c r="AK360" s="32"/>
      <c r="AL360" s="32"/>
      <c r="AM360" s="32"/>
      <c r="AN360" s="32"/>
      <c r="AO360" s="32"/>
      <c r="AP360" s="32"/>
      <c r="AQ360" s="32"/>
      <c r="AR360" s="32"/>
      <c r="AS360" s="32"/>
      <c r="AT360" s="32"/>
      <c r="AU360" s="32"/>
      <c r="AV360" s="32"/>
      <c r="AW360" s="32"/>
      <c r="AX360" s="32"/>
      <c r="AY360" s="32"/>
      <c r="AZ360" s="32"/>
      <c r="BA360" s="32"/>
      <c r="BB360" s="32"/>
      <c r="BC360" s="32"/>
      <c r="BD360" s="32"/>
      <c r="BE360" s="32"/>
      <c r="BF360" s="2"/>
      <c r="BG360" s="2"/>
      <c r="BH360" s="2"/>
      <c r="BI360" s="2"/>
      <c r="BJ360" s="2"/>
      <c r="BK360" s="32"/>
      <c r="BL360" s="2"/>
      <c r="BM360" s="32"/>
      <c r="BN360" s="32"/>
      <c r="BO360" s="32"/>
      <c r="BP360" s="2"/>
      <c r="BQ360" s="2"/>
      <c r="BR360" s="2"/>
      <c r="BS360" s="86"/>
      <c r="BT360" s="32"/>
      <c r="BU360" s="33"/>
      <c r="BV360" s="33"/>
      <c r="BW360" s="32"/>
      <c r="BX360" s="32"/>
      <c r="BY360" s="32"/>
      <c r="BZ360" s="32"/>
      <c r="CA360" s="33"/>
      <c r="CB360" s="32"/>
      <c r="CC360" s="32"/>
      <c r="CD360" s="31"/>
      <c r="CE360" s="31"/>
      <c r="CF360" s="48"/>
      <c r="CG360" s="31"/>
      <c r="CH360" s="31"/>
      <c r="CI360" s="32"/>
      <c r="CJ360" s="32"/>
      <c r="CK360" s="32"/>
      <c r="CL360" s="32"/>
      <c r="CM360" s="32"/>
      <c r="CN360" s="32"/>
      <c r="CO360" s="32"/>
      <c r="CP360" s="32"/>
      <c r="CQ360" s="32"/>
      <c r="CR360" s="32"/>
      <c r="CS360" s="32"/>
      <c r="CT360" s="32"/>
      <c r="CU360" s="32"/>
      <c r="CV360" s="32"/>
      <c r="CW360" s="32"/>
      <c r="CX360" s="32"/>
      <c r="CY360" s="32"/>
      <c r="CZ360" s="32"/>
      <c r="DA360" s="32"/>
      <c r="DB360" s="32"/>
    </row>
    <row r="361" spans="1:106" ht="15" hidden="1" customHeight="1">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c r="AA361" s="32"/>
      <c r="AB361" s="32"/>
      <c r="AC361" s="32"/>
      <c r="AD361" s="32"/>
      <c r="AE361" s="32"/>
      <c r="AF361" s="32"/>
      <c r="AG361" s="32"/>
      <c r="AH361" s="32"/>
      <c r="AI361" s="32"/>
      <c r="AJ361" s="32"/>
      <c r="AK361" s="32"/>
      <c r="AL361" s="32"/>
      <c r="AM361" s="32"/>
      <c r="AN361" s="32"/>
      <c r="AO361" s="32"/>
      <c r="AP361" s="32"/>
      <c r="AQ361" s="32"/>
      <c r="AR361" s="32"/>
      <c r="AS361" s="32"/>
      <c r="AT361" s="32"/>
      <c r="AU361" s="32"/>
      <c r="AV361" s="32"/>
      <c r="AW361" s="32"/>
      <c r="AX361" s="32"/>
      <c r="AY361" s="32"/>
      <c r="AZ361" s="32"/>
      <c r="BA361" s="32"/>
      <c r="BB361" s="32"/>
      <c r="BC361" s="32"/>
      <c r="BD361" s="32"/>
      <c r="BE361" s="32"/>
      <c r="BF361" s="2"/>
      <c r="BG361" s="2"/>
      <c r="BH361" s="2"/>
      <c r="BI361" s="2"/>
      <c r="BJ361" s="2"/>
      <c r="BK361" s="32"/>
      <c r="BL361" s="2"/>
      <c r="BM361" s="32"/>
      <c r="BN361" s="32"/>
      <c r="BO361" s="32"/>
      <c r="BP361" s="2"/>
      <c r="BQ361" s="2"/>
      <c r="BR361" s="2"/>
      <c r="BS361" s="86"/>
      <c r="BT361" s="32"/>
      <c r="BU361" s="33"/>
      <c r="BV361" s="33"/>
      <c r="BW361" s="32"/>
      <c r="BX361" s="32"/>
      <c r="BY361" s="32"/>
      <c r="BZ361" s="32"/>
      <c r="CA361" s="33"/>
      <c r="CB361" s="32"/>
      <c r="CC361" s="32"/>
      <c r="CD361" s="31"/>
      <c r="CE361" s="31"/>
      <c r="CF361" s="48"/>
      <c r="CG361" s="31"/>
      <c r="CH361" s="31"/>
      <c r="CI361" s="32"/>
      <c r="CJ361" s="32"/>
      <c r="CK361" s="32"/>
      <c r="CL361" s="32"/>
      <c r="CM361" s="32"/>
      <c r="CN361" s="32"/>
      <c r="CO361" s="32"/>
      <c r="CP361" s="32"/>
      <c r="CQ361" s="32"/>
      <c r="CR361" s="32"/>
      <c r="CS361" s="32"/>
      <c r="CT361" s="32"/>
      <c r="CU361" s="32"/>
      <c r="CV361" s="32"/>
      <c r="CW361" s="32"/>
      <c r="CX361" s="32"/>
      <c r="CY361" s="32"/>
      <c r="CZ361" s="32"/>
      <c r="DA361" s="32"/>
      <c r="DB361" s="32"/>
    </row>
    <row r="362" spans="1:106" ht="15" hidden="1" customHeight="1">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c r="AF362" s="32"/>
      <c r="AG362" s="32"/>
      <c r="AH362" s="32"/>
      <c r="AI362" s="32"/>
      <c r="AJ362" s="32"/>
      <c r="AK362" s="32"/>
      <c r="AL362" s="32"/>
      <c r="AM362" s="32"/>
      <c r="AN362" s="32"/>
      <c r="AO362" s="32"/>
      <c r="AP362" s="32"/>
      <c r="AQ362" s="32"/>
      <c r="AR362" s="32"/>
      <c r="AS362" s="32"/>
      <c r="AT362" s="32"/>
      <c r="AU362" s="32"/>
      <c r="AV362" s="32"/>
      <c r="AW362" s="32"/>
      <c r="AX362" s="32"/>
      <c r="AY362" s="32"/>
      <c r="AZ362" s="32"/>
      <c r="BA362" s="32"/>
      <c r="BB362" s="32"/>
      <c r="BC362" s="32"/>
      <c r="BD362" s="32"/>
      <c r="BE362" s="32"/>
      <c r="BF362" s="2"/>
      <c r="BG362" s="2"/>
      <c r="BH362" s="2"/>
      <c r="BI362" s="2"/>
      <c r="BJ362" s="2"/>
      <c r="BK362" s="32"/>
      <c r="BL362" s="2"/>
      <c r="BM362" s="32"/>
      <c r="BN362" s="32"/>
      <c r="BO362" s="32"/>
      <c r="BP362" s="2"/>
      <c r="BQ362" s="2"/>
      <c r="BR362" s="2"/>
      <c r="BS362" s="86"/>
      <c r="BT362" s="32"/>
      <c r="BU362" s="33"/>
      <c r="BV362" s="33"/>
      <c r="BW362" s="32"/>
      <c r="BX362" s="32"/>
      <c r="BY362" s="32"/>
      <c r="BZ362" s="32"/>
      <c r="CA362" s="33"/>
      <c r="CB362" s="32"/>
      <c r="CC362" s="32"/>
      <c r="CD362" s="31"/>
      <c r="CE362" s="31"/>
      <c r="CF362" s="48"/>
      <c r="CG362" s="31"/>
      <c r="CH362" s="31"/>
      <c r="CI362" s="32"/>
      <c r="CJ362" s="32"/>
      <c r="CK362" s="32"/>
      <c r="CL362" s="32"/>
      <c r="CM362" s="32"/>
      <c r="CN362" s="32"/>
      <c r="CO362" s="32"/>
      <c r="CP362" s="32"/>
      <c r="CQ362" s="32"/>
      <c r="CR362" s="32"/>
      <c r="CS362" s="32"/>
      <c r="CT362" s="32"/>
      <c r="CU362" s="32"/>
      <c r="CV362" s="32"/>
      <c r="CW362" s="32"/>
      <c r="CX362" s="32"/>
      <c r="CY362" s="32"/>
      <c r="CZ362" s="32"/>
      <c r="DA362" s="32"/>
      <c r="DB362" s="32"/>
    </row>
    <row r="363" spans="1:106" ht="15" hidden="1" customHeight="1">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c r="AA363" s="32"/>
      <c r="AB363" s="32"/>
      <c r="AC363" s="32"/>
      <c r="AD363" s="32"/>
      <c r="AE363" s="32"/>
      <c r="AF363" s="32"/>
      <c r="AG363" s="32"/>
      <c r="AH363" s="32"/>
      <c r="AI363" s="32"/>
      <c r="AJ363" s="32"/>
      <c r="AK363" s="32"/>
      <c r="AL363" s="32"/>
      <c r="AM363" s="32"/>
      <c r="AN363" s="32"/>
      <c r="AO363" s="32"/>
      <c r="AP363" s="32"/>
      <c r="AQ363" s="32"/>
      <c r="AR363" s="32"/>
      <c r="AS363" s="32"/>
      <c r="AT363" s="32"/>
      <c r="AU363" s="32"/>
      <c r="AV363" s="32"/>
      <c r="AW363" s="32"/>
      <c r="AX363" s="32"/>
      <c r="AY363" s="32"/>
      <c r="AZ363" s="32"/>
      <c r="BA363" s="32"/>
      <c r="BB363" s="32"/>
      <c r="BC363" s="32"/>
      <c r="BD363" s="32"/>
      <c r="BE363" s="32"/>
      <c r="BF363" s="2"/>
      <c r="BG363" s="2"/>
      <c r="BH363" s="2"/>
      <c r="BI363" s="2"/>
      <c r="BJ363" s="2"/>
      <c r="BK363" s="32"/>
      <c r="BL363" s="2"/>
      <c r="BM363" s="32"/>
      <c r="BN363" s="32"/>
      <c r="BO363" s="32"/>
      <c r="BP363" s="2"/>
      <c r="BQ363" s="2"/>
      <c r="BR363" s="2"/>
      <c r="BS363" s="86"/>
      <c r="BT363" s="32"/>
      <c r="BU363" s="33"/>
      <c r="BV363" s="33"/>
      <c r="BW363" s="32"/>
      <c r="BX363" s="32"/>
      <c r="BY363" s="32"/>
      <c r="BZ363" s="32"/>
      <c r="CA363" s="33"/>
      <c r="CB363" s="32"/>
      <c r="CC363" s="32"/>
      <c r="CD363" s="31"/>
      <c r="CE363" s="31"/>
      <c r="CF363" s="48"/>
      <c r="CG363" s="31"/>
      <c r="CH363" s="31"/>
      <c r="CI363" s="32"/>
      <c r="CJ363" s="32"/>
      <c r="CK363" s="32"/>
      <c r="CL363" s="32"/>
      <c r="CM363" s="32"/>
      <c r="CN363" s="32"/>
      <c r="CO363" s="32"/>
      <c r="CP363" s="32"/>
      <c r="CQ363" s="32"/>
      <c r="CR363" s="32"/>
      <c r="CS363" s="32"/>
      <c r="CT363" s="32"/>
      <c r="CU363" s="32"/>
      <c r="CV363" s="32"/>
      <c r="CW363" s="32"/>
      <c r="CX363" s="32"/>
      <c r="CY363" s="32"/>
      <c r="CZ363" s="32"/>
      <c r="DA363" s="32"/>
      <c r="DB363" s="32"/>
    </row>
    <row r="364" spans="1:106" ht="15" hidden="1" customHeight="1">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c r="AE364" s="32"/>
      <c r="AF364" s="32"/>
      <c r="AG364" s="32"/>
      <c r="AH364" s="32"/>
      <c r="AI364" s="32"/>
      <c r="AJ364" s="32"/>
      <c r="AK364" s="32"/>
      <c r="AL364" s="32"/>
      <c r="AM364" s="32"/>
      <c r="AN364" s="32"/>
      <c r="AO364" s="32"/>
      <c r="AP364" s="32"/>
      <c r="AQ364" s="32"/>
      <c r="AR364" s="32"/>
      <c r="AS364" s="32"/>
      <c r="AT364" s="32"/>
      <c r="AU364" s="32"/>
      <c r="AV364" s="32"/>
      <c r="AW364" s="32"/>
      <c r="AX364" s="32"/>
      <c r="AY364" s="32"/>
      <c r="AZ364" s="32"/>
      <c r="BA364" s="32"/>
      <c r="BB364" s="32"/>
      <c r="BC364" s="32"/>
      <c r="BD364" s="32"/>
      <c r="BE364" s="32"/>
      <c r="BF364" s="2"/>
      <c r="BG364" s="2"/>
      <c r="BH364" s="2"/>
      <c r="BI364" s="2"/>
      <c r="BJ364" s="2"/>
      <c r="BK364" s="32"/>
      <c r="BL364" s="2"/>
      <c r="BM364" s="32"/>
      <c r="BN364" s="32"/>
      <c r="BO364" s="32"/>
      <c r="BP364" s="2"/>
      <c r="BQ364" s="2"/>
      <c r="BR364" s="2"/>
      <c r="BS364" s="86"/>
      <c r="BT364" s="32"/>
      <c r="BU364" s="33"/>
      <c r="BV364" s="33"/>
      <c r="BW364" s="32"/>
      <c r="BX364" s="32"/>
      <c r="BY364" s="32"/>
      <c r="BZ364" s="32"/>
      <c r="CA364" s="33"/>
      <c r="CB364" s="32"/>
      <c r="CC364" s="32"/>
      <c r="CD364" s="31"/>
      <c r="CE364" s="31"/>
      <c r="CF364" s="48"/>
      <c r="CG364" s="31"/>
      <c r="CH364" s="31"/>
      <c r="CI364" s="32"/>
      <c r="CJ364" s="32"/>
      <c r="CK364" s="32"/>
      <c r="CL364" s="32"/>
      <c r="CM364" s="32"/>
      <c r="CN364" s="32"/>
      <c r="CO364" s="32"/>
      <c r="CP364" s="32"/>
      <c r="CQ364" s="32"/>
      <c r="CR364" s="32"/>
      <c r="CS364" s="32"/>
      <c r="CT364" s="32"/>
      <c r="CU364" s="32"/>
      <c r="CV364" s="32"/>
      <c r="CW364" s="32"/>
      <c r="CX364" s="32"/>
      <c r="CY364" s="32"/>
      <c r="CZ364" s="32"/>
      <c r="DA364" s="32"/>
      <c r="DB364" s="32"/>
    </row>
    <row r="365" spans="1:106" ht="15" hidden="1" customHeight="1">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c r="AA365" s="32"/>
      <c r="AB365" s="32"/>
      <c r="AC365" s="32"/>
      <c r="AD365" s="32"/>
      <c r="AE365" s="32"/>
      <c r="AF365" s="32"/>
      <c r="AG365" s="32"/>
      <c r="AH365" s="32"/>
      <c r="AI365" s="32"/>
      <c r="AJ365" s="32"/>
      <c r="AK365" s="32"/>
      <c r="AL365" s="32"/>
      <c r="AM365" s="32"/>
      <c r="AN365" s="32"/>
      <c r="AO365" s="32"/>
      <c r="AP365" s="32"/>
      <c r="AQ365" s="32"/>
      <c r="AR365" s="32"/>
      <c r="AS365" s="32"/>
      <c r="AT365" s="32"/>
      <c r="AU365" s="32"/>
      <c r="AV365" s="32"/>
      <c r="AW365" s="32"/>
      <c r="AX365" s="32"/>
      <c r="AY365" s="32"/>
      <c r="AZ365" s="32"/>
      <c r="BA365" s="32"/>
      <c r="BB365" s="32"/>
      <c r="BC365" s="32"/>
      <c r="BD365" s="32"/>
      <c r="BE365" s="32"/>
      <c r="BF365" s="2"/>
      <c r="BG365" s="2"/>
      <c r="BH365" s="2"/>
      <c r="BI365" s="2"/>
      <c r="BJ365" s="2"/>
      <c r="BK365" s="32"/>
      <c r="BL365" s="2"/>
      <c r="BM365" s="32"/>
      <c r="BN365" s="32"/>
      <c r="BO365" s="32"/>
      <c r="BP365" s="2"/>
      <c r="BQ365" s="2"/>
      <c r="BR365" s="2"/>
      <c r="BS365" s="86"/>
      <c r="BT365" s="32"/>
      <c r="BU365" s="33"/>
      <c r="BV365" s="33"/>
      <c r="BW365" s="32"/>
      <c r="BX365" s="32"/>
      <c r="BY365" s="32"/>
      <c r="BZ365" s="99"/>
      <c r="CA365" s="31"/>
      <c r="CB365" s="31"/>
      <c r="CC365" s="31"/>
      <c r="CD365" s="31"/>
      <c r="CE365" s="31"/>
      <c r="CF365" s="48"/>
      <c r="CG365" s="31"/>
      <c r="CH365" s="31"/>
      <c r="CI365" s="32"/>
      <c r="CJ365" s="32"/>
      <c r="CK365" s="32"/>
      <c r="CL365" s="32"/>
      <c r="CM365" s="32"/>
      <c r="CN365" s="32"/>
      <c r="CO365" s="32"/>
      <c r="CP365" s="32"/>
      <c r="CQ365" s="32"/>
      <c r="CR365" s="32"/>
      <c r="CS365" s="32"/>
      <c r="CT365" s="32"/>
      <c r="CU365" s="32"/>
      <c r="CV365" s="32"/>
      <c r="CW365" s="32"/>
      <c r="CX365" s="32"/>
      <c r="CY365" s="32"/>
      <c r="CZ365" s="32"/>
      <c r="DA365" s="32"/>
      <c r="DB365" s="32"/>
    </row>
    <row r="366" spans="1:106" ht="15" hidden="1" customHeight="1">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c r="AF366" s="32"/>
      <c r="AG366" s="32"/>
      <c r="AH366" s="32"/>
      <c r="AI366" s="32"/>
      <c r="AJ366" s="32"/>
      <c r="AK366" s="32"/>
      <c r="AL366" s="32"/>
      <c r="AM366" s="32"/>
      <c r="AN366" s="32"/>
      <c r="AO366" s="32"/>
      <c r="AP366" s="32"/>
      <c r="AQ366" s="32"/>
      <c r="AR366" s="32"/>
      <c r="AS366" s="32"/>
      <c r="AT366" s="32"/>
      <c r="AU366" s="32"/>
      <c r="AV366" s="32"/>
      <c r="AW366" s="32"/>
      <c r="AX366" s="32"/>
      <c r="AY366" s="32"/>
      <c r="AZ366" s="32"/>
      <c r="BA366" s="32"/>
      <c r="BB366" s="32"/>
      <c r="BC366" s="32"/>
      <c r="BD366" s="32"/>
      <c r="BE366" s="32"/>
      <c r="BF366" s="2"/>
      <c r="BG366" s="2"/>
      <c r="BH366" s="2"/>
      <c r="BI366" s="2"/>
      <c r="BJ366" s="2"/>
      <c r="BK366" s="32"/>
      <c r="BL366" s="2"/>
      <c r="BM366" s="32"/>
      <c r="BN366" s="32"/>
      <c r="BO366" s="32"/>
      <c r="BP366" s="2"/>
      <c r="BQ366" s="2"/>
      <c r="BR366" s="2"/>
      <c r="BS366" s="86"/>
      <c r="BT366" s="32"/>
      <c r="BU366" s="33"/>
      <c r="BV366" s="33"/>
      <c r="BW366" s="32"/>
      <c r="BX366" s="32"/>
      <c r="BY366" s="32"/>
      <c r="BZ366" s="32"/>
      <c r="CA366" s="33"/>
      <c r="CB366" s="32"/>
      <c r="CC366" s="32"/>
      <c r="CD366" s="31"/>
      <c r="CE366" s="31"/>
      <c r="CF366" s="48"/>
      <c r="CG366" s="31"/>
      <c r="CH366" s="31"/>
      <c r="CI366" s="32"/>
      <c r="CJ366" s="32"/>
      <c r="CK366" s="32"/>
      <c r="CL366" s="32"/>
      <c r="CM366" s="32"/>
      <c r="CN366" s="32"/>
      <c r="CO366" s="32"/>
      <c r="CP366" s="32"/>
      <c r="CQ366" s="32"/>
      <c r="CR366" s="32"/>
      <c r="CS366" s="32"/>
      <c r="CT366" s="32"/>
      <c r="CU366" s="32"/>
      <c r="CV366" s="32"/>
      <c r="CW366" s="32"/>
      <c r="CX366" s="32"/>
      <c r="CY366" s="32"/>
      <c r="CZ366" s="32"/>
      <c r="DA366" s="32"/>
      <c r="DB366" s="32"/>
    </row>
    <row r="367" spans="1:106" ht="15" hidden="1" customHeight="1">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c r="AA367" s="32"/>
      <c r="AB367" s="32"/>
      <c r="AC367" s="32"/>
      <c r="AD367" s="32"/>
      <c r="AE367" s="32"/>
      <c r="AF367" s="32"/>
      <c r="AG367" s="32"/>
      <c r="AH367" s="32"/>
      <c r="AI367" s="32"/>
      <c r="AJ367" s="32"/>
      <c r="AK367" s="32"/>
      <c r="AL367" s="32"/>
      <c r="AM367" s="32"/>
      <c r="AN367" s="32"/>
      <c r="AO367" s="32"/>
      <c r="AP367" s="32"/>
      <c r="AQ367" s="32"/>
      <c r="AR367" s="32"/>
      <c r="AS367" s="32"/>
      <c r="AT367" s="32"/>
      <c r="AU367" s="32"/>
      <c r="AV367" s="32"/>
      <c r="AW367" s="32"/>
      <c r="AX367" s="32"/>
      <c r="AY367" s="32"/>
      <c r="AZ367" s="32"/>
      <c r="BA367" s="32"/>
      <c r="BB367" s="32"/>
      <c r="BC367" s="32"/>
      <c r="BD367" s="32"/>
      <c r="BE367" s="32"/>
      <c r="BF367" s="2"/>
      <c r="BG367" s="2"/>
      <c r="BH367" s="2"/>
      <c r="BI367" s="2"/>
      <c r="BJ367" s="2"/>
      <c r="BK367" s="32"/>
      <c r="BL367" s="2"/>
      <c r="BM367" s="32"/>
      <c r="BN367" s="32"/>
      <c r="BO367" s="32"/>
      <c r="BP367" s="2"/>
      <c r="BQ367" s="2"/>
      <c r="BR367" s="2"/>
      <c r="BS367" s="86"/>
      <c r="BT367" s="32"/>
      <c r="BU367" s="33"/>
      <c r="BV367" s="33"/>
      <c r="BW367" s="32"/>
      <c r="BX367" s="32"/>
      <c r="BY367" s="32"/>
      <c r="BZ367" s="32"/>
      <c r="CA367" s="33"/>
      <c r="CB367" s="32"/>
      <c r="CC367" s="32"/>
      <c r="CD367" s="31"/>
      <c r="CE367" s="31"/>
      <c r="CF367" s="48"/>
      <c r="CG367" s="31"/>
      <c r="CH367" s="31"/>
      <c r="CI367" s="32"/>
      <c r="CJ367" s="32"/>
      <c r="CK367" s="32"/>
      <c r="CL367" s="32"/>
      <c r="CM367" s="32"/>
      <c r="CN367" s="32"/>
      <c r="CO367" s="32"/>
      <c r="CP367" s="32"/>
      <c r="CQ367" s="32"/>
      <c r="CR367" s="32"/>
      <c r="CS367" s="32"/>
      <c r="CT367" s="32"/>
      <c r="CU367" s="32"/>
      <c r="CV367" s="32"/>
      <c r="CW367" s="32"/>
      <c r="CX367" s="32"/>
      <c r="CY367" s="32"/>
      <c r="CZ367" s="32"/>
      <c r="DA367" s="32"/>
      <c r="DB367" s="32"/>
    </row>
    <row r="368" spans="1:106" ht="15" hidden="1" customHeight="1">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c r="AA368" s="32"/>
      <c r="AB368" s="32"/>
      <c r="AC368" s="32"/>
      <c r="AD368" s="32"/>
      <c r="AE368" s="32"/>
      <c r="AF368" s="32"/>
      <c r="AG368" s="32"/>
      <c r="AH368" s="32"/>
      <c r="AI368" s="32"/>
      <c r="AJ368" s="32"/>
      <c r="AK368" s="32"/>
      <c r="AL368" s="32"/>
      <c r="AM368" s="32"/>
      <c r="AN368" s="32"/>
      <c r="AO368" s="32"/>
      <c r="AP368" s="32"/>
      <c r="AQ368" s="32"/>
      <c r="AR368" s="32"/>
      <c r="AS368" s="32"/>
      <c r="AT368" s="32"/>
      <c r="AU368" s="32"/>
      <c r="AV368" s="32"/>
      <c r="AW368" s="32"/>
      <c r="AX368" s="32"/>
      <c r="AY368" s="32"/>
      <c r="AZ368" s="32"/>
      <c r="BA368" s="32"/>
      <c r="BB368" s="32"/>
      <c r="BC368" s="32"/>
      <c r="BD368" s="32"/>
      <c r="BE368" s="32"/>
      <c r="BF368" s="2"/>
      <c r="BG368" s="2"/>
      <c r="BH368" s="2"/>
      <c r="BI368" s="2"/>
      <c r="BJ368" s="2"/>
      <c r="BK368" s="32"/>
      <c r="BL368" s="2"/>
      <c r="BM368" s="32"/>
      <c r="BN368" s="32"/>
      <c r="BO368" s="32"/>
      <c r="BP368" s="2"/>
      <c r="BQ368" s="2"/>
      <c r="BR368" s="2"/>
      <c r="BS368" s="86"/>
      <c r="BT368" s="32"/>
      <c r="BU368" s="33"/>
      <c r="BV368" s="33"/>
      <c r="BW368" s="32"/>
      <c r="BX368" s="32"/>
      <c r="BY368" s="32"/>
      <c r="BZ368" s="32"/>
      <c r="CA368" s="33"/>
      <c r="CB368" s="32"/>
      <c r="CC368" s="32"/>
      <c r="CD368" s="31"/>
      <c r="CE368" s="31"/>
      <c r="CF368" s="48"/>
      <c r="CG368" s="31"/>
      <c r="CH368" s="31"/>
      <c r="CI368" s="32"/>
      <c r="CJ368" s="32"/>
      <c r="CK368" s="32"/>
      <c r="CL368" s="32"/>
      <c r="CM368" s="32"/>
      <c r="CN368" s="32"/>
      <c r="CO368" s="32"/>
      <c r="CP368" s="32"/>
      <c r="CQ368" s="32"/>
      <c r="CR368" s="32"/>
      <c r="CS368" s="32"/>
      <c r="CT368" s="32"/>
      <c r="CU368" s="32"/>
      <c r="CV368" s="32"/>
      <c r="CW368" s="32"/>
      <c r="CX368" s="32"/>
      <c r="CY368" s="32"/>
      <c r="CZ368" s="32"/>
      <c r="DA368" s="32"/>
      <c r="DB368" s="32"/>
    </row>
    <row r="369" spans="1:106" ht="15" hidden="1" customHeight="1">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c r="AE369" s="32"/>
      <c r="AF369" s="32"/>
      <c r="AG369" s="32"/>
      <c r="AH369" s="32"/>
      <c r="AI369" s="32"/>
      <c r="AJ369" s="32"/>
      <c r="AK369" s="32"/>
      <c r="AL369" s="32"/>
      <c r="AM369" s="32"/>
      <c r="AN369" s="32"/>
      <c r="AO369" s="32"/>
      <c r="AP369" s="32"/>
      <c r="AQ369" s="32"/>
      <c r="AR369" s="32"/>
      <c r="AS369" s="32"/>
      <c r="AT369" s="32"/>
      <c r="AU369" s="32"/>
      <c r="AV369" s="32"/>
      <c r="AW369" s="32"/>
      <c r="AX369" s="32"/>
      <c r="AY369" s="32"/>
      <c r="AZ369" s="32"/>
      <c r="BA369" s="32"/>
      <c r="BB369" s="32"/>
      <c r="BC369" s="32"/>
      <c r="BD369" s="32"/>
      <c r="BE369" s="32"/>
      <c r="BF369" s="2"/>
      <c r="BG369" s="2"/>
      <c r="BH369" s="2"/>
      <c r="BI369" s="2"/>
      <c r="BJ369" s="2"/>
      <c r="BK369" s="32"/>
      <c r="BL369" s="2"/>
      <c r="BM369" s="32"/>
      <c r="BN369" s="32"/>
      <c r="BO369" s="32"/>
      <c r="BP369" s="2"/>
      <c r="BQ369" s="2"/>
      <c r="BR369" s="2"/>
      <c r="BS369" s="86"/>
      <c r="BT369" s="32"/>
      <c r="BU369" s="33"/>
      <c r="BV369" s="33"/>
      <c r="BW369" s="32"/>
      <c r="BX369" s="32"/>
      <c r="BY369" s="32"/>
      <c r="BZ369" s="32"/>
      <c r="CA369" s="33"/>
      <c r="CB369" s="32"/>
      <c r="CC369" s="32"/>
      <c r="CD369" s="31"/>
      <c r="CE369" s="31"/>
      <c r="CF369" s="48"/>
      <c r="CG369" s="31"/>
      <c r="CH369" s="31"/>
      <c r="CI369" s="32"/>
      <c r="CJ369" s="32"/>
      <c r="CK369" s="32"/>
      <c r="CL369" s="32"/>
      <c r="CM369" s="32"/>
      <c r="CN369" s="32"/>
      <c r="CO369" s="32"/>
      <c r="CP369" s="32"/>
      <c r="CQ369" s="32"/>
      <c r="CR369" s="32"/>
      <c r="CS369" s="32"/>
      <c r="CT369" s="32"/>
      <c r="CU369" s="32"/>
      <c r="CV369" s="32"/>
      <c r="CW369" s="32"/>
      <c r="CX369" s="32"/>
      <c r="CY369" s="32"/>
      <c r="CZ369" s="32"/>
      <c r="DA369" s="32"/>
      <c r="DB369" s="32"/>
    </row>
  </sheetData>
  <mergeCells count="475">
    <mergeCell ref="AG40:AH40"/>
    <mergeCell ref="AA37:AB37"/>
    <mergeCell ref="AC37:AD37"/>
    <mergeCell ref="AE37:AF37"/>
    <mergeCell ref="AG37:AH37"/>
    <mergeCell ref="AG38:AH38"/>
    <mergeCell ref="W43:X43"/>
    <mergeCell ref="U42:V42"/>
    <mergeCell ref="W42:X42"/>
    <mergeCell ref="AE43:AF43"/>
    <mergeCell ref="AG43:AH43"/>
    <mergeCell ref="AE42:AF42"/>
    <mergeCell ref="AG42:AH42"/>
    <mergeCell ref="AC41:AD41"/>
    <mergeCell ref="AE41:AF41"/>
    <mergeCell ref="AG41:AH41"/>
    <mergeCell ref="W41:X41"/>
    <mergeCell ref="W37:X37"/>
    <mergeCell ref="Y37:Z37"/>
    <mergeCell ref="O44:P44"/>
    <mergeCell ref="Q44:R44"/>
    <mergeCell ref="S44:T44"/>
    <mergeCell ref="U44:V44"/>
    <mergeCell ref="AA40:AB40"/>
    <mergeCell ref="AC40:AD40"/>
    <mergeCell ref="Y46:Z46"/>
    <mergeCell ref="AA46:AB46"/>
    <mergeCell ref="AC46:AD46"/>
    <mergeCell ref="Y43:Z43"/>
    <mergeCell ref="AA43:AB43"/>
    <mergeCell ref="AC43:AD43"/>
    <mergeCell ref="O43:P43"/>
    <mergeCell ref="Q43:R43"/>
    <mergeCell ref="S43:T43"/>
    <mergeCell ref="U43:V43"/>
    <mergeCell ref="Y42:Z42"/>
    <mergeCell ref="AA42:AB42"/>
    <mergeCell ref="AC42:AD42"/>
    <mergeCell ref="O42:P42"/>
    <mergeCell ref="Q42:R42"/>
    <mergeCell ref="S42:T42"/>
    <mergeCell ref="Y41:Z41"/>
    <mergeCell ref="AA41:AB41"/>
    <mergeCell ref="AE46:AF46"/>
    <mergeCell ref="AG46:AH46"/>
    <mergeCell ref="O47:P47"/>
    <mergeCell ref="Q47:R47"/>
    <mergeCell ref="S47:T47"/>
    <mergeCell ref="U47:V47"/>
    <mergeCell ref="W47:X47"/>
    <mergeCell ref="Y47:Z47"/>
    <mergeCell ref="AA47:AB47"/>
    <mergeCell ref="AC47:AD47"/>
    <mergeCell ref="AE47:AF47"/>
    <mergeCell ref="AG47:AH47"/>
    <mergeCell ref="O46:P46"/>
    <mergeCell ref="Q46:R46"/>
    <mergeCell ref="S46:T46"/>
    <mergeCell ref="U46:V46"/>
    <mergeCell ref="W46:X46"/>
    <mergeCell ref="AG49:AH49"/>
    <mergeCell ref="O48:P48"/>
    <mergeCell ref="Q48:R48"/>
    <mergeCell ref="S48:T48"/>
    <mergeCell ref="U48:V48"/>
    <mergeCell ref="W48:X48"/>
    <mergeCell ref="Y48:Z48"/>
    <mergeCell ref="AA48:AB48"/>
    <mergeCell ref="AC48:AD48"/>
    <mergeCell ref="AE48:AF48"/>
    <mergeCell ref="AC49:AD49"/>
    <mergeCell ref="Q50:R50"/>
    <mergeCell ref="AG39:AH39"/>
    <mergeCell ref="O40:P40"/>
    <mergeCell ref="Q40:R40"/>
    <mergeCell ref="S40:T40"/>
    <mergeCell ref="U40:V40"/>
    <mergeCell ref="W40:X40"/>
    <mergeCell ref="Y40:Z40"/>
    <mergeCell ref="AC45:AD45"/>
    <mergeCell ref="AE45:AF45"/>
    <mergeCell ref="AG45:AH45"/>
    <mergeCell ref="W44:X44"/>
    <mergeCell ref="Y44:Z44"/>
    <mergeCell ref="AA44:AB44"/>
    <mergeCell ref="AC44:AD44"/>
    <mergeCell ref="AE44:AF44"/>
    <mergeCell ref="AG44:AH44"/>
    <mergeCell ref="AG48:AH48"/>
    <mergeCell ref="O49:P49"/>
    <mergeCell ref="Q49:R49"/>
    <mergeCell ref="S49:T49"/>
    <mergeCell ref="U49:V49"/>
    <mergeCell ref="W49:X49"/>
    <mergeCell ref="AE49:AF49"/>
    <mergeCell ref="AC51:AD51"/>
    <mergeCell ref="AE51:AF51"/>
    <mergeCell ref="AG51:AH51"/>
    <mergeCell ref="O1:Y1"/>
    <mergeCell ref="AN1:AO1"/>
    <mergeCell ref="AP1:AP52"/>
    <mergeCell ref="AX1:BF1"/>
    <mergeCell ref="AN3:AO3"/>
    <mergeCell ref="AN4:AO4"/>
    <mergeCell ref="AM31:AO31"/>
    <mergeCell ref="S50:T50"/>
    <mergeCell ref="U50:V50"/>
    <mergeCell ref="W50:X50"/>
    <mergeCell ref="Y50:Z50"/>
    <mergeCell ref="AA50:AB50"/>
    <mergeCell ref="AC50:AD50"/>
    <mergeCell ref="AE50:AF50"/>
    <mergeCell ref="AG50:AH50"/>
    <mergeCell ref="O51:P51"/>
    <mergeCell ref="Q51:R51"/>
    <mergeCell ref="S51:T51"/>
    <mergeCell ref="U51:V51"/>
    <mergeCell ref="W51:X51"/>
    <mergeCell ref="O50:P50"/>
    <mergeCell ref="AK27:AL27"/>
    <mergeCell ref="J24:Q24"/>
    <mergeCell ref="R24:V24"/>
    <mergeCell ref="Y24:Z24"/>
    <mergeCell ref="AB24:AC24"/>
    <mergeCell ref="AD24:AH24"/>
    <mergeCell ref="AK24:AL24"/>
    <mergeCell ref="AN24:AO24"/>
    <mergeCell ref="AN25:AO25"/>
    <mergeCell ref="AN26:AO26"/>
    <mergeCell ref="J26:M26"/>
    <mergeCell ref="N26:Q26"/>
    <mergeCell ref="R26:V26"/>
    <mergeCell ref="Y26:Z26"/>
    <mergeCell ref="AB26:AC26"/>
    <mergeCell ref="AD26:AH26"/>
    <mergeCell ref="AK26:AL26"/>
    <mergeCell ref="J25:Q25"/>
    <mergeCell ref="R25:V25"/>
    <mergeCell ref="W31:AI31"/>
    <mergeCell ref="AJ31:AL31"/>
    <mergeCell ref="AN27:AO27"/>
    <mergeCell ref="AN28:AO28"/>
    <mergeCell ref="J29:M29"/>
    <mergeCell ref="N29:Q29"/>
    <mergeCell ref="R29:V29"/>
    <mergeCell ref="Y29:Z29"/>
    <mergeCell ref="AB29:AC29"/>
    <mergeCell ref="AD29:AH29"/>
    <mergeCell ref="AK29:AL29"/>
    <mergeCell ref="AN29:AO29"/>
    <mergeCell ref="J28:M28"/>
    <mergeCell ref="N28:Q28"/>
    <mergeCell ref="R28:V28"/>
    <mergeCell ref="Y28:Z28"/>
    <mergeCell ref="AB28:AC28"/>
    <mergeCell ref="AD28:AH28"/>
    <mergeCell ref="AK28:AL28"/>
    <mergeCell ref="J27:M27"/>
    <mergeCell ref="R27:V27"/>
    <mergeCell ref="Y27:Z27"/>
    <mergeCell ref="AB27:AC27"/>
    <mergeCell ref="AD27:AH27"/>
    <mergeCell ref="Q34:R35"/>
    <mergeCell ref="S34:T35"/>
    <mergeCell ref="U34:V35"/>
    <mergeCell ref="K34:L35"/>
    <mergeCell ref="K36:L36"/>
    <mergeCell ref="M36:N36"/>
    <mergeCell ref="AD30:AH30"/>
    <mergeCell ref="AI34:AI35"/>
    <mergeCell ref="AJ34:AO34"/>
    <mergeCell ref="O36:P36"/>
    <mergeCell ref="Q36:R36"/>
    <mergeCell ref="S36:T36"/>
    <mergeCell ref="U36:V36"/>
    <mergeCell ref="W36:X36"/>
    <mergeCell ref="Y36:Z36"/>
    <mergeCell ref="AA36:AB36"/>
    <mergeCell ref="AC36:AD36"/>
    <mergeCell ref="AE36:AF36"/>
    <mergeCell ref="AG36:AH36"/>
    <mergeCell ref="AK30:AL30"/>
    <mergeCell ref="AN30:AO30"/>
    <mergeCell ref="AC34:AD35"/>
    <mergeCell ref="AE34:AF35"/>
    <mergeCell ref="AG34:AH35"/>
    <mergeCell ref="BK38:BP38"/>
    <mergeCell ref="BS38:BX38"/>
    <mergeCell ref="BZ38:CE38"/>
    <mergeCell ref="CG38:CL38"/>
    <mergeCell ref="CN38:CS38"/>
    <mergeCell ref="CU38:CZ38"/>
    <mergeCell ref="U39:V39"/>
    <mergeCell ref="W39:X39"/>
    <mergeCell ref="G40:J40"/>
    <mergeCell ref="K40:L40"/>
    <mergeCell ref="M40:N40"/>
    <mergeCell ref="O38:P38"/>
    <mergeCell ref="Q38:R38"/>
    <mergeCell ref="S38:T38"/>
    <mergeCell ref="U38:V38"/>
    <mergeCell ref="W38:X38"/>
    <mergeCell ref="Y38:Z38"/>
    <mergeCell ref="AA38:AB38"/>
    <mergeCell ref="AC38:AD38"/>
    <mergeCell ref="AE38:AF38"/>
    <mergeCell ref="Y39:Z39"/>
    <mergeCell ref="AA39:AB39"/>
    <mergeCell ref="AC39:AD39"/>
    <mergeCell ref="AE39:AF39"/>
    <mergeCell ref="G1:I1"/>
    <mergeCell ref="G34:J35"/>
    <mergeCell ref="G36:J36"/>
    <mergeCell ref="G37:J37"/>
    <mergeCell ref="G38:J38"/>
    <mergeCell ref="G39:J39"/>
    <mergeCell ref="W34:X35"/>
    <mergeCell ref="Y34:Z35"/>
    <mergeCell ref="AA34:AB35"/>
    <mergeCell ref="Q39:R39"/>
    <mergeCell ref="S39:T39"/>
    <mergeCell ref="C31:I31"/>
    <mergeCell ref="C37:D37"/>
    <mergeCell ref="E37:F37"/>
    <mergeCell ref="E39:F39"/>
    <mergeCell ref="O13:Y13"/>
    <mergeCell ref="O6:Y6"/>
    <mergeCell ref="O16:Y16"/>
    <mergeCell ref="O19:Y19"/>
    <mergeCell ref="Z19:AM19"/>
    <mergeCell ref="J22:Q22"/>
    <mergeCell ref="R22:V22"/>
    <mergeCell ref="Y22:Z22"/>
    <mergeCell ref="AB22:AC22"/>
    <mergeCell ref="C45:D45"/>
    <mergeCell ref="C46:D46"/>
    <mergeCell ref="C47:D47"/>
    <mergeCell ref="C48:D48"/>
    <mergeCell ref="C49:D49"/>
    <mergeCell ref="C50:D50"/>
    <mergeCell ref="C51:D51"/>
    <mergeCell ref="B82:F82"/>
    <mergeCell ref="C38:D38"/>
    <mergeCell ref="C39:D39"/>
    <mergeCell ref="C40:D40"/>
    <mergeCell ref="C41:D41"/>
    <mergeCell ref="C42:D42"/>
    <mergeCell ref="C43:D43"/>
    <mergeCell ref="C44:D44"/>
    <mergeCell ref="E38:F38"/>
    <mergeCell ref="E46:F46"/>
    <mergeCell ref="E47:F47"/>
    <mergeCell ref="E48:F48"/>
    <mergeCell ref="E49:F49"/>
    <mergeCell ref="E50:F50"/>
    <mergeCell ref="E51:F51"/>
    <mergeCell ref="B57:F57"/>
    <mergeCell ref="B58:F58"/>
    <mergeCell ref="C1:F1"/>
    <mergeCell ref="C2:F2"/>
    <mergeCell ref="C3:F3"/>
    <mergeCell ref="C4:F4"/>
    <mergeCell ref="C5:F5"/>
    <mergeCell ref="C6:F6"/>
    <mergeCell ref="C7:F7"/>
    <mergeCell ref="C11:F11"/>
    <mergeCell ref="C12:F12"/>
    <mergeCell ref="C8:F8"/>
    <mergeCell ref="C9:F9"/>
    <mergeCell ref="C10:F10"/>
    <mergeCell ref="C13:F13"/>
    <mergeCell ref="C14:F14"/>
    <mergeCell ref="C15:F15"/>
    <mergeCell ref="C16:F16"/>
    <mergeCell ref="C17:F17"/>
    <mergeCell ref="C27:I27"/>
    <mergeCell ref="C28:I28"/>
    <mergeCell ref="C29:I29"/>
    <mergeCell ref="C30:I30"/>
    <mergeCell ref="C20:I20"/>
    <mergeCell ref="C21:I21"/>
    <mergeCell ref="C22:I22"/>
    <mergeCell ref="C23:I23"/>
    <mergeCell ref="C24:I24"/>
    <mergeCell ref="C25:I25"/>
    <mergeCell ref="C26:I26"/>
    <mergeCell ref="C18:F18"/>
    <mergeCell ref="C19:F19"/>
    <mergeCell ref="A20:B31"/>
    <mergeCell ref="A32:E32"/>
    <mergeCell ref="A33:E33"/>
    <mergeCell ref="A34:A35"/>
    <mergeCell ref="B34:B35"/>
    <mergeCell ref="C34:D35"/>
    <mergeCell ref="E34:F35"/>
    <mergeCell ref="C36:D36"/>
    <mergeCell ref="E36:F36"/>
    <mergeCell ref="F32:AO32"/>
    <mergeCell ref="F33:AJ33"/>
    <mergeCell ref="AD25:AH25"/>
    <mergeCell ref="AK25:AL25"/>
    <mergeCell ref="Y25:Z25"/>
    <mergeCell ref="AB25:AC25"/>
    <mergeCell ref="J31:Q31"/>
    <mergeCell ref="J30:M30"/>
    <mergeCell ref="N30:Q30"/>
    <mergeCell ref="R30:V30"/>
    <mergeCell ref="Y30:Z30"/>
    <mergeCell ref="AB30:AC30"/>
    <mergeCell ref="R31:V31"/>
    <mergeCell ref="M34:N35"/>
    <mergeCell ref="O34:P35"/>
    <mergeCell ref="E40:F40"/>
    <mergeCell ref="E41:F41"/>
    <mergeCell ref="E42:F42"/>
    <mergeCell ref="E43:F43"/>
    <mergeCell ref="E44:F44"/>
    <mergeCell ref="E45:F45"/>
    <mergeCell ref="G45:J45"/>
    <mergeCell ref="K45:L45"/>
    <mergeCell ref="M45:N45"/>
    <mergeCell ref="G42:J42"/>
    <mergeCell ref="G43:J43"/>
    <mergeCell ref="M43:N43"/>
    <mergeCell ref="G41:J41"/>
    <mergeCell ref="K41:L41"/>
    <mergeCell ref="M41:N41"/>
    <mergeCell ref="K44:L44"/>
    <mergeCell ref="M44:N44"/>
    <mergeCell ref="K43:L43"/>
    <mergeCell ref="G44:J44"/>
    <mergeCell ref="K42:L42"/>
    <mergeCell ref="M42:N42"/>
    <mergeCell ref="G49:J49"/>
    <mergeCell ref="K49:L49"/>
    <mergeCell ref="M49:N49"/>
    <mergeCell ref="W45:X45"/>
    <mergeCell ref="Y45:Z45"/>
    <mergeCell ref="AA45:AB45"/>
    <mergeCell ref="O45:P45"/>
    <mergeCell ref="Q45:R45"/>
    <mergeCell ref="S45:T45"/>
    <mergeCell ref="U45:V45"/>
    <mergeCell ref="Y49:Z49"/>
    <mergeCell ref="AA49:AB49"/>
    <mergeCell ref="BS57:BT57"/>
    <mergeCell ref="BU57:BV57"/>
    <mergeCell ref="K48:L48"/>
    <mergeCell ref="M48:N48"/>
    <mergeCell ref="G46:J46"/>
    <mergeCell ref="K46:L46"/>
    <mergeCell ref="M46:N46"/>
    <mergeCell ref="G47:J47"/>
    <mergeCell ref="K47:L47"/>
    <mergeCell ref="M47:N47"/>
    <mergeCell ref="G48:J48"/>
    <mergeCell ref="K57:O57"/>
    <mergeCell ref="Q57:U57"/>
    <mergeCell ref="W57:AA57"/>
    <mergeCell ref="AC57:AG57"/>
    <mergeCell ref="AK57:AO57"/>
    <mergeCell ref="G50:J50"/>
    <mergeCell ref="K50:L50"/>
    <mergeCell ref="M50:N50"/>
    <mergeCell ref="G51:J51"/>
    <mergeCell ref="K51:L51"/>
    <mergeCell ref="M51:N51"/>
    <mergeCell ref="Y51:Z51"/>
    <mergeCell ref="AA51:AB51"/>
    <mergeCell ref="BW57:BX57"/>
    <mergeCell ref="BY57:BZ57"/>
    <mergeCell ref="O2:Y2"/>
    <mergeCell ref="O5:Y5"/>
    <mergeCell ref="O7:Y7"/>
    <mergeCell ref="AJ7:AK7"/>
    <mergeCell ref="AL7:AM7"/>
    <mergeCell ref="AN7:AO7"/>
    <mergeCell ref="O8:Y8"/>
    <mergeCell ref="AJ8:AK8"/>
    <mergeCell ref="AL8:AM8"/>
    <mergeCell ref="AN8:AO8"/>
    <mergeCell ref="O9:Y9"/>
    <mergeCell ref="AJ9:AK9"/>
    <mergeCell ref="AL9:AM9"/>
    <mergeCell ref="AN9:AO9"/>
    <mergeCell ref="O3:Y3"/>
    <mergeCell ref="O4:Y4"/>
    <mergeCell ref="O10:Y10"/>
    <mergeCell ref="O11:Y11"/>
    <mergeCell ref="O12:Y12"/>
    <mergeCell ref="AJ12:AK12"/>
    <mergeCell ref="AL12:AM12"/>
    <mergeCell ref="AN12:AO12"/>
    <mergeCell ref="AJ1:AK1"/>
    <mergeCell ref="AJ2:AK2"/>
    <mergeCell ref="AJ10:AK10"/>
    <mergeCell ref="AJ11:AK11"/>
    <mergeCell ref="AL2:AM2"/>
    <mergeCell ref="AN2:AO2"/>
    <mergeCell ref="AL1:AM1"/>
    <mergeCell ref="AJ3:AK3"/>
    <mergeCell ref="AL3:AM3"/>
    <mergeCell ref="AJ4:AK4"/>
    <mergeCell ref="AL4:AM4"/>
    <mergeCell ref="AJ5:AK5"/>
    <mergeCell ref="AL5:AM5"/>
    <mergeCell ref="AL10:AM10"/>
    <mergeCell ref="AN10:AO10"/>
    <mergeCell ref="AL11:AM11"/>
    <mergeCell ref="AN11:AO11"/>
    <mergeCell ref="AN5:AO5"/>
    <mergeCell ref="AJ6:AK6"/>
    <mergeCell ref="AL6:AM6"/>
    <mergeCell ref="AN6:AO6"/>
    <mergeCell ref="AJ13:AK13"/>
    <mergeCell ref="AL13:AM13"/>
    <mergeCell ref="AN13:AO13"/>
    <mergeCell ref="O14:Y14"/>
    <mergeCell ref="AJ14:AK14"/>
    <mergeCell ref="AL14:AM14"/>
    <mergeCell ref="AN14:AO14"/>
    <mergeCell ref="O15:Y15"/>
    <mergeCell ref="AJ15:AK15"/>
    <mergeCell ref="AL15:AM15"/>
    <mergeCell ref="AN15:AO15"/>
    <mergeCell ref="AJ16:AK16"/>
    <mergeCell ref="AL16:AM16"/>
    <mergeCell ref="AN16:AO16"/>
    <mergeCell ref="O17:Y17"/>
    <mergeCell ref="AJ17:AK17"/>
    <mergeCell ref="AL17:AM17"/>
    <mergeCell ref="AN17:AO17"/>
    <mergeCell ref="O18:Y18"/>
    <mergeCell ref="Z18:AM18"/>
    <mergeCell ref="AN18:AO18"/>
    <mergeCell ref="AN19:AO19"/>
    <mergeCell ref="J20:Q20"/>
    <mergeCell ref="R20:V20"/>
    <mergeCell ref="Y20:Z20"/>
    <mergeCell ref="AB20:AC20"/>
    <mergeCell ref="AD20:AH20"/>
    <mergeCell ref="AI20:AO20"/>
    <mergeCell ref="J21:Q21"/>
    <mergeCell ref="R21:V21"/>
    <mergeCell ref="Y21:Z21"/>
    <mergeCell ref="AB21:AC21"/>
    <mergeCell ref="AD21:AH21"/>
    <mergeCell ref="AK21:AL21"/>
    <mergeCell ref="AN21:AO21"/>
    <mergeCell ref="AD22:AH22"/>
    <mergeCell ref="AK22:AL22"/>
    <mergeCell ref="AN22:AO22"/>
    <mergeCell ref="J23:Q23"/>
    <mergeCell ref="R23:V23"/>
    <mergeCell ref="Y23:Z23"/>
    <mergeCell ref="AB23:AC23"/>
    <mergeCell ref="AD23:AH23"/>
    <mergeCell ref="AK23:AL23"/>
    <mergeCell ref="AN23:AO23"/>
    <mergeCell ref="S37:T37"/>
    <mergeCell ref="U37:V37"/>
    <mergeCell ref="O41:P41"/>
    <mergeCell ref="Q41:R41"/>
    <mergeCell ref="S41:T41"/>
    <mergeCell ref="U41:V41"/>
    <mergeCell ref="AE40:AF40"/>
    <mergeCell ref="K38:L38"/>
    <mergeCell ref="M38:N38"/>
    <mergeCell ref="K39:L39"/>
    <mergeCell ref="M39:N39"/>
    <mergeCell ref="O39:P39"/>
    <mergeCell ref="O37:P37"/>
    <mergeCell ref="Q37:R37"/>
    <mergeCell ref="K37:L37"/>
    <mergeCell ref="M37:N37"/>
  </mergeCells>
  <conditionalFormatting sqref="B36:AF51">
    <cfRule type="cellIs" dxfId="339" priority="1" operator="equal">
      <formula>0</formula>
    </cfRule>
  </conditionalFormatting>
  <conditionalFormatting sqref="AG36:AH36">
    <cfRule type="cellIs" dxfId="338" priority="2" operator="equal">
      <formula>0</formula>
    </cfRule>
  </conditionalFormatting>
  <conditionalFormatting sqref="B9 G9:H9">
    <cfRule type="expression" dxfId="337" priority="3">
      <formula>$AR$62="MNG"</formula>
    </cfRule>
  </conditionalFormatting>
  <conditionalFormatting sqref="B9 G9:H9">
    <cfRule type="cellIs" dxfId="336" priority="4" operator="equal">
      <formula>0</formula>
    </cfRule>
  </conditionalFormatting>
  <conditionalFormatting sqref="B10 G10:H10">
    <cfRule type="expression" dxfId="335" priority="5">
      <formula>$AR$63="MNG"</formula>
    </cfRule>
  </conditionalFormatting>
  <conditionalFormatting sqref="B10 G10:H10">
    <cfRule type="cellIs" dxfId="334" priority="6" operator="equal">
      <formula>0</formula>
    </cfRule>
  </conditionalFormatting>
  <conditionalFormatting sqref="G2:N19 O18:AM19">
    <cfRule type="cellIs" dxfId="333" priority="7" operator="equal">
      <formula>0</formula>
    </cfRule>
  </conditionalFormatting>
  <conditionalFormatting sqref="L2:N2 L3:M17 N3:N14 N16:N17">
    <cfRule type="cellIs" dxfId="332" priority="8" operator="equal">
      <formula>"0+"</formula>
    </cfRule>
  </conditionalFormatting>
  <conditionalFormatting sqref="W31">
    <cfRule type="cellIs" dxfId="331" priority="9" operator="equal">
      <formula>0</formula>
    </cfRule>
  </conditionalFormatting>
  <conditionalFormatting sqref="B3 G3:H3">
    <cfRule type="expression" dxfId="330" priority="10">
      <formula>#REF!="MNG"</formula>
    </cfRule>
  </conditionalFormatting>
  <conditionalFormatting sqref="B3 G3:H3">
    <cfRule type="cellIs" dxfId="329" priority="11" operator="equal">
      <formula>0</formula>
    </cfRule>
  </conditionalFormatting>
  <conditionalFormatting sqref="B4 G4:H4">
    <cfRule type="expression" dxfId="328" priority="12">
      <formula>#REF!="MNG"</formula>
    </cfRule>
  </conditionalFormatting>
  <conditionalFormatting sqref="B4 G4:H4">
    <cfRule type="cellIs" dxfId="327" priority="13" operator="equal">
      <formula>0</formula>
    </cfRule>
  </conditionalFormatting>
  <conditionalFormatting sqref="B5 G5:H5">
    <cfRule type="expression" dxfId="326" priority="14">
      <formula>$BJ$38="MNG"</formula>
    </cfRule>
  </conditionalFormatting>
  <conditionalFormatting sqref="B5 G5:H5">
    <cfRule type="cellIs" dxfId="325" priority="15" operator="equal">
      <formula>0</formula>
    </cfRule>
  </conditionalFormatting>
  <conditionalFormatting sqref="B11 G11:H11">
    <cfRule type="expression" dxfId="324" priority="16">
      <formula>$BJ$44="MNG"</formula>
    </cfRule>
  </conditionalFormatting>
  <conditionalFormatting sqref="B11 G11:H11">
    <cfRule type="cellIs" dxfId="323" priority="17" operator="equal">
      <formula>0</formula>
    </cfRule>
  </conditionalFormatting>
  <conditionalFormatting sqref="B12 G12:H12">
    <cfRule type="expression" dxfId="322" priority="18">
      <formula>$BJ$45="MNG"</formula>
    </cfRule>
  </conditionalFormatting>
  <conditionalFormatting sqref="B12 G12:H12">
    <cfRule type="cellIs" dxfId="321" priority="19" operator="equal">
      <formula>0</formula>
    </cfRule>
  </conditionalFormatting>
  <conditionalFormatting sqref="B13 G13:H13">
    <cfRule type="expression" dxfId="320" priority="20">
      <formula>$BJ$46="MNG"</formula>
    </cfRule>
  </conditionalFormatting>
  <conditionalFormatting sqref="B13 G13:H13">
    <cfRule type="cellIs" dxfId="319" priority="21" operator="equal">
      <formula>0</formula>
    </cfRule>
  </conditionalFormatting>
  <conditionalFormatting sqref="B14 G14:H14">
    <cfRule type="expression" dxfId="318" priority="22">
      <formula>$BJ$47="MNG"</formula>
    </cfRule>
  </conditionalFormatting>
  <conditionalFormatting sqref="B14 G14:H14">
    <cfRule type="cellIs" dxfId="317" priority="23" operator="equal">
      <formula>0</formula>
    </cfRule>
  </conditionalFormatting>
  <conditionalFormatting sqref="J3">
    <cfRule type="cellIs" dxfId="316" priority="24" operator="lessThan">
      <formula>W60</formula>
    </cfRule>
  </conditionalFormatting>
  <conditionalFormatting sqref="J3">
    <cfRule type="cellIs" dxfId="315" priority="25" operator="greaterThan">
      <formula>W60</formula>
    </cfRule>
  </conditionalFormatting>
  <conditionalFormatting sqref="J4">
    <cfRule type="cellIs" dxfId="314" priority="26" operator="lessThan">
      <formula>W61</formula>
    </cfRule>
  </conditionalFormatting>
  <conditionalFormatting sqref="J4">
    <cfRule type="cellIs" dxfId="313" priority="27" operator="greaterThan">
      <formula>W61</formula>
    </cfRule>
  </conditionalFormatting>
  <conditionalFormatting sqref="J5">
    <cfRule type="cellIs" dxfId="312" priority="28" operator="lessThan">
      <formula>W62</formula>
    </cfRule>
  </conditionalFormatting>
  <conditionalFormatting sqref="J5">
    <cfRule type="cellIs" dxfId="311" priority="29" operator="greaterThan">
      <formula>W62</formula>
    </cfRule>
  </conditionalFormatting>
  <conditionalFormatting sqref="J6">
    <cfRule type="cellIs" dxfId="310" priority="30" operator="lessThan">
      <formula>W63</formula>
    </cfRule>
  </conditionalFormatting>
  <conditionalFormatting sqref="J6">
    <cfRule type="cellIs" dxfId="309" priority="31" operator="greaterThan">
      <formula>W63</formula>
    </cfRule>
  </conditionalFormatting>
  <conditionalFormatting sqref="J7">
    <cfRule type="cellIs" dxfId="308" priority="32" operator="lessThan">
      <formula>W64</formula>
    </cfRule>
  </conditionalFormatting>
  <conditionalFormatting sqref="J7">
    <cfRule type="cellIs" dxfId="307" priority="33" operator="greaterThan">
      <formula>W64</formula>
    </cfRule>
  </conditionalFormatting>
  <conditionalFormatting sqref="J8">
    <cfRule type="cellIs" dxfId="306" priority="34" operator="lessThan">
      <formula>W65</formula>
    </cfRule>
  </conditionalFormatting>
  <conditionalFormatting sqref="J8">
    <cfRule type="cellIs" dxfId="305" priority="35" operator="greaterThan">
      <formula>W65</formula>
    </cfRule>
  </conditionalFormatting>
  <conditionalFormatting sqref="J9">
    <cfRule type="cellIs" dxfId="304" priority="36" operator="lessThan">
      <formula>W66</formula>
    </cfRule>
  </conditionalFormatting>
  <conditionalFormatting sqref="J9">
    <cfRule type="cellIs" dxfId="303" priority="37" operator="greaterThan">
      <formula>W66</formula>
    </cfRule>
  </conditionalFormatting>
  <conditionalFormatting sqref="J10">
    <cfRule type="cellIs" dxfId="302" priority="38" operator="lessThan">
      <formula>W67</formula>
    </cfRule>
  </conditionalFormatting>
  <conditionalFormatting sqref="J10">
    <cfRule type="cellIs" dxfId="301" priority="39" operator="greaterThan">
      <formula>W67</formula>
    </cfRule>
  </conditionalFormatting>
  <conditionalFormatting sqref="J11">
    <cfRule type="cellIs" dxfId="300" priority="40" operator="lessThan">
      <formula>W68</formula>
    </cfRule>
  </conditionalFormatting>
  <conditionalFormatting sqref="J11">
    <cfRule type="cellIs" dxfId="299" priority="41" operator="greaterThan">
      <formula>W68</formula>
    </cfRule>
  </conditionalFormatting>
  <conditionalFormatting sqref="J12">
    <cfRule type="cellIs" dxfId="298" priority="42" operator="lessThan">
      <formula>W69</formula>
    </cfRule>
  </conditionalFormatting>
  <conditionalFormatting sqref="J12">
    <cfRule type="cellIs" dxfId="297" priority="43" operator="greaterThan">
      <formula>W69</formula>
    </cfRule>
  </conditionalFormatting>
  <conditionalFormatting sqref="J13">
    <cfRule type="cellIs" dxfId="296" priority="44" operator="lessThan">
      <formula>W70</formula>
    </cfRule>
  </conditionalFormatting>
  <conditionalFormatting sqref="J13">
    <cfRule type="cellIs" dxfId="295" priority="45" operator="greaterThan">
      <formula>W70</formula>
    </cfRule>
  </conditionalFormatting>
  <conditionalFormatting sqref="J14">
    <cfRule type="cellIs" dxfId="294" priority="46" operator="lessThan">
      <formula>W71</formula>
    </cfRule>
  </conditionalFormatting>
  <conditionalFormatting sqref="J14">
    <cfRule type="cellIs" dxfId="293" priority="47" operator="greaterThan">
      <formula>W71</formula>
    </cfRule>
  </conditionalFormatting>
  <conditionalFormatting sqref="J16">
    <cfRule type="cellIs" dxfId="292" priority="48" operator="lessThan">
      <formula>W73</formula>
    </cfRule>
  </conditionalFormatting>
  <conditionalFormatting sqref="J16">
    <cfRule type="cellIs" dxfId="291" priority="49" operator="greaterThan">
      <formula>W73</formula>
    </cfRule>
  </conditionalFormatting>
  <conditionalFormatting sqref="J17">
    <cfRule type="cellIs" dxfId="290" priority="50" operator="lessThan">
      <formula>W74</formula>
    </cfRule>
  </conditionalFormatting>
  <conditionalFormatting sqref="J17">
    <cfRule type="cellIs" dxfId="289" priority="51" operator="greaterThan">
      <formula>W74</formula>
    </cfRule>
  </conditionalFormatting>
  <conditionalFormatting sqref="K3">
    <cfRule type="cellIs" dxfId="288" priority="52" operator="lessThan">
      <formula>X60</formula>
    </cfRule>
  </conditionalFormatting>
  <conditionalFormatting sqref="K3">
    <cfRule type="cellIs" dxfId="287" priority="53" operator="greaterThan">
      <formula>X60</formula>
    </cfRule>
  </conditionalFormatting>
  <conditionalFormatting sqref="N3">
    <cfRule type="cellIs" dxfId="286" priority="54" operator="equal">
      <formula>"0+"</formula>
    </cfRule>
  </conditionalFormatting>
  <conditionalFormatting sqref="N3">
    <cfRule type="expression" dxfId="285" priority="55">
      <formula>O60&lt;AA60</formula>
    </cfRule>
  </conditionalFormatting>
  <conditionalFormatting sqref="N3">
    <cfRule type="expression" dxfId="284" priority="56">
      <formula>O60&gt;AA60</formula>
    </cfRule>
  </conditionalFormatting>
  <conditionalFormatting sqref="K4">
    <cfRule type="cellIs" dxfId="283" priority="57" operator="lessThan">
      <formula>X61</formula>
    </cfRule>
  </conditionalFormatting>
  <conditionalFormatting sqref="K4">
    <cfRule type="cellIs" dxfId="282" priority="58" operator="greaterThan">
      <formula>X61</formula>
    </cfRule>
  </conditionalFormatting>
  <conditionalFormatting sqref="N4">
    <cfRule type="cellIs" dxfId="281" priority="59" operator="equal">
      <formula>"0+"</formula>
    </cfRule>
  </conditionalFormatting>
  <conditionalFormatting sqref="N4">
    <cfRule type="expression" dxfId="280" priority="60">
      <formula>O61&lt;AA61</formula>
    </cfRule>
  </conditionalFormatting>
  <conditionalFormatting sqref="N4">
    <cfRule type="expression" dxfId="279" priority="61">
      <formula>O61&gt;AA61</formula>
    </cfRule>
  </conditionalFormatting>
  <conditionalFormatting sqref="K5">
    <cfRule type="cellIs" dxfId="278" priority="62" operator="lessThan">
      <formula>X62</formula>
    </cfRule>
  </conditionalFormatting>
  <conditionalFormatting sqref="K5">
    <cfRule type="cellIs" dxfId="277" priority="63" operator="greaterThan">
      <formula>X62</formula>
    </cfRule>
  </conditionalFormatting>
  <conditionalFormatting sqref="N5">
    <cfRule type="cellIs" dxfId="276" priority="64" operator="equal">
      <formula>"0+"</formula>
    </cfRule>
  </conditionalFormatting>
  <conditionalFormatting sqref="N5">
    <cfRule type="expression" dxfId="275" priority="65">
      <formula>O62&lt;AA62</formula>
    </cfRule>
  </conditionalFormatting>
  <conditionalFormatting sqref="N5">
    <cfRule type="expression" dxfId="274" priority="66">
      <formula>O62&gt;AA62</formula>
    </cfRule>
  </conditionalFormatting>
  <conditionalFormatting sqref="K6">
    <cfRule type="cellIs" dxfId="273" priority="67" operator="lessThan">
      <formula>X63</formula>
    </cfRule>
  </conditionalFormatting>
  <conditionalFormatting sqref="K6">
    <cfRule type="cellIs" dxfId="272" priority="68" operator="greaterThan">
      <formula>X63</formula>
    </cfRule>
  </conditionalFormatting>
  <conditionalFormatting sqref="N6">
    <cfRule type="cellIs" dxfId="271" priority="69" operator="equal">
      <formula>"0+"</formula>
    </cfRule>
  </conditionalFormatting>
  <conditionalFormatting sqref="N6">
    <cfRule type="expression" dxfId="270" priority="70">
      <formula>O63&lt;AA63</formula>
    </cfRule>
  </conditionalFormatting>
  <conditionalFormatting sqref="N6">
    <cfRule type="expression" dxfId="269" priority="71">
      <formula>O63&gt;AA63</formula>
    </cfRule>
  </conditionalFormatting>
  <conditionalFormatting sqref="K7">
    <cfRule type="cellIs" dxfId="268" priority="72" operator="lessThan">
      <formula>X64</formula>
    </cfRule>
  </conditionalFormatting>
  <conditionalFormatting sqref="K7">
    <cfRule type="cellIs" dxfId="267" priority="73" operator="greaterThan">
      <formula>X64</formula>
    </cfRule>
  </conditionalFormatting>
  <conditionalFormatting sqref="N7">
    <cfRule type="cellIs" dxfId="266" priority="74" operator="equal">
      <formula>"0+"</formula>
    </cfRule>
  </conditionalFormatting>
  <conditionalFormatting sqref="N7">
    <cfRule type="expression" dxfId="265" priority="75">
      <formula>O64&lt;AA64</formula>
    </cfRule>
  </conditionalFormatting>
  <conditionalFormatting sqref="N7">
    <cfRule type="expression" dxfId="264" priority="76">
      <formula>O64&gt;AA64</formula>
    </cfRule>
  </conditionalFormatting>
  <conditionalFormatting sqref="K8">
    <cfRule type="cellIs" dxfId="263" priority="77" operator="lessThan">
      <formula>X65</formula>
    </cfRule>
  </conditionalFormatting>
  <conditionalFormatting sqref="K8">
    <cfRule type="cellIs" dxfId="262" priority="78" operator="greaterThan">
      <formula>X65</formula>
    </cfRule>
  </conditionalFormatting>
  <conditionalFormatting sqref="N8">
    <cfRule type="cellIs" dxfId="261" priority="79" operator="equal">
      <formula>"0+"</formula>
    </cfRule>
  </conditionalFormatting>
  <conditionalFormatting sqref="N8">
    <cfRule type="expression" dxfId="260" priority="80">
      <formula>O65&lt;AA65</formula>
    </cfRule>
  </conditionalFormatting>
  <conditionalFormatting sqref="N8">
    <cfRule type="expression" dxfId="259" priority="81">
      <formula>O65&gt;AA65</formula>
    </cfRule>
  </conditionalFormatting>
  <conditionalFormatting sqref="K9">
    <cfRule type="cellIs" dxfId="258" priority="82" operator="lessThan">
      <formula>X66</formula>
    </cfRule>
  </conditionalFormatting>
  <conditionalFormatting sqref="K9">
    <cfRule type="cellIs" dxfId="257" priority="83" operator="greaterThan">
      <formula>X66</formula>
    </cfRule>
  </conditionalFormatting>
  <conditionalFormatting sqref="N9">
    <cfRule type="cellIs" dxfId="256" priority="84" operator="equal">
      <formula>"0+"</formula>
    </cfRule>
  </conditionalFormatting>
  <conditionalFormatting sqref="N9">
    <cfRule type="expression" dxfId="255" priority="85">
      <formula>O66&lt;AA66</formula>
    </cfRule>
  </conditionalFormatting>
  <conditionalFormatting sqref="N9">
    <cfRule type="expression" dxfId="254" priority="86">
      <formula>O66&gt;AA66</formula>
    </cfRule>
  </conditionalFormatting>
  <conditionalFormatting sqref="K10">
    <cfRule type="cellIs" dxfId="253" priority="87" operator="lessThan">
      <formula>X67</formula>
    </cfRule>
  </conditionalFormatting>
  <conditionalFormatting sqref="K10">
    <cfRule type="cellIs" dxfId="252" priority="88" operator="greaterThan">
      <formula>X67</formula>
    </cfRule>
  </conditionalFormatting>
  <conditionalFormatting sqref="N10">
    <cfRule type="cellIs" dxfId="251" priority="89" operator="equal">
      <formula>"0+"</formula>
    </cfRule>
  </conditionalFormatting>
  <conditionalFormatting sqref="N10">
    <cfRule type="expression" dxfId="250" priority="90">
      <formula>O67&lt;AA67</formula>
    </cfRule>
  </conditionalFormatting>
  <conditionalFormatting sqref="N10">
    <cfRule type="expression" dxfId="249" priority="91">
      <formula>O67&gt;AA67</formula>
    </cfRule>
  </conditionalFormatting>
  <conditionalFormatting sqref="K11">
    <cfRule type="cellIs" dxfId="248" priority="92" operator="lessThan">
      <formula>X68</formula>
    </cfRule>
  </conditionalFormatting>
  <conditionalFormatting sqref="K11">
    <cfRule type="cellIs" dxfId="247" priority="93" operator="greaterThan">
      <formula>X68</formula>
    </cfRule>
  </conditionalFormatting>
  <conditionalFormatting sqref="N11">
    <cfRule type="cellIs" dxfId="246" priority="94" operator="equal">
      <formula>"0+"</formula>
    </cfRule>
  </conditionalFormatting>
  <conditionalFormatting sqref="N11">
    <cfRule type="expression" dxfId="245" priority="95">
      <formula>O68&lt;AA68</formula>
    </cfRule>
  </conditionalFormatting>
  <conditionalFormatting sqref="N11">
    <cfRule type="expression" dxfId="244" priority="96">
      <formula>O68&gt;AA68</formula>
    </cfRule>
  </conditionalFormatting>
  <conditionalFormatting sqref="K12">
    <cfRule type="cellIs" dxfId="243" priority="97" operator="lessThan">
      <formula>X69</formula>
    </cfRule>
  </conditionalFormatting>
  <conditionalFormatting sqref="K12">
    <cfRule type="cellIs" dxfId="242" priority="98" operator="greaterThan">
      <formula>X69</formula>
    </cfRule>
  </conditionalFormatting>
  <conditionalFormatting sqref="N12">
    <cfRule type="cellIs" dxfId="241" priority="99" operator="equal">
      <formula>"0+"</formula>
    </cfRule>
  </conditionalFormatting>
  <conditionalFormatting sqref="N12">
    <cfRule type="expression" dxfId="240" priority="100">
      <formula>O69&lt;AA69</formula>
    </cfRule>
  </conditionalFormatting>
  <conditionalFormatting sqref="N12">
    <cfRule type="expression" dxfId="239" priority="101">
      <formula>O69&gt;AA69</formula>
    </cfRule>
  </conditionalFormatting>
  <conditionalFormatting sqref="K13">
    <cfRule type="cellIs" dxfId="238" priority="102" operator="lessThan">
      <formula>X70</formula>
    </cfRule>
  </conditionalFormatting>
  <conditionalFormatting sqref="K13">
    <cfRule type="cellIs" dxfId="237" priority="103" operator="greaterThan">
      <formula>X70</formula>
    </cfRule>
  </conditionalFormatting>
  <conditionalFormatting sqref="N13">
    <cfRule type="cellIs" dxfId="236" priority="104" operator="equal">
      <formula>"0+"</formula>
    </cfRule>
  </conditionalFormatting>
  <conditionalFormatting sqref="N13">
    <cfRule type="expression" dxfId="235" priority="105">
      <formula>O70&lt;AA70</formula>
    </cfRule>
  </conditionalFormatting>
  <conditionalFormatting sqref="N13">
    <cfRule type="expression" dxfId="234" priority="106">
      <formula>O70&gt;AA70</formula>
    </cfRule>
  </conditionalFormatting>
  <conditionalFormatting sqref="K14">
    <cfRule type="cellIs" dxfId="233" priority="107" operator="lessThan">
      <formula>X71</formula>
    </cfRule>
  </conditionalFormatting>
  <conditionalFormatting sqref="K14">
    <cfRule type="cellIs" dxfId="232" priority="108" operator="greaterThan">
      <formula>X71</formula>
    </cfRule>
  </conditionalFormatting>
  <conditionalFormatting sqref="N14">
    <cfRule type="cellIs" dxfId="231" priority="109" operator="equal">
      <formula>"0+"</formula>
    </cfRule>
  </conditionalFormatting>
  <conditionalFormatting sqref="N14">
    <cfRule type="expression" dxfId="230" priority="110">
      <formula>O71&lt;AA71</formula>
    </cfRule>
  </conditionalFormatting>
  <conditionalFormatting sqref="N14">
    <cfRule type="expression" dxfId="229" priority="111">
      <formula>O71&gt;AA71</formula>
    </cfRule>
  </conditionalFormatting>
  <conditionalFormatting sqref="K16">
    <cfRule type="cellIs" dxfId="228" priority="112" operator="lessThan">
      <formula>X73</formula>
    </cfRule>
  </conditionalFormatting>
  <conditionalFormatting sqref="K16">
    <cfRule type="cellIs" dxfId="227" priority="113" operator="greaterThan">
      <formula>X73</formula>
    </cfRule>
  </conditionalFormatting>
  <conditionalFormatting sqref="N16">
    <cfRule type="cellIs" dxfId="226" priority="114" operator="equal">
      <formula>"0+"</formula>
    </cfRule>
  </conditionalFormatting>
  <conditionalFormatting sqref="N16">
    <cfRule type="expression" dxfId="225" priority="115">
      <formula>O73&lt;AA73</formula>
    </cfRule>
  </conditionalFormatting>
  <conditionalFormatting sqref="N16">
    <cfRule type="expression" dxfId="224" priority="116">
      <formula>O73&gt;AA73</formula>
    </cfRule>
  </conditionalFormatting>
  <conditionalFormatting sqref="K17">
    <cfRule type="cellIs" dxfId="223" priority="117" operator="lessThan">
      <formula>X74</formula>
    </cfRule>
  </conditionalFormatting>
  <conditionalFormatting sqref="K17">
    <cfRule type="cellIs" dxfId="222" priority="118" operator="greaterThan">
      <formula>X74</formula>
    </cfRule>
  </conditionalFormatting>
  <conditionalFormatting sqref="N17">
    <cfRule type="cellIs" dxfId="221" priority="119" operator="equal">
      <formula>"0+"</formula>
    </cfRule>
  </conditionalFormatting>
  <conditionalFormatting sqref="N17">
    <cfRule type="expression" dxfId="220" priority="120">
      <formula>O74&lt;AA74</formula>
    </cfRule>
  </conditionalFormatting>
  <conditionalFormatting sqref="N17">
    <cfRule type="expression" dxfId="219" priority="121">
      <formula>O74&gt;AA74</formula>
    </cfRule>
  </conditionalFormatting>
  <conditionalFormatting sqref="B3:AO3">
    <cfRule type="expression" dxfId="218" priority="122">
      <formula>$Z$3&lt;&gt;""</formula>
    </cfRule>
  </conditionalFormatting>
  <conditionalFormatting sqref="B4:AO4">
    <cfRule type="expression" dxfId="217" priority="123">
      <formula>$Z$4&lt;&gt;""</formula>
    </cfRule>
  </conditionalFormatting>
  <conditionalFormatting sqref="B5:AO5">
    <cfRule type="expression" dxfId="216" priority="124">
      <formula>$Z$5&lt;&gt;""</formula>
    </cfRule>
  </conditionalFormatting>
  <conditionalFormatting sqref="B6:AO6">
    <cfRule type="expression" dxfId="215" priority="125">
      <formula>$Z$6&lt;&gt;""</formula>
    </cfRule>
  </conditionalFormatting>
  <conditionalFormatting sqref="B7:AO7">
    <cfRule type="expression" dxfId="214" priority="126">
      <formula>$Z$7&lt;&gt;""</formula>
    </cfRule>
  </conditionalFormatting>
  <conditionalFormatting sqref="B8:AO8">
    <cfRule type="expression" dxfId="213" priority="127">
      <formula>$Z$8&lt;&gt;""</formula>
    </cfRule>
  </conditionalFormatting>
  <conditionalFormatting sqref="B9:AO9">
    <cfRule type="expression" dxfId="212" priority="128">
      <formula>$Z$9&lt;&gt;""</formula>
    </cfRule>
  </conditionalFormatting>
  <conditionalFormatting sqref="B10:AO10">
    <cfRule type="expression" dxfId="211" priority="129">
      <formula>$Z$10&lt;&gt;""</formula>
    </cfRule>
  </conditionalFormatting>
  <conditionalFormatting sqref="B11:AO11">
    <cfRule type="expression" dxfId="210" priority="130">
      <formula>$Z$11&lt;&gt;""</formula>
    </cfRule>
  </conditionalFormatting>
  <conditionalFormatting sqref="B12:AO12">
    <cfRule type="expression" dxfId="209" priority="131">
      <formula>$Z$12&lt;&gt;""</formula>
    </cfRule>
  </conditionalFormatting>
  <conditionalFormatting sqref="B13:AO13">
    <cfRule type="expression" dxfId="208" priority="132">
      <formula>$Z$13&lt;&gt;""</formula>
    </cfRule>
  </conditionalFormatting>
  <conditionalFormatting sqref="B14:AO14">
    <cfRule type="expression" dxfId="207" priority="133">
      <formula>$Z$14&lt;&gt;""</formula>
    </cfRule>
  </conditionalFormatting>
  <conditionalFormatting sqref="B16:AO16">
    <cfRule type="expression" dxfId="206" priority="134">
      <formula>$Z$16&lt;&gt;""</formula>
    </cfRule>
  </conditionalFormatting>
  <conditionalFormatting sqref="B17:AO17">
    <cfRule type="expression" dxfId="205" priority="135">
      <formula>$Z$17&lt;&gt;""</formula>
    </cfRule>
  </conditionalFormatting>
  <conditionalFormatting sqref="B6 G6:H6">
    <cfRule type="expression" dxfId="204" priority="136">
      <formula>$AR$59="MNG"</formula>
    </cfRule>
  </conditionalFormatting>
  <conditionalFormatting sqref="B6 G6:H6">
    <cfRule type="cellIs" dxfId="203" priority="137" operator="equal">
      <formula>0</formula>
    </cfRule>
  </conditionalFormatting>
  <conditionalFormatting sqref="B7 G7:H7">
    <cfRule type="expression" dxfId="202" priority="138">
      <formula>$AR$60="MNG"</formula>
    </cfRule>
  </conditionalFormatting>
  <conditionalFormatting sqref="B7 G7:H7">
    <cfRule type="cellIs" dxfId="201" priority="139" operator="equal">
      <formula>0</formula>
    </cfRule>
  </conditionalFormatting>
  <conditionalFormatting sqref="B8 G8:H8">
    <cfRule type="expression" dxfId="200" priority="140">
      <formula>$AR$61="MNG"</formula>
    </cfRule>
  </conditionalFormatting>
  <conditionalFormatting sqref="B8 G8:H8">
    <cfRule type="cellIs" dxfId="199" priority="141" operator="equal">
      <formula>0</formula>
    </cfRule>
  </conditionalFormatting>
  <conditionalFormatting sqref="X30:AA30">
    <cfRule type="expression" dxfId="198" priority="142">
      <formula>$Y$30=0</formula>
    </cfRule>
  </conditionalFormatting>
  <conditionalFormatting sqref="AB30:AC30">
    <cfRule type="expression" dxfId="197" priority="143">
      <formula>$Y$30=0</formula>
    </cfRule>
  </conditionalFormatting>
  <conditionalFormatting sqref="W30">
    <cfRule type="expression" dxfId="196" priority="144">
      <formula>$Y$30=0</formula>
    </cfRule>
  </conditionalFormatting>
  <conditionalFormatting sqref="AJ30:AM30">
    <cfRule type="expression" dxfId="195" priority="145">
      <formula>$AK$30=0</formula>
    </cfRule>
  </conditionalFormatting>
  <conditionalFormatting sqref="AI30">
    <cfRule type="expression" dxfId="194" priority="146">
      <formula>$AK$30=0</formula>
    </cfRule>
  </conditionalFormatting>
  <conditionalFormatting sqref="B2:AO2">
    <cfRule type="expression" dxfId="193" priority="147">
      <formula>$Z$2&lt;&gt;""</formula>
    </cfRule>
  </conditionalFormatting>
  <conditionalFormatting sqref="O2:O17">
    <cfRule type="cellIs" dxfId="192" priority="148" operator="equal">
      <formula>0&amp;BF2</formula>
    </cfRule>
  </conditionalFormatting>
  <conditionalFormatting sqref="O2:O17">
    <cfRule type="expression" dxfId="191" priority="149">
      <formula>AW2&lt;&gt;""</formula>
    </cfRule>
  </conditionalFormatting>
  <conditionalFormatting sqref="L2:L17">
    <cfRule type="expression" dxfId="190" priority="150">
      <formula>M59&gt;Y59</formula>
    </cfRule>
  </conditionalFormatting>
  <conditionalFormatting sqref="L2:L17">
    <cfRule type="expression" dxfId="189" priority="151">
      <formula>M59&lt;Y59</formula>
    </cfRule>
  </conditionalFormatting>
  <conditionalFormatting sqref="J2">
    <cfRule type="cellIs" dxfId="188" priority="152" operator="lessThan">
      <formula>W59</formula>
    </cfRule>
  </conditionalFormatting>
  <conditionalFormatting sqref="J2">
    <cfRule type="cellIs" dxfId="187" priority="153" operator="greaterThan">
      <formula>W59</formula>
    </cfRule>
  </conditionalFormatting>
  <conditionalFormatting sqref="K2">
    <cfRule type="cellIs" dxfId="186" priority="154" operator="lessThan">
      <formula>X59</formula>
    </cfRule>
  </conditionalFormatting>
  <conditionalFormatting sqref="K2">
    <cfRule type="cellIs" dxfId="185" priority="155" operator="greaterThan">
      <formula>X59</formula>
    </cfRule>
  </conditionalFormatting>
  <conditionalFormatting sqref="N2">
    <cfRule type="expression" dxfId="184" priority="156">
      <formula>O59&lt;AA59</formula>
    </cfRule>
  </conditionalFormatting>
  <conditionalFormatting sqref="N2">
    <cfRule type="expression" dxfId="183" priority="157">
      <formula>O59&gt;AA59</formula>
    </cfRule>
  </conditionalFormatting>
  <conditionalFormatting sqref="G18:I18">
    <cfRule type="expression" dxfId="182" priority="158">
      <formula>$C$18="Star Players"</formula>
    </cfRule>
  </conditionalFormatting>
  <conditionalFormatting sqref="G19:I19">
    <cfRule type="expression" dxfId="181" priority="159">
      <formula>$C$19="Star Players"</formula>
    </cfRule>
  </conditionalFormatting>
  <conditionalFormatting sqref="O18:AM18">
    <cfRule type="expression" dxfId="180" priority="160">
      <formula>$AS$18&lt;&gt;""</formula>
    </cfRule>
  </conditionalFormatting>
  <conditionalFormatting sqref="O19:AM19">
    <cfRule type="expression" dxfId="179" priority="161">
      <formula>$AS$19&lt;&gt;""</formula>
    </cfRule>
  </conditionalFormatting>
  <conditionalFormatting sqref="G15:H15 J15:K15 N15">
    <cfRule type="cellIs" dxfId="178" priority="162" operator="equal">
      <formula>0</formula>
    </cfRule>
  </conditionalFormatting>
  <conditionalFormatting sqref="N15">
    <cfRule type="cellIs" dxfId="177" priority="163" operator="equal">
      <formula>"0+"</formula>
    </cfRule>
  </conditionalFormatting>
  <conditionalFormatting sqref="J15">
    <cfRule type="cellIs" dxfId="176" priority="164" operator="lessThan">
      <formula>W72</formula>
    </cfRule>
  </conditionalFormatting>
  <conditionalFormatting sqref="J15">
    <cfRule type="cellIs" dxfId="175" priority="165" operator="greaterThan">
      <formula>W72</formula>
    </cfRule>
  </conditionalFormatting>
  <conditionalFormatting sqref="K15">
    <cfRule type="cellIs" dxfId="174" priority="166" operator="lessThan">
      <formula>X72</formula>
    </cfRule>
  </conditionalFormatting>
  <conditionalFormatting sqref="K15">
    <cfRule type="cellIs" dxfId="173" priority="167" operator="greaterThan">
      <formula>X72</formula>
    </cfRule>
  </conditionalFormatting>
  <conditionalFormatting sqref="N15">
    <cfRule type="cellIs" dxfId="172" priority="168" operator="equal">
      <formula>"0+"</formula>
    </cfRule>
  </conditionalFormatting>
  <conditionalFormatting sqref="N15">
    <cfRule type="expression" dxfId="171" priority="169">
      <formula>O72&lt;AA72</formula>
    </cfRule>
  </conditionalFormatting>
  <conditionalFormatting sqref="N15">
    <cfRule type="expression" dxfId="170" priority="170">
      <formula>O72&gt;AA72</formula>
    </cfRule>
  </conditionalFormatting>
  <conditionalFormatting sqref="B15:AO15">
    <cfRule type="expression" dxfId="169" priority="171">
      <formula>$Z$15&lt;&gt;""</formula>
    </cfRule>
  </conditionalFormatting>
  <conditionalFormatting sqref="AN18:AO19">
    <cfRule type="cellIs" dxfId="168" priority="172" operator="equal">
      <formula>0</formula>
    </cfRule>
  </conditionalFormatting>
  <conditionalFormatting sqref="M2:M17">
    <cfRule type="expression" dxfId="167" priority="173">
      <formula>OB59&gt;Y59</formula>
    </cfRule>
  </conditionalFormatting>
  <conditionalFormatting sqref="M2:M17">
    <cfRule type="expression" dxfId="166" priority="174">
      <formula>N59&lt;Z59</formula>
    </cfRule>
  </conditionalFormatting>
  <conditionalFormatting sqref="AJ24:AM24">
    <cfRule type="expression" dxfId="165" priority="175">
      <formula>$AK$24=0</formula>
    </cfRule>
  </conditionalFormatting>
  <conditionalFormatting sqref="AJ25:AM25">
    <cfRule type="expression" dxfId="164" priority="176">
      <formula>$AK$25=0</formula>
    </cfRule>
  </conditionalFormatting>
  <conditionalFormatting sqref="AJ26:AM26">
    <cfRule type="expression" dxfId="163" priority="177">
      <formula>$AK$26=0</formula>
    </cfRule>
  </conditionalFormatting>
  <conditionalFormatting sqref="AJ27:AM27">
    <cfRule type="expression" dxfId="162" priority="178">
      <formula>$AK$27=0</formula>
    </cfRule>
  </conditionalFormatting>
  <conditionalFormatting sqref="AN24:AO24">
    <cfRule type="expression" dxfId="161" priority="179">
      <formula>$AK$24=0</formula>
    </cfRule>
  </conditionalFormatting>
  <conditionalFormatting sqref="AJ28:AM28">
    <cfRule type="expression" dxfId="160" priority="180">
      <formula>$AK$28=0</formula>
    </cfRule>
  </conditionalFormatting>
  <conditionalFormatting sqref="AN28:AO28">
    <cfRule type="expression" dxfId="159" priority="181">
      <formula>$AK$28=0</formula>
    </cfRule>
  </conditionalFormatting>
  <conditionalFormatting sqref="J18:N19">
    <cfRule type="cellIs" dxfId="158" priority="182" operator="equal">
      <formula>0</formula>
    </cfRule>
  </conditionalFormatting>
  <conditionalFormatting sqref="AN25:AO25">
    <cfRule type="expression" dxfId="157" priority="183">
      <formula>$AK$25=0</formula>
    </cfRule>
  </conditionalFormatting>
  <conditionalFormatting sqref="AN26:AO26">
    <cfRule type="expression" dxfId="156" priority="184">
      <formula>$AK$26=0</formula>
    </cfRule>
  </conditionalFormatting>
  <conditionalFormatting sqref="AN27:AO27">
    <cfRule type="expression" dxfId="155" priority="185">
      <formula>$AK$27=0</formula>
    </cfRule>
  </conditionalFormatting>
  <conditionalFormatting sqref="AN30:AO30">
    <cfRule type="expression" dxfId="154" priority="186">
      <formula>$AK$30=0</formula>
    </cfRule>
  </conditionalFormatting>
  <conditionalFormatting sqref="X21:AA21">
    <cfRule type="expression" dxfId="153" priority="187">
      <formula>$Y$21=0</formula>
    </cfRule>
  </conditionalFormatting>
  <conditionalFormatting sqref="AB21:AC21">
    <cfRule type="expression" dxfId="152" priority="188">
      <formula>$Y$21=0</formula>
    </cfRule>
  </conditionalFormatting>
  <conditionalFormatting sqref="AG37:AH37">
    <cfRule type="cellIs" dxfId="151" priority="189" operator="equal">
      <formula>0</formula>
    </cfRule>
  </conditionalFormatting>
  <conditionalFormatting sqref="AG38:AH38">
    <cfRule type="cellIs" dxfId="150" priority="190" operator="equal">
      <formula>0</formula>
    </cfRule>
  </conditionalFormatting>
  <conditionalFormatting sqref="AG39:AH39">
    <cfRule type="cellIs" dxfId="149" priority="191" operator="equal">
      <formula>0</formula>
    </cfRule>
  </conditionalFormatting>
  <conditionalFormatting sqref="AG40:AH40">
    <cfRule type="cellIs" dxfId="148" priority="192" operator="equal">
      <formula>0</formula>
    </cfRule>
  </conditionalFormatting>
  <conditionalFormatting sqref="AG41:AH41">
    <cfRule type="cellIs" dxfId="147" priority="193" operator="equal">
      <formula>0</formula>
    </cfRule>
  </conditionalFormatting>
  <conditionalFormatting sqref="AG42:AH42">
    <cfRule type="cellIs" dxfId="146" priority="194" operator="equal">
      <formula>0</formula>
    </cfRule>
  </conditionalFormatting>
  <conditionalFormatting sqref="AG43:AH43">
    <cfRule type="cellIs" dxfId="145" priority="195" operator="equal">
      <formula>0</formula>
    </cfRule>
  </conditionalFormatting>
  <conditionalFormatting sqref="AG44:AH44">
    <cfRule type="cellIs" dxfId="144" priority="196" operator="equal">
      <formula>0</formula>
    </cfRule>
  </conditionalFormatting>
  <conditionalFormatting sqref="AG45:AH45">
    <cfRule type="cellIs" dxfId="143" priority="197" operator="equal">
      <formula>0</formula>
    </cfRule>
  </conditionalFormatting>
  <conditionalFormatting sqref="AG46:AH46">
    <cfRule type="cellIs" dxfId="142" priority="198" operator="equal">
      <formula>0</formula>
    </cfRule>
  </conditionalFormatting>
  <conditionalFormatting sqref="AG47:AH47">
    <cfRule type="cellIs" dxfId="141" priority="199" operator="equal">
      <formula>0</formula>
    </cfRule>
  </conditionalFormatting>
  <conditionalFormatting sqref="AG48:AH48">
    <cfRule type="cellIs" dxfId="140" priority="200" operator="equal">
      <formula>0</formula>
    </cfRule>
  </conditionalFormatting>
  <conditionalFormatting sqref="AG49:AH49">
    <cfRule type="cellIs" dxfId="139" priority="201" operator="equal">
      <formula>0</formula>
    </cfRule>
  </conditionalFormatting>
  <conditionalFormatting sqref="AG50:AH50">
    <cfRule type="cellIs" dxfId="138" priority="202" operator="equal">
      <formula>0</formula>
    </cfRule>
  </conditionalFormatting>
  <conditionalFormatting sqref="AG51:AH51">
    <cfRule type="cellIs" dxfId="137" priority="203" operator="equal">
      <formula>0</formula>
    </cfRule>
  </conditionalFormatting>
  <dataValidations count="40">
    <dataValidation type="list" allowBlank="1" showErrorMessage="1" sqref="C2:C17">
      <formula1>$BJ$2:$BJ$14</formula1>
    </dataValidation>
    <dataValidation type="list" allowBlank="1" showErrorMessage="1" sqref="AD24">
      <formula1>$BH$57:$BH$69</formula1>
    </dataValidation>
    <dataValidation type="list" allowBlank="1" showErrorMessage="1" sqref="W22">
      <formula1>$AY$60:$AY$70</formula1>
    </dataValidation>
    <dataValidation type="list" allowBlank="1" showErrorMessage="1" sqref="G54:G55">
      <formula1>$BA$66:$BA$67</formula1>
    </dataValidation>
    <dataValidation type="list" allowBlank="1" showErrorMessage="1" sqref="W21 W24 AI23:AI27 W29:W30">
      <formula1>$AY$60:$AY$61</formula1>
    </dataValidation>
    <dataValidation type="list" allowBlank="1" showErrorMessage="1" sqref="AK36:AL51 AO36:AO51">
      <formula1>$AI$60:$AI$62</formula1>
    </dataValidation>
    <dataValidation type="list" allowBlank="1" showErrorMessage="1" sqref="AD27">
      <formula1>$BL$57:$BL$61</formula1>
    </dataValidation>
    <dataValidation type="list" allowBlank="1" showErrorMessage="1" sqref="W25">
      <formula1>$AY$60:$AY$65</formula1>
    </dataValidation>
    <dataValidation type="list" allowBlank="1" showErrorMessage="1" sqref="AJ36:AJ51">
      <formula1>$AI$64:$AI$68</formula1>
    </dataValidation>
    <dataValidation type="list" allowBlank="1" showErrorMessage="1" sqref="AI21:AI22 AI29">
      <formula1>$AY$60:$AY$68</formula1>
    </dataValidation>
    <dataValidation type="list" allowBlank="1" showErrorMessage="1" sqref="AM36:AN51">
      <formula1>$AI$64:$AI$66</formula1>
    </dataValidation>
    <dataValidation type="list" allowBlank="1" showErrorMessage="1" sqref="C44 G44 M44 Q44 U44 Y44">
      <formula1>$CO$58:$CO$123</formula1>
    </dataValidation>
    <dataValidation type="list" allowBlank="1" showErrorMessage="1" sqref="C42 G42 M42 Q42 U42 Y42">
      <formula1>$CM$58:$CM$123</formula1>
    </dataValidation>
    <dataValidation type="list" allowBlank="1" showErrorMessage="1" sqref="W27 AI28">
      <formula1>$AY$60:$AY$63</formula1>
    </dataValidation>
    <dataValidation type="list" allowBlank="1" showErrorMessage="1" sqref="C43 G43 M43 Q43 U43 Y43">
      <formula1>$CN$58:$CN$123</formula1>
    </dataValidation>
    <dataValidation type="list" allowBlank="1" showErrorMessage="1" sqref="AD28">
      <formula1>$BO$57:$BO$65</formula1>
    </dataValidation>
    <dataValidation type="list" allowBlank="1" showErrorMessage="1" sqref="AJ31">
      <formula1>$BA$74:$BA$79</formula1>
    </dataValidation>
    <dataValidation type="list" allowBlank="1" showErrorMessage="1" sqref="C39 G39 M39 Q39 U39 Y39">
      <formula1>$CJ$58:$CJ$123</formula1>
    </dataValidation>
    <dataValidation type="list" allowBlank="1" showErrorMessage="1" sqref="C36 G36 M36 Q36 U36 Y36">
      <formula1>$CG$58:$CG$123</formula1>
    </dataValidation>
    <dataValidation type="list" allowBlank="1" showErrorMessage="1" sqref="J22">
      <formula1>$BM$3:$BM$31</formula1>
    </dataValidation>
    <dataValidation type="list" allowBlank="1" showErrorMessage="1" sqref="J24">
      <formula1>$BA$60:$BA$63</formula1>
    </dataValidation>
    <dataValidation type="list" allowBlank="1" showErrorMessage="1" sqref="C45 G45 M45 Q45 U45 Y45">
      <formula1>$CP$58:$CP$123</formula1>
    </dataValidation>
    <dataValidation type="list" allowBlank="1" showErrorMessage="1" sqref="W23">
      <formula1>$AY$60:$AY$66</formula1>
    </dataValidation>
    <dataValidation type="list" allowBlank="1" showErrorMessage="1" sqref="C40 G40 M40 Q40 U40 Y40">
      <formula1>$CK$58:$CK$123</formula1>
    </dataValidation>
    <dataValidation type="list" allowBlank="1" showErrorMessage="1" sqref="C41 G41 M41 Q41 U41 Y41">
      <formula1>$CL$58:$CL$123</formula1>
    </dataValidation>
    <dataValidation type="list" allowBlank="1" showErrorMessage="1" sqref="C49 G49 M49 Q49 U49 Y49">
      <formula1>$CT$58:$CT$123</formula1>
    </dataValidation>
    <dataValidation type="list" allowBlank="1" showErrorMessage="1" sqref="C46 G46 M46 Q46 U46 Y46">
      <formula1>$CQ$58:$CQ$123</formula1>
    </dataValidation>
    <dataValidation type="list" allowBlank="1" showErrorMessage="1" sqref="C47 G47 M47 Q47 U47 Y47">
      <formula1>$CR$58:$CR$123</formula1>
    </dataValidation>
    <dataValidation type="list" allowBlank="1" showErrorMessage="1" sqref="C48 G48 M48 Q48 U48 Y48">
      <formula1>$CS$58:$CS$123</formula1>
    </dataValidation>
    <dataValidation type="list" allowBlank="1" showErrorMessage="1" sqref="C51 G51 M51 Q51 U51 Y51">
      <formula1>$CV$58:$CV$123</formula1>
    </dataValidation>
    <dataValidation type="list" allowBlank="1" showErrorMessage="1" sqref="AD25:AD26">
      <formula1>$BD$57:$BD$67</formula1>
    </dataValidation>
    <dataValidation type="list" allowBlank="1" showErrorMessage="1" sqref="AI30">
      <formula1>$AY$60:$AY$62</formula1>
    </dataValidation>
    <dataValidation type="list" allowBlank="1" showErrorMessage="1" sqref="Z2:Z17">
      <formula1>$BA$65:$BA$66</formula1>
    </dataValidation>
    <dataValidation type="list" allowBlank="1" showErrorMessage="1" sqref="W26 W28">
      <formula1>$AY$60:$AY$64</formula1>
    </dataValidation>
    <dataValidation type="list" allowBlank="1" showErrorMessage="1" sqref="C50 G50 M50 Q50 U50 Y50">
      <formula1>$CU$58:$CU$123</formula1>
    </dataValidation>
    <dataValidation type="list" allowBlank="1" showErrorMessage="1" sqref="W20">
      <formula1>$AY$61:$AY$66</formula1>
    </dataValidation>
    <dataValidation type="list" allowBlank="1" showErrorMessage="1" sqref="C37 G37 M37 Q37 U37 Y37">
      <formula1>$CH$58:$CH$123</formula1>
    </dataValidation>
    <dataValidation type="list" allowBlank="1" showErrorMessage="1" sqref="J20">
      <formula1>$BR$57:$BR$65</formula1>
    </dataValidation>
    <dataValidation type="list" allowBlank="1" showErrorMessage="1" sqref="E36:E51 K36:K51 O36:O51 S36:S51 W36:W51 AA36:AA51">
      <formula1>$CA$57:$CA$59</formula1>
    </dataValidation>
    <dataValidation type="list" allowBlank="1" showErrorMessage="1" sqref="C38 G38 M38 Q38 U38 Y38">
      <formula1>$CI$58:$CI$123</formula1>
    </dataValidation>
  </dataValidations>
  <pageMargins left="0.23622047244094502" right="0.23622047244094502" top="0.74803149606299202" bottom="0.74803149606299202" header="0" footer="0"/>
  <pageSetup paperSize="9" orientation="landscape" cellComments="atEnd"/>
  <drawing r:id="rId1"/>
  <extLst>
    <ext xmlns:x14="http://schemas.microsoft.com/office/spreadsheetml/2009/9/main" uri="{CCE6A557-97BC-4b89-ADB6-D9C93CAAB3DF}">
      <x14:dataValidations xmlns:xm="http://schemas.microsoft.com/office/excel/2006/main" count="1">
        <x14:dataValidation type="list" allowBlank="1" showErrorMessage="1">
          <x14:formula1>
            <xm:f>StarPlayers!$C$55:$C$75</xm:f>
          </x14:formula1>
          <xm:sqref>C18:C19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000"/>
  <sheetViews>
    <sheetView topLeftCell="A4" workbookViewId="0">
      <selection activeCell="X15" sqref="X15"/>
    </sheetView>
  </sheetViews>
  <sheetFormatPr defaultColWidth="14.42578125" defaultRowHeight="15" customHeight="1"/>
  <cols>
    <col min="1" max="3" width="5" customWidth="1"/>
    <col min="4" max="5" width="25" customWidth="1"/>
    <col min="6" max="6" width="5" customWidth="1"/>
    <col min="7" max="7" width="0.7109375" customWidth="1"/>
    <col min="8" max="9" width="5" customWidth="1"/>
    <col min="10" max="10" width="0.7109375" customWidth="1"/>
    <col min="11" max="12" width="5" customWidth="1"/>
    <col min="13" max="13" width="0.7109375" customWidth="1"/>
    <col min="14" max="15" width="5" customWidth="1"/>
    <col min="16" max="16" width="0.7109375" customWidth="1"/>
    <col min="17" max="18" width="5" customWidth="1"/>
    <col min="19" max="19" width="0.7109375" customWidth="1"/>
    <col min="20" max="21" width="5" customWidth="1"/>
    <col min="22" max="22" width="0.7109375" customWidth="1"/>
    <col min="23" max="23" width="5" customWidth="1"/>
    <col min="24" max="26" width="12.85546875" customWidth="1"/>
    <col min="27" max="27" width="35.7109375" customWidth="1"/>
    <col min="28" max="28" width="1.5703125" customWidth="1"/>
    <col min="29" max="34" width="8" hidden="1" customWidth="1"/>
  </cols>
  <sheetData>
    <row r="1" spans="1:34" ht="11.25" customHeight="1">
      <c r="A1" s="100" t="str">
        <f>IF(Roster!J24="English","won",(IF(Roster!J24="Español","gan.",(IF(Roster!J24="Deutsch","sieg",(IF(Roster!J24="Français","vic.")))))))</f>
        <v>won</v>
      </c>
      <c r="B1" s="101" t="str">
        <f>IF(Roster!J24="English","tied",(IF(Roster!J24="Español","emp.",(IF(Roster!J24="Deutsch","une.",(IF(Roster!J24="Français","nul")))))))</f>
        <v>tied</v>
      </c>
      <c r="C1" s="102" t="str">
        <f>IF(Roster!J24="English","lost",(IF(Roster!J24="Español","per.",(IF(Roster!J24="Deutsch","nie.",(IF(Roster!J24="Français","déf.")))))))</f>
        <v>lost</v>
      </c>
      <c r="D1" s="325" t="str">
        <f>IF(Roster!J24="English","STATISTICS",(IF(Roster!J24="Español","ESTADÍSTICAS",(IF(Roster!J24="Deutsch","STATISTIK",(IF(Roster!J24="Français","STATISITQUES")))))))</f>
        <v>STATISTICS</v>
      </c>
      <c r="E1" s="326"/>
      <c r="F1" s="318" t="str">
        <f>IF(Roster!J24="English","TD",(IF(Roster!J24="Español","TD",(IF(Roster!J24="Deutsch","TD",(IF(Roster!J24="Français","TD")))))))</f>
        <v>TD</v>
      </c>
      <c r="G1" s="319"/>
      <c r="H1" s="320"/>
      <c r="I1" s="318" t="str">
        <f>IF(Roster!J24="English","Cas",(IF(Roster!J24="Español","Her",(IF(Roster!J24="Deutsch","Ver",(IF(Roster!J24="Français","Bles")))))))</f>
        <v>Cas</v>
      </c>
      <c r="J1" s="319"/>
      <c r="K1" s="320"/>
      <c r="L1" s="318" t="str">
        <f>IF(Roster!J24="English","BH",(IF(Roster!J24="Español","HL",(IF(Roster!J24="Deutsch","SV",(IF(Roster!J24="Français","COM")))))))</f>
        <v>BH</v>
      </c>
      <c r="M1" s="319"/>
      <c r="N1" s="321"/>
      <c r="O1" s="322" t="str">
        <f>IF(Roster!J24="English","SI",(IF(Roster!J24="Español","HG",(IF(Roster!J24="Deutsch","BV",(IF(Roster!J24="Français","BS")))))))</f>
        <v>SI</v>
      </c>
      <c r="P1" s="319"/>
      <c r="Q1" s="321"/>
      <c r="R1" s="322" t="str">
        <f>IF(Roster!J24="English","Kills",(IF(Roster!J24="Español","Muertos",(IF(Roster!J24="Deutsch","Tot",(IF(Roster!J24="Français","Mort")))))))</f>
        <v>Kills</v>
      </c>
      <c r="S1" s="319"/>
      <c r="T1" s="320"/>
      <c r="U1" s="318" t="str">
        <f>IF(Roster!J24="English","Sent Off",(IF(Roster!J24="Español","Expulsados",(IF(Roster!J24="Deutsch","Vom Platz g.",(IF(Roster!J24="Français","Expulsé")))))))</f>
        <v>Sent Off</v>
      </c>
      <c r="V1" s="319"/>
      <c r="W1" s="320"/>
      <c r="X1" s="103" t="s">
        <v>304</v>
      </c>
      <c r="Y1" s="103" t="str">
        <f>IF(Roster!J24="English","Winnings",(IF(Roster!J24="Español","Ganancias",(IF(Roster!J24="Deutsch","Gewinne",(IF(Roster!J24="Français","Gains")))))))</f>
        <v>Winnings</v>
      </c>
      <c r="Z1" s="103" t="str">
        <f>IF(Roster!J24="English","Points",(IF(Roster!J24="Español","Puntos",(IF(Roster!J24="Deutsch","Punkte",(IF(Roster!J24="Français","Points")))))))</f>
        <v>Points</v>
      </c>
      <c r="AA1" s="103" t="str">
        <f>IF(Roster!J24="English","League",(IF(Roster!J24="Español","Liga",(IF(Roster!J24="Deutsch","Liga",(IF(Roster!J24="Français","Ligue")))))))</f>
        <v>League</v>
      </c>
      <c r="AB1" s="315"/>
      <c r="AC1" s="2"/>
      <c r="AD1" s="2"/>
      <c r="AE1" s="2"/>
      <c r="AF1" s="2"/>
      <c r="AG1" s="2"/>
      <c r="AH1" s="2"/>
    </row>
    <row r="2" spans="1:34" ht="12" customHeight="1">
      <c r="A2" s="104">
        <f>COUNTIF(AH6:AH55,"1")</f>
        <v>2</v>
      </c>
      <c r="B2" s="105">
        <f>COUNTIF(AH6:AH55,"2")</f>
        <v>3</v>
      </c>
      <c r="C2" s="106">
        <f>COUNTIF(AH6:AH55,"3")</f>
        <v>1</v>
      </c>
      <c r="D2" s="327"/>
      <c r="E2" s="328"/>
      <c r="F2" s="107">
        <f>SUM(F6:F55)</f>
        <v>7</v>
      </c>
      <c r="G2" s="108" t="s">
        <v>305</v>
      </c>
      <c r="H2" s="109">
        <f t="shared" ref="H2:I2" si="0">SUM(H6:H55)</f>
        <v>5</v>
      </c>
      <c r="I2" s="110">
        <f t="shared" si="0"/>
        <v>7</v>
      </c>
      <c r="J2" s="108" t="s">
        <v>305</v>
      </c>
      <c r="K2" s="110">
        <f t="shared" ref="K2:L2" si="1">SUM(K6:K55)</f>
        <v>11</v>
      </c>
      <c r="L2" s="107">
        <f t="shared" si="1"/>
        <v>2</v>
      </c>
      <c r="M2" s="108" t="s">
        <v>305</v>
      </c>
      <c r="N2" s="110">
        <f t="shared" ref="N2:O2" si="2">SUM(N6:N55)</f>
        <v>4</v>
      </c>
      <c r="O2" s="111">
        <f t="shared" si="2"/>
        <v>5</v>
      </c>
      <c r="P2" s="108" t="s">
        <v>305</v>
      </c>
      <c r="Q2" s="110">
        <f t="shared" ref="Q2:R2" si="3">SUM(Q6:Q55)</f>
        <v>6</v>
      </c>
      <c r="R2" s="111">
        <f t="shared" si="3"/>
        <v>0</v>
      </c>
      <c r="S2" s="108" t="s">
        <v>305</v>
      </c>
      <c r="T2" s="109">
        <f t="shared" ref="T2:U2" si="4">SUM(T6:T55)</f>
        <v>1</v>
      </c>
      <c r="U2" s="107">
        <f t="shared" si="4"/>
        <v>0</v>
      </c>
      <c r="V2" s="108" t="s">
        <v>305</v>
      </c>
      <c r="W2" s="109">
        <f t="shared" ref="W2:Z2" si="5">SUM(W6:W55)</f>
        <v>0</v>
      </c>
      <c r="X2" s="112">
        <f t="shared" si="5"/>
        <v>2</v>
      </c>
      <c r="Y2" s="113">
        <f t="shared" si="5"/>
        <v>330000</v>
      </c>
      <c r="Z2" s="112">
        <f t="shared" si="5"/>
        <v>14</v>
      </c>
      <c r="AA2" s="316"/>
      <c r="AB2" s="228"/>
      <c r="AC2" s="2"/>
      <c r="AD2" s="91">
        <v>1</v>
      </c>
      <c r="AE2" s="2"/>
      <c r="AF2" s="2"/>
      <c r="AG2" s="91"/>
      <c r="AH2" s="2"/>
    </row>
    <row r="3" spans="1:34" ht="11.25" customHeight="1">
      <c r="A3" s="114">
        <f t="shared" ref="A3:C3" si="6">IFERROR((A2/(COUNTA($F$6:$F$55))),0)</f>
        <v>0.33333333333333331</v>
      </c>
      <c r="B3" s="115">
        <f t="shared" si="6"/>
        <v>0.5</v>
      </c>
      <c r="C3" s="116">
        <f t="shared" si="6"/>
        <v>0.16666666666666666</v>
      </c>
      <c r="D3" s="329"/>
      <c r="E3" s="330"/>
      <c r="F3" s="117">
        <f>IFERROR((F2/(COUNTA($F$6:$F$55))),0)</f>
        <v>1.1666666666666667</v>
      </c>
      <c r="G3" s="118" t="s">
        <v>305</v>
      </c>
      <c r="H3" s="119">
        <f>IFERROR((H2/(COUNTA($H$6:$H$55))),0)</f>
        <v>0.83333333333333337</v>
      </c>
      <c r="I3" s="120">
        <f>IFERROR((I2/(COUNTA($I$6:$I$55))),0)</f>
        <v>0.14000000000000001</v>
      </c>
      <c r="J3" s="118" t="s">
        <v>305</v>
      </c>
      <c r="K3" s="119">
        <f>IFERROR((K2/(COUNTA($K$6:$K$55))),0)</f>
        <v>0.22</v>
      </c>
      <c r="L3" s="120">
        <f>IFERROR((L2/(COUNTA($L$6:$L$55))),0)</f>
        <v>1</v>
      </c>
      <c r="M3" s="118" t="s">
        <v>305</v>
      </c>
      <c r="N3" s="121">
        <f>IFERROR((N2/(COUNTA($N$6:$N$55))),0)</f>
        <v>1.3333333333333333</v>
      </c>
      <c r="O3" s="120">
        <f>IFERROR((O2/(COUNTA($O$6:$O$55))),0)</f>
        <v>1.25</v>
      </c>
      <c r="P3" s="118" t="s">
        <v>305</v>
      </c>
      <c r="Q3" s="121">
        <f>IFERROR((Q2/(COUNTA($Q$6:$Q$55))),0)</f>
        <v>1.5</v>
      </c>
      <c r="R3" s="120">
        <f>IFERROR((R2/(COUNTA($R$6:$R$55))),0)</f>
        <v>0</v>
      </c>
      <c r="S3" s="118" t="s">
        <v>305</v>
      </c>
      <c r="T3" s="119">
        <f>IFERROR((T2/(COUNTA($T$6:$T$55))),0)</f>
        <v>1</v>
      </c>
      <c r="U3" s="120">
        <f>IFERROR((U2/(COUNTA($U$6:$U$55))),0)</f>
        <v>0</v>
      </c>
      <c r="V3" s="118" t="s">
        <v>305</v>
      </c>
      <c r="W3" s="119">
        <f>IFERROR((W2/(COUNTA($W$6:$W$55))),0)</f>
        <v>0</v>
      </c>
      <c r="X3" s="122">
        <f>IFERROR((X2/(COUNTA($X$6:$X$55))),0)</f>
        <v>1</v>
      </c>
      <c r="Y3" s="123">
        <f>IFERROR((Y2/(COUNTA($Y$6:$Y$55))),0)</f>
        <v>55000</v>
      </c>
      <c r="Z3" s="122">
        <f>IFERROR((Z2/(COUNTA($Z$6:$Z$55))),0)</f>
        <v>2.3333333333333335</v>
      </c>
      <c r="AA3" s="317"/>
      <c r="AB3" s="228"/>
      <c r="AC3" s="2"/>
      <c r="AD3" s="2"/>
      <c r="AE3" s="2"/>
      <c r="AF3" s="2"/>
      <c r="AG3" s="2"/>
      <c r="AH3" s="2"/>
    </row>
    <row r="4" spans="1:34" ht="7.5" customHeight="1">
      <c r="A4" s="323"/>
      <c r="B4" s="309"/>
      <c r="C4" s="309"/>
      <c r="D4" s="309"/>
      <c r="E4" s="309"/>
      <c r="F4" s="309"/>
      <c r="G4" s="309"/>
      <c r="H4" s="309"/>
      <c r="I4" s="309"/>
      <c r="J4" s="309"/>
      <c r="K4" s="309"/>
      <c r="L4" s="309"/>
      <c r="M4" s="309"/>
      <c r="N4" s="309"/>
      <c r="O4" s="309"/>
      <c r="P4" s="309"/>
      <c r="Q4" s="309"/>
      <c r="R4" s="309"/>
      <c r="S4" s="309"/>
      <c r="T4" s="309"/>
      <c r="U4" s="309"/>
      <c r="V4" s="309"/>
      <c r="W4" s="309"/>
      <c r="X4" s="309"/>
      <c r="Y4" s="309"/>
      <c r="Z4" s="309"/>
      <c r="AA4" s="324"/>
      <c r="AB4" s="228"/>
      <c r="AC4" s="2"/>
      <c r="AD4" s="2"/>
      <c r="AE4" s="2"/>
      <c r="AF4" s="2"/>
      <c r="AG4" s="2"/>
      <c r="AH4" s="2"/>
    </row>
    <row r="5" spans="1:34" ht="21" customHeight="1">
      <c r="A5" s="335">
        <v>0</v>
      </c>
      <c r="B5" s="319"/>
      <c r="C5" s="320"/>
      <c r="D5" s="124" t="str">
        <f>IF(Roster!J24="English","Opponent",(IF(Roster!J24="Español","Oponente",(IF(Roster!J24="Deutsch","Gegner",(IF(Roster!J24="Français","Adversaire")))))))</f>
        <v>Opponent</v>
      </c>
      <c r="E5" s="125" t="str">
        <f>IF(Roster!J24="English","Race",(IF(Roster!J24="Español","Raza",(IF(Roster!J24="Deutsch","Rasse",(IF(Roster!J24="Français","Type d'équipe")))))))</f>
        <v>Race</v>
      </c>
      <c r="F5" s="331" t="str">
        <f>IF(Roster!J24="English","TD",(IF(Roster!J24="Español","TD",(IF(Roster!J24="Deutsch","TD",(IF(Roster!J24="Français","TD")))))))</f>
        <v>TD</v>
      </c>
      <c r="G5" s="319"/>
      <c r="H5" s="320"/>
      <c r="I5" s="331" t="str">
        <f>IF(Roster!J24="English","Cas",(IF(Roster!J24="Español","Her",(IF(Roster!J24="Deutsch","Ver",(IF(Roster!J24="Français","Bles")))))))</f>
        <v>Cas</v>
      </c>
      <c r="J5" s="319"/>
      <c r="K5" s="320"/>
      <c r="L5" s="332" t="str">
        <f>IF(Roster!J24="English","BH",(IF(Roster!J24="Español","HL",(IF(Roster!J24="Deutsch","SV",(IF(Roster!J24="Français","COM")))))))</f>
        <v>BH</v>
      </c>
      <c r="M5" s="319"/>
      <c r="N5" s="321"/>
      <c r="O5" s="333" t="str">
        <f>IF(Roster!J24="English","SI",(IF(Roster!J24="Español","HG",(IF(Roster!J24="Deutsch","BV",(IF(Roster!J24="Français","BS")))))))</f>
        <v>SI</v>
      </c>
      <c r="P5" s="319"/>
      <c r="Q5" s="321"/>
      <c r="R5" s="333" t="str">
        <f>IF(Roster!J24="English","Kills",(IF(Roster!J24="Español","Muertos",(IF(Roster!J24="Deutsch","Tot",(IF(Roster!J24="Français","Mort")))))))</f>
        <v>Kills</v>
      </c>
      <c r="S5" s="319"/>
      <c r="T5" s="320"/>
      <c r="U5" s="334" t="str">
        <f>IF(Roster!J24="English","Sent Off",(IF(Roster!J24="Español","Expulsados",(IF(Roster!J24="Deutsch","Vom Platz gestellt",(IF(Roster!J24="Français","Expulsé")))))))</f>
        <v>Sent Off</v>
      </c>
      <c r="V5" s="319"/>
      <c r="W5" s="320"/>
      <c r="X5" s="126" t="str">
        <f>IF(Roster!J24="English","Dedicated Fans",(IF(Roster!J24="Español","Fans Dedicados",(IF(Roster!J24="Deutsch","Treue Fans",(IF(Roster!J24="Français","Fans Dévoués")))))))</f>
        <v>Dedicated Fans</v>
      </c>
      <c r="Y5" s="126" t="str">
        <f>IF(Roster!J24="English","Winnings",(IF(Roster!J24="Español","Ganancias",(IF(Roster!J24="Deutsch","Gewinne",(IF(Roster!J24="Français","Gains")))))))</f>
        <v>Winnings</v>
      </c>
      <c r="Z5" s="126" t="str">
        <f>IF(Roster!J24="English","Points",(IF(Roster!J24="Español","Puntos",(IF(Roster!J24="Deutsch","Punkte",(IF(Roster!J24="Français","Points")))))))</f>
        <v>Points</v>
      </c>
      <c r="AA5" s="127" t="str">
        <f>IF(Roster!J24="English","Notes",(IF(Roster!J24="Español","Notas",(IF(Roster!J24="Deutsch","Notizen",(IF(Roster!J24="Français","Notes")))))))</f>
        <v>Notes</v>
      </c>
      <c r="AB5" s="228"/>
      <c r="AC5" s="128"/>
      <c r="AD5" s="129" t="s">
        <v>306</v>
      </c>
      <c r="AE5" s="129" t="s">
        <v>307</v>
      </c>
      <c r="AF5" s="129" t="s">
        <v>308</v>
      </c>
      <c r="AG5" s="128"/>
      <c r="AH5" s="128"/>
    </row>
    <row r="6" spans="1:34" ht="21" customHeight="1">
      <c r="A6" s="130">
        <v>1</v>
      </c>
      <c r="B6" s="313" t="str">
        <f>IF(Roster!$J$24="English",(IF(F6&gt;0,(IF(F6&gt;H6,"won",(IF(F6=H6,"tied",(IF(F6&lt;H6,"lost","")))))),"")),(IF(E6&gt;0,(IF(F6&gt;H6,"ganado",(IF(F6=H6,"empatado",(IF(F6&lt;H6,"perdido","")))))),"")))</f>
        <v>tied</v>
      </c>
      <c r="C6" s="314"/>
      <c r="D6" s="131" t="s">
        <v>1224</v>
      </c>
      <c r="E6" s="132" t="s">
        <v>76</v>
      </c>
      <c r="F6" s="133">
        <v>1</v>
      </c>
      <c r="G6" s="134" t="s">
        <v>305</v>
      </c>
      <c r="H6" s="135">
        <v>1</v>
      </c>
      <c r="I6" s="136">
        <f t="shared" ref="I6:I55" si="7">L6+O6+R6</f>
        <v>1</v>
      </c>
      <c r="J6" s="137" t="s">
        <v>305</v>
      </c>
      <c r="K6" s="138">
        <f t="shared" ref="K6:K55" si="8">N6+Q6+T6</f>
        <v>1</v>
      </c>
      <c r="L6" s="133"/>
      <c r="M6" s="134" t="s">
        <v>305</v>
      </c>
      <c r="N6" s="139"/>
      <c r="O6" s="140">
        <v>1</v>
      </c>
      <c r="P6" s="134" t="s">
        <v>305</v>
      </c>
      <c r="Q6" s="139">
        <v>1</v>
      </c>
      <c r="R6" s="140"/>
      <c r="S6" s="134" t="s">
        <v>305</v>
      </c>
      <c r="T6" s="139"/>
      <c r="U6" s="133"/>
      <c r="V6" s="134" t="s">
        <v>305</v>
      </c>
      <c r="W6" s="135"/>
      <c r="X6" s="135"/>
      <c r="Y6" s="141">
        <v>50000</v>
      </c>
      <c r="Z6" s="135">
        <v>2</v>
      </c>
      <c r="AA6" s="142"/>
      <c r="AB6" s="228"/>
      <c r="AC6" s="2"/>
      <c r="AD6" s="72" t="b">
        <v>0</v>
      </c>
      <c r="AE6" s="72" t="b">
        <v>0</v>
      </c>
      <c r="AF6" s="72" t="b">
        <v>0</v>
      </c>
      <c r="AG6" s="2"/>
      <c r="AH6" s="2">
        <f t="shared" ref="AH6:AH55" si="9">IF(F6&lt;&gt;"",(IF(F6&gt;H6,1,(IF(F6=H6,2,(IF(F6&lt;H6,3,"")))))),"")</f>
        <v>2</v>
      </c>
    </row>
    <row r="7" spans="1:34" ht="21" customHeight="1">
      <c r="A7" s="143">
        <v>2</v>
      </c>
      <c r="B7" s="313" t="str">
        <f>IF(Roster!$J$24="English",(IF(E7&gt;0,(IF(F7&gt;H7,"won",(IF(F7=H7,"tied",(IF(F7&lt;H7,"lost","")))))),"")),(IF(E7&gt;0,(IF(F7&gt;H7,"ganado",(IF(F7=H7,"empatado",(IF(F7&lt;H7,"perdido","")))))),"")))</f>
        <v>tied</v>
      </c>
      <c r="C7" s="314"/>
      <c r="D7" s="144" t="s">
        <v>1226</v>
      </c>
      <c r="E7" s="132" t="s">
        <v>114</v>
      </c>
      <c r="F7" s="145">
        <v>1</v>
      </c>
      <c r="G7" s="146" t="s">
        <v>305</v>
      </c>
      <c r="H7" s="147">
        <v>1</v>
      </c>
      <c r="I7" s="136">
        <f t="shared" si="7"/>
        <v>0</v>
      </c>
      <c r="J7" s="148" t="s">
        <v>305</v>
      </c>
      <c r="K7" s="138">
        <f t="shared" si="8"/>
        <v>3</v>
      </c>
      <c r="L7" s="145"/>
      <c r="M7" s="146" t="s">
        <v>305</v>
      </c>
      <c r="N7" s="149"/>
      <c r="O7" s="150"/>
      <c r="P7" s="146" t="s">
        <v>305</v>
      </c>
      <c r="Q7" s="149">
        <v>3</v>
      </c>
      <c r="R7" s="150"/>
      <c r="S7" s="146" t="s">
        <v>305</v>
      </c>
      <c r="T7" s="149"/>
      <c r="U7" s="145"/>
      <c r="V7" s="146" t="s">
        <v>305</v>
      </c>
      <c r="W7" s="147"/>
      <c r="X7" s="135"/>
      <c r="Y7" s="151">
        <v>35000</v>
      </c>
      <c r="Z7" s="147">
        <v>2</v>
      </c>
      <c r="AA7" s="152"/>
      <c r="AB7" s="228"/>
      <c r="AC7" s="2"/>
      <c r="AD7" s="72" t="b">
        <v>0</v>
      </c>
      <c r="AE7" s="72" t="b">
        <v>0</v>
      </c>
      <c r="AF7" s="72" t="b">
        <v>0</v>
      </c>
      <c r="AG7" s="2"/>
      <c r="AH7" s="2">
        <f t="shared" si="9"/>
        <v>2</v>
      </c>
    </row>
    <row r="8" spans="1:34" ht="21" customHeight="1">
      <c r="A8" s="130">
        <v>3</v>
      </c>
      <c r="B8" s="313" t="str">
        <f>IF(Roster!$J$24="English",(IF(E8&gt;0,(IF(F8&gt;H8,"won",(IF(F8=H8,"tied",(IF(F8&lt;H8,"lost","")))))),"")),(IF(E8&gt;0,(IF(F8&gt;H8,"ganado",(IF(F8=H8,"empatado",(IF(F8&lt;H8,"perdido","")))))),"")))</f>
        <v>won</v>
      </c>
      <c r="C8" s="314"/>
      <c r="D8" s="131" t="s">
        <v>1227</v>
      </c>
      <c r="E8" s="132" t="s">
        <v>199</v>
      </c>
      <c r="F8" s="133">
        <v>2</v>
      </c>
      <c r="G8" s="134" t="s">
        <v>305</v>
      </c>
      <c r="H8" s="135">
        <v>0</v>
      </c>
      <c r="I8" s="136">
        <f t="shared" si="7"/>
        <v>3</v>
      </c>
      <c r="J8" s="137" t="s">
        <v>305</v>
      </c>
      <c r="K8" s="138">
        <f t="shared" si="8"/>
        <v>2</v>
      </c>
      <c r="L8" s="133">
        <v>1</v>
      </c>
      <c r="M8" s="134" t="s">
        <v>305</v>
      </c>
      <c r="N8" s="139">
        <v>1</v>
      </c>
      <c r="O8" s="140">
        <v>2</v>
      </c>
      <c r="P8" s="134" t="s">
        <v>305</v>
      </c>
      <c r="Q8" s="139">
        <v>1</v>
      </c>
      <c r="R8" s="140"/>
      <c r="S8" s="134" t="s">
        <v>305</v>
      </c>
      <c r="T8" s="139"/>
      <c r="U8" s="133"/>
      <c r="V8" s="134" t="s">
        <v>305</v>
      </c>
      <c r="W8" s="135"/>
      <c r="X8" s="135">
        <v>1</v>
      </c>
      <c r="Y8" s="141">
        <v>70000</v>
      </c>
      <c r="Z8" s="135">
        <v>4</v>
      </c>
      <c r="AA8" s="142"/>
      <c r="AB8" s="228"/>
      <c r="AC8" s="2"/>
      <c r="AD8" s="72" t="b">
        <v>0</v>
      </c>
      <c r="AE8" s="72" t="b">
        <v>0</v>
      </c>
      <c r="AF8" s="72" t="b">
        <v>0</v>
      </c>
      <c r="AG8" s="2"/>
      <c r="AH8" s="2">
        <f t="shared" si="9"/>
        <v>1</v>
      </c>
    </row>
    <row r="9" spans="1:34" ht="21" customHeight="1">
      <c r="A9" s="130">
        <v>4</v>
      </c>
      <c r="B9" s="313" t="str">
        <f>IF(Roster!$J$24="English",(IF(E9&gt;0,(IF(F9&gt;H9,"won",(IF(F9=H9,"tied",(IF(F9&lt;H9,"lost","")))))),"")),(IF(E9&gt;0,(IF(F9&gt;H9,"ganado",(IF(F9=H9,"empatado",(IF(F9&lt;H9,"perdido","")))))),"")))</f>
        <v>lost</v>
      </c>
      <c r="C9" s="314"/>
      <c r="D9" s="131" t="s">
        <v>1228</v>
      </c>
      <c r="E9" s="132" t="s">
        <v>175</v>
      </c>
      <c r="F9" s="133">
        <v>1</v>
      </c>
      <c r="G9" s="134" t="s">
        <v>305</v>
      </c>
      <c r="H9" s="135">
        <v>2</v>
      </c>
      <c r="I9" s="136">
        <f t="shared" si="7"/>
        <v>1</v>
      </c>
      <c r="J9" s="137" t="s">
        <v>305</v>
      </c>
      <c r="K9" s="138">
        <f t="shared" si="8"/>
        <v>2</v>
      </c>
      <c r="L9" s="133"/>
      <c r="M9" s="134" t="s">
        <v>305</v>
      </c>
      <c r="N9" s="139">
        <v>1</v>
      </c>
      <c r="O9" s="140">
        <v>1</v>
      </c>
      <c r="P9" s="134" t="s">
        <v>305</v>
      </c>
      <c r="Q9" s="139"/>
      <c r="R9" s="140"/>
      <c r="S9" s="134" t="s">
        <v>305</v>
      </c>
      <c r="T9" s="139">
        <v>1</v>
      </c>
      <c r="U9" s="133"/>
      <c r="V9" s="134" t="s">
        <v>305</v>
      </c>
      <c r="W9" s="135"/>
      <c r="X9" s="135"/>
      <c r="Y9" s="141">
        <v>55000</v>
      </c>
      <c r="Z9" s="135">
        <v>1</v>
      </c>
      <c r="AA9" s="142" t="s">
        <v>1229</v>
      </c>
      <c r="AB9" s="228"/>
      <c r="AC9" s="2"/>
      <c r="AD9" s="72" t="b">
        <v>0</v>
      </c>
      <c r="AE9" s="72" t="b">
        <v>0</v>
      </c>
      <c r="AF9" s="72" t="b">
        <v>0</v>
      </c>
      <c r="AG9" s="2"/>
      <c r="AH9" s="2">
        <f t="shared" si="9"/>
        <v>3</v>
      </c>
    </row>
    <row r="10" spans="1:34" ht="21" customHeight="1">
      <c r="A10" s="143">
        <v>5</v>
      </c>
      <c r="B10" s="313" t="str">
        <f>IF(Roster!$J$24="English",(IF(E10&gt;0,(IF(F10&gt;H10,"won",(IF(F10=H10,"tied",(IF(F10&lt;H10,"lost","")))))),"")),(IF(E10&gt;0,(IF(F10&gt;H10,"ganado",(IF(F10=H10,"empatado",(IF(F10&lt;H10,"perdido","")))))),"")))</f>
        <v>won</v>
      </c>
      <c r="C10" s="314"/>
      <c r="D10" s="131" t="s">
        <v>1230</v>
      </c>
      <c r="E10" s="132" t="s">
        <v>169</v>
      </c>
      <c r="F10" s="133">
        <v>1</v>
      </c>
      <c r="G10" s="134" t="s">
        <v>305</v>
      </c>
      <c r="H10" s="135">
        <v>0</v>
      </c>
      <c r="I10" s="136">
        <f t="shared" si="7"/>
        <v>1</v>
      </c>
      <c r="J10" s="137" t="s">
        <v>305</v>
      </c>
      <c r="K10" s="138">
        <f t="shared" si="8"/>
        <v>1</v>
      </c>
      <c r="L10" s="133">
        <v>1</v>
      </c>
      <c r="M10" s="134" t="s">
        <v>305</v>
      </c>
      <c r="N10" s="139"/>
      <c r="O10" s="140"/>
      <c r="P10" s="134" t="s">
        <v>305</v>
      </c>
      <c r="Q10" s="139">
        <v>1</v>
      </c>
      <c r="R10" s="140"/>
      <c r="S10" s="134" t="s">
        <v>305</v>
      </c>
      <c r="T10" s="139"/>
      <c r="U10" s="133"/>
      <c r="V10" s="134" t="s">
        <v>305</v>
      </c>
      <c r="W10" s="135"/>
      <c r="X10" s="135">
        <v>1</v>
      </c>
      <c r="Y10" s="141">
        <v>65000</v>
      </c>
      <c r="Z10" s="135">
        <v>3</v>
      </c>
      <c r="AA10" s="142"/>
      <c r="AB10" s="228"/>
      <c r="AC10" s="2"/>
      <c r="AD10" s="72" t="b">
        <v>0</v>
      </c>
      <c r="AE10" s="72" t="b">
        <v>0</v>
      </c>
      <c r="AF10" s="72" t="b">
        <v>0</v>
      </c>
      <c r="AG10" s="2"/>
      <c r="AH10" s="2">
        <f t="shared" si="9"/>
        <v>1</v>
      </c>
    </row>
    <row r="11" spans="1:34" ht="21" customHeight="1">
      <c r="A11" s="130">
        <v>6</v>
      </c>
      <c r="B11" s="313" t="str">
        <f>IF(Roster!$J$24="English",(IF(E11&gt;0,(IF(F11&gt;H11,"won",(IF(F11=H11,"tied",(IF(F11&lt;H11,"lost","")))))),"")),(IF(E11&gt;0,(IF(F11&gt;H11,"ganado",(IF(F11=H11,"empatado",(IF(F11&lt;H11,"perdido","")))))),"")))</f>
        <v>tied</v>
      </c>
      <c r="C11" s="314"/>
      <c r="D11" s="131" t="s">
        <v>1227</v>
      </c>
      <c r="E11" s="132" t="s">
        <v>199</v>
      </c>
      <c r="F11" s="133">
        <v>1</v>
      </c>
      <c r="G11" s="134" t="s">
        <v>305</v>
      </c>
      <c r="H11" s="135">
        <v>1</v>
      </c>
      <c r="I11" s="136">
        <f t="shared" si="7"/>
        <v>1</v>
      </c>
      <c r="J11" s="137" t="s">
        <v>305</v>
      </c>
      <c r="K11" s="138">
        <f t="shared" si="8"/>
        <v>2</v>
      </c>
      <c r="L11" s="133"/>
      <c r="M11" s="134" t="s">
        <v>305</v>
      </c>
      <c r="N11" s="139">
        <v>2</v>
      </c>
      <c r="O11" s="140">
        <v>1</v>
      </c>
      <c r="P11" s="134" t="s">
        <v>305</v>
      </c>
      <c r="Q11" s="139"/>
      <c r="R11" s="140"/>
      <c r="S11" s="134" t="s">
        <v>305</v>
      </c>
      <c r="T11" s="139"/>
      <c r="U11" s="133"/>
      <c r="V11" s="134" t="s">
        <v>305</v>
      </c>
      <c r="W11" s="135"/>
      <c r="X11" s="135"/>
      <c r="Y11" s="141">
        <v>55000</v>
      </c>
      <c r="Z11" s="135">
        <v>2</v>
      </c>
      <c r="AA11" s="142"/>
      <c r="AB11" s="228"/>
      <c r="AC11" s="2"/>
      <c r="AD11" s="72" t="b">
        <v>0</v>
      </c>
      <c r="AE11" s="72" t="b">
        <v>0</v>
      </c>
      <c r="AF11" s="72" t="b">
        <v>0</v>
      </c>
      <c r="AG11" s="2"/>
      <c r="AH11" s="2">
        <f t="shared" si="9"/>
        <v>2</v>
      </c>
    </row>
    <row r="12" spans="1:34" ht="21" customHeight="1">
      <c r="A12" s="130">
        <v>7</v>
      </c>
      <c r="B12" s="313" t="str">
        <f>IF(Roster!$J$24="English",(IF(E12&gt;0,(IF(F12&gt;H12,"won",(IF(F12=H12,"tied",(IF(F12&lt;H12,"lost","")))))),"")),(IF(E12&gt;0,(IF(F12&gt;H12,"ganado",(IF(F12=H12,"empatado",(IF(F12&lt;H12,"perdido","")))))),"")))</f>
        <v/>
      </c>
      <c r="C12" s="314"/>
      <c r="D12" s="131"/>
      <c r="E12" s="132"/>
      <c r="F12" s="133"/>
      <c r="G12" s="134" t="s">
        <v>305</v>
      </c>
      <c r="H12" s="135"/>
      <c r="I12" s="136">
        <f t="shared" si="7"/>
        <v>0</v>
      </c>
      <c r="J12" s="137" t="s">
        <v>305</v>
      </c>
      <c r="K12" s="138">
        <f t="shared" si="8"/>
        <v>0</v>
      </c>
      <c r="L12" s="133"/>
      <c r="M12" s="134" t="s">
        <v>305</v>
      </c>
      <c r="N12" s="139"/>
      <c r="O12" s="140"/>
      <c r="P12" s="134" t="s">
        <v>305</v>
      </c>
      <c r="Q12" s="139"/>
      <c r="R12" s="140"/>
      <c r="S12" s="134" t="s">
        <v>305</v>
      </c>
      <c r="T12" s="139"/>
      <c r="U12" s="133"/>
      <c r="V12" s="134" t="s">
        <v>305</v>
      </c>
      <c r="W12" s="135"/>
      <c r="X12" s="135"/>
      <c r="Y12" s="141"/>
      <c r="Z12" s="135"/>
      <c r="AA12" s="142"/>
      <c r="AB12" s="228"/>
      <c r="AC12" s="2"/>
      <c r="AD12" s="72" t="b">
        <v>0</v>
      </c>
      <c r="AE12" s="72" t="b">
        <v>0</v>
      </c>
      <c r="AF12" s="72" t="b">
        <v>0</v>
      </c>
      <c r="AG12" s="2"/>
      <c r="AH12" s="2" t="str">
        <f t="shared" si="9"/>
        <v/>
      </c>
    </row>
    <row r="13" spans="1:34" ht="21" customHeight="1">
      <c r="A13" s="143">
        <v>8</v>
      </c>
      <c r="B13" s="313" t="str">
        <f>IF(Roster!$J$24="English",(IF(E13&gt;0,(IF(F13&gt;H13,"won",(IF(F13=H13,"tied",(IF(F13&lt;H13,"lost","")))))),"")),(IF(E13&gt;0,(IF(F13&gt;H13,"ganado",(IF(F13=H13,"empatado",(IF(F13&lt;H13,"perdido","")))))),"")))</f>
        <v/>
      </c>
      <c r="C13" s="314"/>
      <c r="D13" s="131"/>
      <c r="E13" s="132"/>
      <c r="F13" s="133"/>
      <c r="G13" s="134" t="s">
        <v>305</v>
      </c>
      <c r="H13" s="135"/>
      <c r="I13" s="136">
        <f t="shared" si="7"/>
        <v>0</v>
      </c>
      <c r="J13" s="137" t="s">
        <v>305</v>
      </c>
      <c r="K13" s="138">
        <f t="shared" si="8"/>
        <v>0</v>
      </c>
      <c r="L13" s="133"/>
      <c r="M13" s="134" t="s">
        <v>305</v>
      </c>
      <c r="N13" s="139"/>
      <c r="O13" s="140"/>
      <c r="P13" s="134" t="s">
        <v>305</v>
      </c>
      <c r="Q13" s="139"/>
      <c r="R13" s="140"/>
      <c r="S13" s="134" t="s">
        <v>305</v>
      </c>
      <c r="T13" s="139"/>
      <c r="U13" s="133"/>
      <c r="V13" s="134" t="s">
        <v>305</v>
      </c>
      <c r="W13" s="135"/>
      <c r="X13" s="135"/>
      <c r="Y13" s="141"/>
      <c r="Z13" s="135"/>
      <c r="AA13" s="142"/>
      <c r="AB13" s="228"/>
      <c r="AC13" s="2"/>
      <c r="AD13" s="72" t="b">
        <v>0</v>
      </c>
      <c r="AE13" s="72" t="b">
        <v>0</v>
      </c>
      <c r="AF13" s="72" t="b">
        <v>0</v>
      </c>
      <c r="AG13" s="2"/>
      <c r="AH13" s="2" t="str">
        <f t="shared" si="9"/>
        <v/>
      </c>
    </row>
    <row r="14" spans="1:34" ht="21" customHeight="1">
      <c r="A14" s="130">
        <v>9</v>
      </c>
      <c r="B14" s="313" t="str">
        <f>IF(Roster!$J$24="English",(IF(E14&gt;0,(IF(F14&gt;H14,"won",(IF(F14=H14,"tied",(IF(F14&lt;H14,"lost","")))))),"")),(IF(E14&gt;0,(IF(F14&gt;H14,"ganado",(IF(F14=H14,"empatado",(IF(F14&lt;H14,"perdido","")))))),"")))</f>
        <v/>
      </c>
      <c r="C14" s="314"/>
      <c r="D14" s="131"/>
      <c r="E14" s="132"/>
      <c r="F14" s="133"/>
      <c r="G14" s="134" t="s">
        <v>305</v>
      </c>
      <c r="H14" s="135"/>
      <c r="I14" s="136">
        <f t="shared" si="7"/>
        <v>0</v>
      </c>
      <c r="J14" s="137" t="s">
        <v>305</v>
      </c>
      <c r="K14" s="138">
        <f t="shared" si="8"/>
        <v>0</v>
      </c>
      <c r="L14" s="133"/>
      <c r="M14" s="134" t="s">
        <v>305</v>
      </c>
      <c r="N14" s="139"/>
      <c r="O14" s="140"/>
      <c r="P14" s="134" t="s">
        <v>305</v>
      </c>
      <c r="Q14" s="139"/>
      <c r="R14" s="140"/>
      <c r="S14" s="134" t="s">
        <v>305</v>
      </c>
      <c r="T14" s="139"/>
      <c r="U14" s="133"/>
      <c r="V14" s="134" t="s">
        <v>305</v>
      </c>
      <c r="W14" s="135"/>
      <c r="X14" s="135"/>
      <c r="Y14" s="141"/>
      <c r="Z14" s="135"/>
      <c r="AA14" s="142"/>
      <c r="AB14" s="229"/>
      <c r="AC14" s="2"/>
      <c r="AD14" s="72" t="b">
        <v>0</v>
      </c>
      <c r="AE14" s="72" t="b">
        <v>0</v>
      </c>
      <c r="AF14" s="72" t="b">
        <v>0</v>
      </c>
      <c r="AG14" s="2"/>
      <c r="AH14" s="2" t="str">
        <f t="shared" si="9"/>
        <v/>
      </c>
    </row>
    <row r="15" spans="1:34" ht="21" customHeight="1">
      <c r="A15" s="130">
        <v>10</v>
      </c>
      <c r="B15" s="313" t="str">
        <f>IF(Roster!$J$24="English",(IF(E15&gt;0,(IF(F15&gt;H15,"won",(IF(F15=H15,"tied",(IF(F15&lt;H15,"lost","")))))),"")),(IF(E15&gt;0,(IF(F15&gt;H15,"ganado",(IF(F15=H15,"empatado",(IF(F15&lt;H15,"perdido","")))))),"")))</f>
        <v/>
      </c>
      <c r="C15" s="314"/>
      <c r="D15" s="131"/>
      <c r="E15" s="132"/>
      <c r="F15" s="133"/>
      <c r="G15" s="134" t="s">
        <v>305</v>
      </c>
      <c r="H15" s="135"/>
      <c r="I15" s="136">
        <f t="shared" si="7"/>
        <v>0</v>
      </c>
      <c r="J15" s="137" t="s">
        <v>305</v>
      </c>
      <c r="K15" s="138">
        <f t="shared" si="8"/>
        <v>0</v>
      </c>
      <c r="L15" s="133"/>
      <c r="M15" s="134" t="s">
        <v>305</v>
      </c>
      <c r="N15" s="139"/>
      <c r="O15" s="140"/>
      <c r="P15" s="134" t="s">
        <v>305</v>
      </c>
      <c r="Q15" s="139"/>
      <c r="R15" s="140"/>
      <c r="S15" s="134" t="s">
        <v>305</v>
      </c>
      <c r="T15" s="139"/>
      <c r="U15" s="133"/>
      <c r="V15" s="134" t="s">
        <v>305</v>
      </c>
      <c r="W15" s="135"/>
      <c r="X15" s="135"/>
      <c r="Y15" s="141"/>
      <c r="Z15" s="135"/>
      <c r="AA15" s="142"/>
      <c r="AB15" s="153"/>
      <c r="AC15" s="2"/>
      <c r="AD15" s="72" t="b">
        <v>0</v>
      </c>
      <c r="AE15" s="72" t="b">
        <v>0</v>
      </c>
      <c r="AF15" s="72" t="b">
        <v>0</v>
      </c>
      <c r="AG15" s="2"/>
      <c r="AH15" s="2" t="str">
        <f t="shared" si="9"/>
        <v/>
      </c>
    </row>
    <row r="16" spans="1:34" ht="21" customHeight="1">
      <c r="A16" s="143">
        <v>11</v>
      </c>
      <c r="B16" s="313" t="str">
        <f>IF(Roster!$J$24="English",(IF(E16&gt;0,(IF(F16&gt;H16,"won",(IF(F16=H16,"tied",(IF(F16&lt;H16,"lost","")))))),"")),(IF(E16&gt;0,(IF(F16&gt;H16,"ganado",(IF(F16=H16,"empatado",(IF(F16&lt;H16,"perdido","")))))),"")))</f>
        <v/>
      </c>
      <c r="C16" s="314"/>
      <c r="D16" s="131"/>
      <c r="E16" s="132"/>
      <c r="F16" s="133"/>
      <c r="G16" s="134" t="s">
        <v>305</v>
      </c>
      <c r="H16" s="135"/>
      <c r="I16" s="136">
        <f t="shared" si="7"/>
        <v>0</v>
      </c>
      <c r="J16" s="137" t="s">
        <v>305</v>
      </c>
      <c r="K16" s="138">
        <f t="shared" si="8"/>
        <v>0</v>
      </c>
      <c r="L16" s="133"/>
      <c r="M16" s="134" t="s">
        <v>305</v>
      </c>
      <c r="N16" s="139"/>
      <c r="O16" s="140"/>
      <c r="P16" s="134" t="s">
        <v>305</v>
      </c>
      <c r="Q16" s="139"/>
      <c r="R16" s="140"/>
      <c r="S16" s="134" t="s">
        <v>305</v>
      </c>
      <c r="T16" s="139"/>
      <c r="U16" s="133"/>
      <c r="V16" s="134" t="s">
        <v>305</v>
      </c>
      <c r="W16" s="135"/>
      <c r="X16" s="135"/>
      <c r="Y16" s="141"/>
      <c r="Z16" s="135"/>
      <c r="AA16" s="142"/>
      <c r="AB16" s="153"/>
      <c r="AC16" s="2"/>
      <c r="AD16" s="72" t="b">
        <v>0</v>
      </c>
      <c r="AE16" s="72" t="b">
        <v>0</v>
      </c>
      <c r="AF16" s="72" t="b">
        <v>0</v>
      </c>
      <c r="AG16" s="2"/>
      <c r="AH16" s="2" t="str">
        <f t="shared" si="9"/>
        <v/>
      </c>
    </row>
    <row r="17" spans="1:34" ht="21" customHeight="1">
      <c r="A17" s="130">
        <v>12</v>
      </c>
      <c r="B17" s="313" t="str">
        <f>IF(Roster!$J$24="English",(IF(E17&gt;0,(IF(F17&gt;H17,"won",(IF(F17=H17,"tied",(IF(F17&lt;H17,"lost","")))))),"")),(IF(E17&gt;0,(IF(F17&gt;H17,"ganado",(IF(F17=H17,"empatado",(IF(F17&lt;H17,"perdido","")))))),"")))</f>
        <v/>
      </c>
      <c r="C17" s="314"/>
      <c r="D17" s="131"/>
      <c r="E17" s="132"/>
      <c r="F17" s="133"/>
      <c r="G17" s="134" t="s">
        <v>305</v>
      </c>
      <c r="H17" s="135"/>
      <c r="I17" s="136">
        <f t="shared" si="7"/>
        <v>0</v>
      </c>
      <c r="J17" s="137" t="s">
        <v>305</v>
      </c>
      <c r="K17" s="138">
        <f t="shared" si="8"/>
        <v>0</v>
      </c>
      <c r="L17" s="133"/>
      <c r="M17" s="134" t="s">
        <v>305</v>
      </c>
      <c r="N17" s="139"/>
      <c r="O17" s="140"/>
      <c r="P17" s="134" t="s">
        <v>305</v>
      </c>
      <c r="Q17" s="139"/>
      <c r="R17" s="140"/>
      <c r="S17" s="134" t="s">
        <v>305</v>
      </c>
      <c r="T17" s="139"/>
      <c r="U17" s="133"/>
      <c r="V17" s="134" t="s">
        <v>305</v>
      </c>
      <c r="W17" s="135"/>
      <c r="X17" s="135"/>
      <c r="Y17" s="141"/>
      <c r="Z17" s="135"/>
      <c r="AA17" s="142"/>
      <c r="AB17" s="153"/>
      <c r="AC17" s="2"/>
      <c r="AD17" s="72" t="b">
        <v>0</v>
      </c>
      <c r="AE17" s="72" t="b">
        <v>0</v>
      </c>
      <c r="AF17" s="72" t="b">
        <v>0</v>
      </c>
      <c r="AG17" s="2"/>
      <c r="AH17" s="2" t="str">
        <f t="shared" si="9"/>
        <v/>
      </c>
    </row>
    <row r="18" spans="1:34" ht="21" customHeight="1">
      <c r="A18" s="130">
        <v>13</v>
      </c>
      <c r="B18" s="313" t="str">
        <f>IF(Roster!$J$24="English",(IF(E18&gt;0,(IF(F18&gt;H18,"won",(IF(F18=H18,"tied",(IF(F18&lt;H18,"lost","")))))),"")),(IF(E18&gt;0,(IF(F18&gt;H18,"ganado",(IF(F18=H18,"empatado",(IF(F18&lt;H18,"perdido","")))))),"")))</f>
        <v/>
      </c>
      <c r="C18" s="314"/>
      <c r="D18" s="154"/>
      <c r="E18" s="132"/>
      <c r="F18" s="155"/>
      <c r="G18" s="156" t="s">
        <v>305</v>
      </c>
      <c r="H18" s="157"/>
      <c r="I18" s="158">
        <f t="shared" si="7"/>
        <v>0</v>
      </c>
      <c r="J18" s="159" t="s">
        <v>305</v>
      </c>
      <c r="K18" s="160">
        <f t="shared" si="8"/>
        <v>0</v>
      </c>
      <c r="L18" s="155"/>
      <c r="M18" s="156" t="s">
        <v>305</v>
      </c>
      <c r="N18" s="9"/>
      <c r="O18" s="161"/>
      <c r="P18" s="156" t="s">
        <v>305</v>
      </c>
      <c r="Q18" s="9"/>
      <c r="R18" s="161"/>
      <c r="S18" s="156" t="s">
        <v>305</v>
      </c>
      <c r="T18" s="9"/>
      <c r="U18" s="155"/>
      <c r="V18" s="156" t="s">
        <v>305</v>
      </c>
      <c r="W18" s="157"/>
      <c r="X18" s="135"/>
      <c r="Y18" s="162"/>
      <c r="Z18" s="157"/>
      <c r="AA18" s="163"/>
      <c r="AB18" s="153"/>
      <c r="AC18" s="2"/>
      <c r="AD18" s="72" t="b">
        <v>0</v>
      </c>
      <c r="AE18" s="72" t="b">
        <v>0</v>
      </c>
      <c r="AF18" s="72" t="b">
        <v>0</v>
      </c>
      <c r="AG18" s="2"/>
      <c r="AH18" s="2" t="str">
        <f t="shared" si="9"/>
        <v/>
      </c>
    </row>
    <row r="19" spans="1:34" ht="21" customHeight="1">
      <c r="A19" s="143">
        <v>14</v>
      </c>
      <c r="B19" s="313" t="str">
        <f>IF(Roster!$J$24="English",(IF(E19&gt;0,(IF(F19&gt;H19,"won",(IF(F19=H19,"tied",(IF(F19&lt;H19,"lost","")))))),"")),(IF(E19&gt;0,(IF(F19&gt;H19,"ganado",(IF(F19=H19,"empatado",(IF(F19&lt;H19,"perdido","")))))),"")))</f>
        <v/>
      </c>
      <c r="C19" s="314"/>
      <c r="D19" s="131"/>
      <c r="E19" s="132"/>
      <c r="F19" s="133"/>
      <c r="G19" s="134" t="s">
        <v>305</v>
      </c>
      <c r="H19" s="135"/>
      <c r="I19" s="136">
        <f t="shared" si="7"/>
        <v>0</v>
      </c>
      <c r="J19" s="137" t="s">
        <v>305</v>
      </c>
      <c r="K19" s="138">
        <f t="shared" si="8"/>
        <v>0</v>
      </c>
      <c r="L19" s="133"/>
      <c r="M19" s="134" t="s">
        <v>305</v>
      </c>
      <c r="N19" s="139"/>
      <c r="O19" s="140"/>
      <c r="P19" s="134" t="s">
        <v>305</v>
      </c>
      <c r="Q19" s="139"/>
      <c r="R19" s="140"/>
      <c r="S19" s="134" t="s">
        <v>305</v>
      </c>
      <c r="T19" s="139"/>
      <c r="U19" s="133"/>
      <c r="V19" s="134" t="s">
        <v>305</v>
      </c>
      <c r="W19" s="135"/>
      <c r="X19" s="135"/>
      <c r="Y19" s="141"/>
      <c r="Z19" s="135"/>
      <c r="AA19" s="142"/>
      <c r="AB19" s="153"/>
      <c r="AC19" s="2"/>
      <c r="AD19" s="72" t="b">
        <v>0</v>
      </c>
      <c r="AE19" s="72" t="b">
        <v>0</v>
      </c>
      <c r="AF19" s="72" t="b">
        <v>0</v>
      </c>
      <c r="AG19" s="2"/>
      <c r="AH19" s="2" t="str">
        <f t="shared" si="9"/>
        <v/>
      </c>
    </row>
    <row r="20" spans="1:34" ht="21" customHeight="1">
      <c r="A20" s="130">
        <v>15</v>
      </c>
      <c r="B20" s="313" t="str">
        <f>IF(Roster!$J$24="English",(IF(E20&gt;0,(IF(F20&gt;H20,"won",(IF(F20=H20,"tied",(IF(F20&lt;H20,"lost","")))))),"")),(IF(E20&gt;0,(IF(F20&gt;H20,"ganado",(IF(F20=H20,"empatado",(IF(F20&lt;H20,"perdido","")))))),"")))</f>
        <v/>
      </c>
      <c r="C20" s="314"/>
      <c r="D20" s="144"/>
      <c r="E20" s="132"/>
      <c r="F20" s="145"/>
      <c r="G20" s="134" t="s">
        <v>305</v>
      </c>
      <c r="H20" s="147"/>
      <c r="I20" s="136">
        <f t="shared" si="7"/>
        <v>0</v>
      </c>
      <c r="J20" s="148" t="s">
        <v>305</v>
      </c>
      <c r="K20" s="138">
        <f t="shared" si="8"/>
        <v>0</v>
      </c>
      <c r="L20" s="145"/>
      <c r="M20" s="146" t="s">
        <v>305</v>
      </c>
      <c r="N20" s="149"/>
      <c r="O20" s="150"/>
      <c r="P20" s="146" t="s">
        <v>305</v>
      </c>
      <c r="Q20" s="149"/>
      <c r="R20" s="150"/>
      <c r="S20" s="146" t="s">
        <v>305</v>
      </c>
      <c r="T20" s="149"/>
      <c r="U20" s="145"/>
      <c r="V20" s="146" t="s">
        <v>305</v>
      </c>
      <c r="W20" s="147"/>
      <c r="X20" s="135"/>
      <c r="Y20" s="151"/>
      <c r="Z20" s="147"/>
      <c r="AA20" s="152"/>
      <c r="AB20" s="153"/>
      <c r="AC20" s="2"/>
      <c r="AD20" s="72" t="b">
        <v>0</v>
      </c>
      <c r="AE20" s="72" t="b">
        <v>0</v>
      </c>
      <c r="AF20" s="72" t="b">
        <v>0</v>
      </c>
      <c r="AG20" s="2"/>
      <c r="AH20" s="2" t="str">
        <f t="shared" si="9"/>
        <v/>
      </c>
    </row>
    <row r="21" spans="1:34" ht="21" customHeight="1">
      <c r="A21" s="130">
        <v>16</v>
      </c>
      <c r="B21" s="313" t="str">
        <f>IF(Roster!$J$24="English",(IF(E21&gt;0,(IF(F21&gt;H21,"won",(IF(F21=H21,"tied",(IF(F21&lt;H21,"lost","")))))),"")),(IF(E21&gt;0,(IF(F21&gt;H21,"ganado",(IF(F21=H21,"empatado",(IF(F21&lt;H21,"perdido","")))))),"")))</f>
        <v/>
      </c>
      <c r="C21" s="314"/>
      <c r="D21" s="131"/>
      <c r="E21" s="132"/>
      <c r="F21" s="133"/>
      <c r="G21" s="134" t="s">
        <v>305</v>
      </c>
      <c r="H21" s="135"/>
      <c r="I21" s="136">
        <f t="shared" si="7"/>
        <v>0</v>
      </c>
      <c r="J21" s="137" t="s">
        <v>305</v>
      </c>
      <c r="K21" s="138">
        <f t="shared" si="8"/>
        <v>0</v>
      </c>
      <c r="L21" s="133"/>
      <c r="M21" s="134" t="s">
        <v>305</v>
      </c>
      <c r="N21" s="139"/>
      <c r="O21" s="140"/>
      <c r="P21" s="134" t="s">
        <v>305</v>
      </c>
      <c r="Q21" s="139"/>
      <c r="R21" s="140"/>
      <c r="S21" s="134" t="s">
        <v>305</v>
      </c>
      <c r="T21" s="139"/>
      <c r="U21" s="133"/>
      <c r="V21" s="134" t="s">
        <v>305</v>
      </c>
      <c r="W21" s="135"/>
      <c r="X21" s="135"/>
      <c r="Y21" s="141"/>
      <c r="Z21" s="135"/>
      <c r="AA21" s="142"/>
      <c r="AB21" s="153"/>
      <c r="AC21" s="2"/>
      <c r="AD21" s="72" t="b">
        <v>0</v>
      </c>
      <c r="AE21" s="72" t="b">
        <v>0</v>
      </c>
      <c r="AF21" s="72" t="b">
        <v>0</v>
      </c>
      <c r="AG21" s="2"/>
      <c r="AH21" s="2" t="str">
        <f t="shared" si="9"/>
        <v/>
      </c>
    </row>
    <row r="22" spans="1:34" ht="21" customHeight="1">
      <c r="A22" s="143">
        <v>17</v>
      </c>
      <c r="B22" s="313" t="str">
        <f>IF(Roster!$J$24="English",(IF(E22&gt;0,(IF(F22&gt;H22,"won",(IF(F22=H22,"tied",(IF(F22&lt;H22,"lost","")))))),"")),(IF(E22&gt;0,(IF(F22&gt;H22,"ganado",(IF(F22=H22,"empatado",(IF(F22&lt;H22,"perdido","")))))),"")))</f>
        <v/>
      </c>
      <c r="C22" s="314"/>
      <c r="D22" s="131"/>
      <c r="E22" s="132"/>
      <c r="F22" s="133"/>
      <c r="G22" s="134" t="s">
        <v>305</v>
      </c>
      <c r="H22" s="135"/>
      <c r="I22" s="136">
        <f t="shared" si="7"/>
        <v>0</v>
      </c>
      <c r="J22" s="137" t="s">
        <v>305</v>
      </c>
      <c r="K22" s="138">
        <f t="shared" si="8"/>
        <v>0</v>
      </c>
      <c r="L22" s="133"/>
      <c r="M22" s="134" t="s">
        <v>305</v>
      </c>
      <c r="N22" s="139"/>
      <c r="O22" s="140"/>
      <c r="P22" s="134" t="s">
        <v>305</v>
      </c>
      <c r="Q22" s="139"/>
      <c r="R22" s="140"/>
      <c r="S22" s="134" t="s">
        <v>305</v>
      </c>
      <c r="T22" s="139"/>
      <c r="U22" s="133"/>
      <c r="V22" s="134" t="s">
        <v>305</v>
      </c>
      <c r="W22" s="135"/>
      <c r="X22" s="135"/>
      <c r="Y22" s="141"/>
      <c r="Z22" s="135"/>
      <c r="AA22" s="142"/>
      <c r="AB22" s="153"/>
      <c r="AC22" s="2"/>
      <c r="AD22" s="72" t="b">
        <v>0</v>
      </c>
      <c r="AE22" s="72" t="b">
        <v>0</v>
      </c>
      <c r="AF22" s="72" t="b">
        <v>0</v>
      </c>
      <c r="AG22" s="2"/>
      <c r="AH22" s="2" t="str">
        <f t="shared" si="9"/>
        <v/>
      </c>
    </row>
    <row r="23" spans="1:34" ht="21" customHeight="1">
      <c r="A23" s="130">
        <v>18</v>
      </c>
      <c r="B23" s="313" t="str">
        <f>IF(Roster!$J$24="English",(IF(E23&gt;0,(IF(F23&gt;H23,"won",(IF(F23=H23,"tied",(IF(F23&lt;H23,"lost","")))))),"")),(IF(E23&gt;0,(IF(F23&gt;H23,"ganado",(IF(F23=H23,"empatado",(IF(F23&lt;H23,"perdido","")))))),"")))</f>
        <v/>
      </c>
      <c r="C23" s="314"/>
      <c r="D23" s="131"/>
      <c r="E23" s="132"/>
      <c r="F23" s="133"/>
      <c r="G23" s="134" t="s">
        <v>305</v>
      </c>
      <c r="H23" s="135"/>
      <c r="I23" s="136">
        <f t="shared" si="7"/>
        <v>0</v>
      </c>
      <c r="J23" s="137" t="s">
        <v>305</v>
      </c>
      <c r="K23" s="138">
        <f t="shared" si="8"/>
        <v>0</v>
      </c>
      <c r="L23" s="133"/>
      <c r="M23" s="134" t="s">
        <v>305</v>
      </c>
      <c r="N23" s="139"/>
      <c r="O23" s="140"/>
      <c r="P23" s="134" t="s">
        <v>305</v>
      </c>
      <c r="Q23" s="139"/>
      <c r="R23" s="140"/>
      <c r="S23" s="134" t="s">
        <v>305</v>
      </c>
      <c r="T23" s="139"/>
      <c r="U23" s="133"/>
      <c r="V23" s="134" t="s">
        <v>305</v>
      </c>
      <c r="W23" s="135"/>
      <c r="X23" s="135"/>
      <c r="Y23" s="141"/>
      <c r="Z23" s="135"/>
      <c r="AA23" s="142"/>
      <c r="AB23" s="153"/>
      <c r="AC23" s="2"/>
      <c r="AD23" s="72" t="b">
        <v>0</v>
      </c>
      <c r="AE23" s="72" t="b">
        <v>0</v>
      </c>
      <c r="AF23" s="72" t="b">
        <v>0</v>
      </c>
      <c r="AG23" s="2"/>
      <c r="AH23" s="2" t="str">
        <f t="shared" si="9"/>
        <v/>
      </c>
    </row>
    <row r="24" spans="1:34" ht="21" customHeight="1">
      <c r="A24" s="130">
        <v>19</v>
      </c>
      <c r="B24" s="313" t="str">
        <f>IF(Roster!$J$24="English",(IF(E24&gt;0,(IF(F24&gt;H24,"won",(IF(F24=H24,"tied",(IF(F24&lt;H24,"lost","")))))),"")),(IF(E24&gt;0,(IF(F24&gt;H24,"ganado",(IF(F24=H24,"empatado",(IF(F24&lt;H24,"perdido","")))))),"")))</f>
        <v/>
      </c>
      <c r="C24" s="314"/>
      <c r="D24" s="131"/>
      <c r="E24" s="132"/>
      <c r="F24" s="133"/>
      <c r="G24" s="134" t="s">
        <v>305</v>
      </c>
      <c r="H24" s="135"/>
      <c r="I24" s="136">
        <f t="shared" si="7"/>
        <v>0</v>
      </c>
      <c r="J24" s="137" t="s">
        <v>305</v>
      </c>
      <c r="K24" s="138">
        <f t="shared" si="8"/>
        <v>0</v>
      </c>
      <c r="L24" s="133"/>
      <c r="M24" s="134" t="s">
        <v>305</v>
      </c>
      <c r="N24" s="139"/>
      <c r="O24" s="140"/>
      <c r="P24" s="134" t="s">
        <v>305</v>
      </c>
      <c r="Q24" s="139"/>
      <c r="R24" s="140"/>
      <c r="S24" s="134" t="s">
        <v>305</v>
      </c>
      <c r="T24" s="139"/>
      <c r="U24" s="133"/>
      <c r="V24" s="134" t="s">
        <v>305</v>
      </c>
      <c r="W24" s="135"/>
      <c r="X24" s="135"/>
      <c r="Y24" s="141"/>
      <c r="Z24" s="135"/>
      <c r="AA24" s="142"/>
      <c r="AB24" s="153"/>
      <c r="AC24" s="2"/>
      <c r="AD24" s="72" t="b">
        <v>0</v>
      </c>
      <c r="AE24" s="72" t="b">
        <v>0</v>
      </c>
      <c r="AF24" s="72" t="b">
        <v>0</v>
      </c>
      <c r="AG24" s="2"/>
      <c r="AH24" s="2" t="str">
        <f t="shared" si="9"/>
        <v/>
      </c>
    </row>
    <row r="25" spans="1:34" ht="21" customHeight="1">
      <c r="A25" s="143">
        <v>20</v>
      </c>
      <c r="B25" s="313" t="str">
        <f>IF(Roster!$J$24="English",(IF(E25&gt;0,(IF(F25&gt;H25,"won",(IF(F25=H25,"tied",(IF(F25&lt;H25,"lost","")))))),"")),(IF(E25&gt;0,(IF(F25&gt;H25,"ganado",(IF(F25=H25,"empatado",(IF(F25&lt;H25,"perdido","")))))),"")))</f>
        <v/>
      </c>
      <c r="C25" s="314"/>
      <c r="D25" s="131"/>
      <c r="E25" s="132"/>
      <c r="F25" s="133"/>
      <c r="G25" s="134" t="s">
        <v>305</v>
      </c>
      <c r="H25" s="135"/>
      <c r="I25" s="136">
        <f t="shared" si="7"/>
        <v>0</v>
      </c>
      <c r="J25" s="137" t="s">
        <v>305</v>
      </c>
      <c r="K25" s="138">
        <f t="shared" si="8"/>
        <v>0</v>
      </c>
      <c r="L25" s="133"/>
      <c r="M25" s="134" t="s">
        <v>305</v>
      </c>
      <c r="N25" s="139"/>
      <c r="O25" s="140"/>
      <c r="P25" s="134" t="s">
        <v>305</v>
      </c>
      <c r="Q25" s="139"/>
      <c r="R25" s="140"/>
      <c r="S25" s="134" t="s">
        <v>305</v>
      </c>
      <c r="T25" s="139"/>
      <c r="U25" s="133"/>
      <c r="V25" s="134" t="s">
        <v>305</v>
      </c>
      <c r="W25" s="135"/>
      <c r="X25" s="135"/>
      <c r="Y25" s="141"/>
      <c r="Z25" s="135"/>
      <c r="AA25" s="142"/>
      <c r="AB25" s="153"/>
      <c r="AC25" s="2"/>
      <c r="AD25" s="72" t="b">
        <v>0</v>
      </c>
      <c r="AE25" s="72" t="b">
        <v>0</v>
      </c>
      <c r="AF25" s="72" t="b">
        <v>0</v>
      </c>
      <c r="AG25" s="2"/>
      <c r="AH25" s="2" t="str">
        <f t="shared" si="9"/>
        <v/>
      </c>
    </row>
    <row r="26" spans="1:34" ht="21" customHeight="1">
      <c r="A26" s="130">
        <v>21</v>
      </c>
      <c r="B26" s="313" t="str">
        <f>IF(Roster!$J$24="English",(IF(E26&gt;0,(IF(F26&gt;H26,"won",(IF(F26=H26,"tied",(IF(F26&lt;H26,"lost","")))))),"")),(IF(E26&gt;0,(IF(F26&gt;H26,"ganado",(IF(F26=H26,"empatado",(IF(F26&lt;H26,"perdido","")))))),"")))</f>
        <v/>
      </c>
      <c r="C26" s="314"/>
      <c r="D26" s="131"/>
      <c r="E26" s="132"/>
      <c r="F26" s="133"/>
      <c r="G26" s="134" t="s">
        <v>305</v>
      </c>
      <c r="H26" s="135"/>
      <c r="I26" s="136">
        <f t="shared" si="7"/>
        <v>0</v>
      </c>
      <c r="J26" s="137" t="s">
        <v>305</v>
      </c>
      <c r="K26" s="138">
        <f t="shared" si="8"/>
        <v>0</v>
      </c>
      <c r="L26" s="133"/>
      <c r="M26" s="134" t="s">
        <v>305</v>
      </c>
      <c r="N26" s="139"/>
      <c r="O26" s="140"/>
      <c r="P26" s="134" t="s">
        <v>305</v>
      </c>
      <c r="Q26" s="139"/>
      <c r="R26" s="140"/>
      <c r="S26" s="134" t="s">
        <v>305</v>
      </c>
      <c r="T26" s="139"/>
      <c r="U26" s="133"/>
      <c r="V26" s="134" t="s">
        <v>305</v>
      </c>
      <c r="W26" s="135"/>
      <c r="X26" s="135"/>
      <c r="Y26" s="141"/>
      <c r="Z26" s="135"/>
      <c r="AA26" s="142"/>
      <c r="AB26" s="153"/>
      <c r="AC26" s="2"/>
      <c r="AD26" s="72" t="b">
        <v>0</v>
      </c>
      <c r="AE26" s="72" t="b">
        <v>0</v>
      </c>
      <c r="AF26" s="72" t="b">
        <v>0</v>
      </c>
      <c r="AG26" s="2"/>
      <c r="AH26" s="2" t="str">
        <f t="shared" si="9"/>
        <v/>
      </c>
    </row>
    <row r="27" spans="1:34" ht="21" customHeight="1">
      <c r="A27" s="130">
        <v>22</v>
      </c>
      <c r="B27" s="313" t="str">
        <f>IF(Roster!$J$24="English",(IF(E27&gt;0,(IF(F27&gt;H27,"won",(IF(F27=H27,"tied",(IF(F27&lt;H27,"lost","")))))),"")),(IF(E27&gt;0,(IF(F27&gt;H27,"ganado",(IF(F27=H27,"empatado",(IF(F27&lt;H27,"perdido","")))))),"")))</f>
        <v/>
      </c>
      <c r="C27" s="314"/>
      <c r="D27" s="131"/>
      <c r="E27" s="132"/>
      <c r="F27" s="133"/>
      <c r="G27" s="134" t="s">
        <v>305</v>
      </c>
      <c r="H27" s="135"/>
      <c r="I27" s="136">
        <f t="shared" si="7"/>
        <v>0</v>
      </c>
      <c r="J27" s="137" t="s">
        <v>305</v>
      </c>
      <c r="K27" s="138">
        <f t="shared" si="8"/>
        <v>0</v>
      </c>
      <c r="L27" s="133"/>
      <c r="M27" s="134" t="s">
        <v>305</v>
      </c>
      <c r="N27" s="139"/>
      <c r="O27" s="140"/>
      <c r="P27" s="134" t="s">
        <v>305</v>
      </c>
      <c r="Q27" s="139"/>
      <c r="R27" s="140"/>
      <c r="S27" s="134" t="s">
        <v>305</v>
      </c>
      <c r="T27" s="139"/>
      <c r="U27" s="133"/>
      <c r="V27" s="134" t="s">
        <v>305</v>
      </c>
      <c r="W27" s="135"/>
      <c r="X27" s="135"/>
      <c r="Y27" s="141"/>
      <c r="Z27" s="135"/>
      <c r="AA27" s="142"/>
      <c r="AB27" s="153"/>
      <c r="AC27" s="2"/>
      <c r="AD27" s="72" t="b">
        <v>0</v>
      </c>
      <c r="AE27" s="72" t="b">
        <v>0</v>
      </c>
      <c r="AF27" s="72" t="b">
        <v>0</v>
      </c>
      <c r="AG27" s="2"/>
      <c r="AH27" s="2" t="str">
        <f t="shared" si="9"/>
        <v/>
      </c>
    </row>
    <row r="28" spans="1:34" ht="21" customHeight="1">
      <c r="A28" s="143">
        <v>23</v>
      </c>
      <c r="B28" s="313" t="str">
        <f>IF(Roster!$J$24="English",(IF(E28&gt;0,(IF(F28&gt;H28,"won",(IF(F28=H28,"tied",(IF(F28&lt;H28,"lost","")))))),"")),(IF(E28&gt;0,(IF(F28&gt;H28,"ganado",(IF(F28=H28,"empatado",(IF(F28&lt;H28,"perdido","")))))),"")))</f>
        <v/>
      </c>
      <c r="C28" s="314"/>
      <c r="D28" s="131"/>
      <c r="E28" s="132"/>
      <c r="F28" s="133"/>
      <c r="G28" s="134" t="s">
        <v>305</v>
      </c>
      <c r="H28" s="135"/>
      <c r="I28" s="136">
        <f t="shared" si="7"/>
        <v>0</v>
      </c>
      <c r="J28" s="137" t="s">
        <v>305</v>
      </c>
      <c r="K28" s="138">
        <f t="shared" si="8"/>
        <v>0</v>
      </c>
      <c r="L28" s="133"/>
      <c r="M28" s="134" t="s">
        <v>305</v>
      </c>
      <c r="N28" s="139"/>
      <c r="O28" s="140"/>
      <c r="P28" s="134" t="s">
        <v>305</v>
      </c>
      <c r="Q28" s="139"/>
      <c r="R28" s="140"/>
      <c r="S28" s="134" t="s">
        <v>305</v>
      </c>
      <c r="T28" s="139"/>
      <c r="U28" s="133"/>
      <c r="V28" s="134" t="s">
        <v>305</v>
      </c>
      <c r="W28" s="135"/>
      <c r="X28" s="135"/>
      <c r="Y28" s="141"/>
      <c r="Z28" s="135"/>
      <c r="AA28" s="142"/>
      <c r="AB28" s="153"/>
      <c r="AC28" s="2"/>
      <c r="AD28" s="72" t="b">
        <v>0</v>
      </c>
      <c r="AE28" s="72" t="b">
        <v>0</v>
      </c>
      <c r="AF28" s="72" t="b">
        <v>0</v>
      </c>
      <c r="AG28" s="2"/>
      <c r="AH28" s="2" t="str">
        <f t="shared" si="9"/>
        <v/>
      </c>
    </row>
    <row r="29" spans="1:34" ht="21" customHeight="1">
      <c r="A29" s="130">
        <v>24</v>
      </c>
      <c r="B29" s="313" t="str">
        <f>IF(Roster!$J$24="English",(IF(E29&gt;0,(IF(F29&gt;H29,"won",(IF(F29=H29,"tied",(IF(F29&lt;H29,"lost","")))))),"")),(IF(E29&gt;0,(IF(F29&gt;H29,"ganado",(IF(F29=H29,"empatado",(IF(F29&lt;H29,"perdido","")))))),"")))</f>
        <v/>
      </c>
      <c r="C29" s="314"/>
      <c r="D29" s="131"/>
      <c r="E29" s="132"/>
      <c r="F29" s="133"/>
      <c r="G29" s="134" t="s">
        <v>305</v>
      </c>
      <c r="H29" s="135"/>
      <c r="I29" s="136">
        <f t="shared" si="7"/>
        <v>0</v>
      </c>
      <c r="J29" s="137" t="s">
        <v>305</v>
      </c>
      <c r="K29" s="138">
        <f t="shared" si="8"/>
        <v>0</v>
      </c>
      <c r="L29" s="133"/>
      <c r="M29" s="134" t="s">
        <v>305</v>
      </c>
      <c r="N29" s="139"/>
      <c r="O29" s="140"/>
      <c r="P29" s="134" t="s">
        <v>305</v>
      </c>
      <c r="Q29" s="139"/>
      <c r="R29" s="140"/>
      <c r="S29" s="134" t="s">
        <v>305</v>
      </c>
      <c r="T29" s="139"/>
      <c r="U29" s="133"/>
      <c r="V29" s="134" t="s">
        <v>305</v>
      </c>
      <c r="W29" s="135"/>
      <c r="X29" s="135"/>
      <c r="Y29" s="141"/>
      <c r="Z29" s="135"/>
      <c r="AA29" s="142"/>
      <c r="AB29" s="153"/>
      <c r="AC29" s="2"/>
      <c r="AD29" s="72" t="b">
        <v>0</v>
      </c>
      <c r="AE29" s="72" t="b">
        <v>0</v>
      </c>
      <c r="AF29" s="72" t="b">
        <v>0</v>
      </c>
      <c r="AG29" s="2"/>
      <c r="AH29" s="2" t="str">
        <f t="shared" si="9"/>
        <v/>
      </c>
    </row>
    <row r="30" spans="1:34" ht="21" customHeight="1">
      <c r="A30" s="130">
        <v>25</v>
      </c>
      <c r="B30" s="313" t="str">
        <f>IF(Roster!$J$24="English",(IF(E30&gt;0,(IF(F30&gt;H30,"won",(IF(F30=H30,"tied",(IF(F30&lt;H30,"lost","")))))),"")),(IF(E30&gt;0,(IF(F30&gt;H30,"ganado",(IF(F30=H30,"empatado",(IF(F30&lt;H30,"perdido","")))))),"")))</f>
        <v/>
      </c>
      <c r="C30" s="314"/>
      <c r="D30" s="131"/>
      <c r="E30" s="132"/>
      <c r="F30" s="133"/>
      <c r="G30" s="134" t="s">
        <v>305</v>
      </c>
      <c r="H30" s="135"/>
      <c r="I30" s="136">
        <f t="shared" si="7"/>
        <v>0</v>
      </c>
      <c r="J30" s="137" t="s">
        <v>305</v>
      </c>
      <c r="K30" s="138">
        <f t="shared" si="8"/>
        <v>0</v>
      </c>
      <c r="L30" s="133"/>
      <c r="M30" s="134" t="s">
        <v>305</v>
      </c>
      <c r="N30" s="139"/>
      <c r="O30" s="140"/>
      <c r="P30" s="134" t="s">
        <v>305</v>
      </c>
      <c r="Q30" s="139"/>
      <c r="R30" s="140"/>
      <c r="S30" s="134" t="s">
        <v>305</v>
      </c>
      <c r="T30" s="139"/>
      <c r="U30" s="133"/>
      <c r="V30" s="134" t="s">
        <v>305</v>
      </c>
      <c r="W30" s="135"/>
      <c r="X30" s="135"/>
      <c r="Y30" s="141"/>
      <c r="Z30" s="135"/>
      <c r="AA30" s="142"/>
      <c r="AB30" s="153"/>
      <c r="AC30" s="2"/>
      <c r="AD30" s="72" t="b">
        <v>0</v>
      </c>
      <c r="AE30" s="72" t="b">
        <v>0</v>
      </c>
      <c r="AF30" s="72" t="b">
        <v>0</v>
      </c>
      <c r="AG30" s="2"/>
      <c r="AH30" s="2" t="str">
        <f t="shared" si="9"/>
        <v/>
      </c>
    </row>
    <row r="31" spans="1:34" ht="21" customHeight="1">
      <c r="A31" s="143">
        <v>26</v>
      </c>
      <c r="B31" s="313" t="str">
        <f>IF(Roster!$J$24="English",(IF(E31&gt;0,(IF(F31&gt;H31,"won",(IF(F31=H31,"tied",(IF(F31&lt;H31,"lost","")))))),"")),(IF(E31&gt;0,(IF(F31&gt;H31,"ganado",(IF(F31=H31,"empatado",(IF(F31&lt;H31,"perdido","")))))),"")))</f>
        <v/>
      </c>
      <c r="C31" s="314"/>
      <c r="D31" s="154"/>
      <c r="E31" s="132"/>
      <c r="F31" s="155"/>
      <c r="G31" s="156" t="s">
        <v>305</v>
      </c>
      <c r="H31" s="157"/>
      <c r="I31" s="158">
        <f t="shared" si="7"/>
        <v>0</v>
      </c>
      <c r="J31" s="159" t="s">
        <v>305</v>
      </c>
      <c r="K31" s="160">
        <f t="shared" si="8"/>
        <v>0</v>
      </c>
      <c r="L31" s="155"/>
      <c r="M31" s="156" t="s">
        <v>305</v>
      </c>
      <c r="N31" s="9"/>
      <c r="O31" s="161"/>
      <c r="P31" s="156" t="s">
        <v>305</v>
      </c>
      <c r="Q31" s="9"/>
      <c r="R31" s="161"/>
      <c r="S31" s="156" t="s">
        <v>305</v>
      </c>
      <c r="T31" s="9"/>
      <c r="U31" s="155"/>
      <c r="V31" s="156" t="s">
        <v>305</v>
      </c>
      <c r="W31" s="157"/>
      <c r="X31" s="135"/>
      <c r="Y31" s="162"/>
      <c r="Z31" s="157"/>
      <c r="AA31" s="163"/>
      <c r="AB31" s="153"/>
      <c r="AC31" s="2"/>
      <c r="AD31" s="72" t="b">
        <v>0</v>
      </c>
      <c r="AE31" s="72" t="b">
        <v>0</v>
      </c>
      <c r="AF31" s="72" t="b">
        <v>0</v>
      </c>
      <c r="AG31" s="2"/>
      <c r="AH31" s="2" t="str">
        <f t="shared" si="9"/>
        <v/>
      </c>
    </row>
    <row r="32" spans="1:34" ht="21" customHeight="1">
      <c r="A32" s="130">
        <v>27</v>
      </c>
      <c r="B32" s="313" t="str">
        <f>IF(Roster!$J$24="English",(IF(E32&gt;0,(IF(F32&gt;H32,"won",(IF(F32=H32,"tied",(IF(F32&lt;H32,"lost","")))))),"")),(IF(E32&gt;0,(IF(F32&gt;H32,"ganado",(IF(F32=H32,"empatado",(IF(F32&lt;H32,"perdido","")))))),"")))</f>
        <v/>
      </c>
      <c r="C32" s="314"/>
      <c r="D32" s="131"/>
      <c r="E32" s="132"/>
      <c r="F32" s="133"/>
      <c r="G32" s="134" t="s">
        <v>305</v>
      </c>
      <c r="H32" s="135"/>
      <c r="I32" s="136">
        <f t="shared" si="7"/>
        <v>0</v>
      </c>
      <c r="J32" s="137" t="s">
        <v>305</v>
      </c>
      <c r="K32" s="138">
        <f t="shared" si="8"/>
        <v>0</v>
      </c>
      <c r="L32" s="133"/>
      <c r="M32" s="134" t="s">
        <v>305</v>
      </c>
      <c r="N32" s="139"/>
      <c r="O32" s="140"/>
      <c r="P32" s="134" t="s">
        <v>305</v>
      </c>
      <c r="Q32" s="139"/>
      <c r="R32" s="140"/>
      <c r="S32" s="134" t="s">
        <v>305</v>
      </c>
      <c r="T32" s="139"/>
      <c r="U32" s="133"/>
      <c r="V32" s="134" t="s">
        <v>305</v>
      </c>
      <c r="W32" s="135"/>
      <c r="X32" s="135"/>
      <c r="Y32" s="141"/>
      <c r="Z32" s="135"/>
      <c r="AA32" s="142"/>
      <c r="AB32" s="153"/>
      <c r="AC32" s="2"/>
      <c r="AD32" s="72" t="b">
        <v>0</v>
      </c>
      <c r="AE32" s="72" t="b">
        <v>0</v>
      </c>
      <c r="AF32" s="72" t="b">
        <v>0</v>
      </c>
      <c r="AG32" s="2"/>
      <c r="AH32" s="2" t="str">
        <f t="shared" si="9"/>
        <v/>
      </c>
    </row>
    <row r="33" spans="1:34" ht="21" customHeight="1">
      <c r="A33" s="130">
        <v>28</v>
      </c>
      <c r="B33" s="313" t="str">
        <f>IF(Roster!$J$24="English",(IF(E33&gt;0,(IF(F33&gt;H33,"won",(IF(F33=H33,"tied",(IF(F33&lt;H33,"lost","")))))),"")),(IF(E33&gt;0,(IF(F33&gt;H33,"ganado",(IF(F33=H33,"empatado",(IF(F33&lt;H33,"perdido","")))))),"")))</f>
        <v/>
      </c>
      <c r="C33" s="314"/>
      <c r="D33" s="144"/>
      <c r="E33" s="132"/>
      <c r="F33" s="145"/>
      <c r="G33" s="134" t="s">
        <v>305</v>
      </c>
      <c r="H33" s="147"/>
      <c r="I33" s="136">
        <f t="shared" si="7"/>
        <v>0</v>
      </c>
      <c r="J33" s="148" t="s">
        <v>305</v>
      </c>
      <c r="K33" s="138">
        <f t="shared" si="8"/>
        <v>0</v>
      </c>
      <c r="L33" s="145"/>
      <c r="M33" s="146" t="s">
        <v>305</v>
      </c>
      <c r="N33" s="149"/>
      <c r="O33" s="150"/>
      <c r="P33" s="146" t="s">
        <v>305</v>
      </c>
      <c r="Q33" s="149"/>
      <c r="R33" s="150"/>
      <c r="S33" s="146" t="s">
        <v>305</v>
      </c>
      <c r="T33" s="149"/>
      <c r="U33" s="145"/>
      <c r="V33" s="146" t="s">
        <v>305</v>
      </c>
      <c r="W33" s="147"/>
      <c r="X33" s="135"/>
      <c r="Y33" s="151"/>
      <c r="Z33" s="147"/>
      <c r="AA33" s="152"/>
      <c r="AB33" s="153"/>
      <c r="AC33" s="2"/>
      <c r="AD33" s="72" t="b">
        <v>0</v>
      </c>
      <c r="AE33" s="72" t="b">
        <v>0</v>
      </c>
      <c r="AF33" s="72" t="b">
        <v>0</v>
      </c>
      <c r="AG33" s="2"/>
      <c r="AH33" s="2" t="str">
        <f t="shared" si="9"/>
        <v/>
      </c>
    </row>
    <row r="34" spans="1:34" ht="21" customHeight="1">
      <c r="A34" s="143">
        <v>29</v>
      </c>
      <c r="B34" s="313" t="str">
        <f>IF(Roster!$J$24="English",(IF(E34&gt;0,(IF(F34&gt;H34,"won",(IF(F34=H34,"tied",(IF(F34&lt;H34,"lost","")))))),"")),(IF(E34&gt;0,(IF(F34&gt;H34,"ganado",(IF(F34=H34,"empatado",(IF(F34&lt;H34,"perdido","")))))),"")))</f>
        <v/>
      </c>
      <c r="C34" s="314"/>
      <c r="D34" s="131"/>
      <c r="E34" s="132"/>
      <c r="F34" s="133"/>
      <c r="G34" s="134" t="s">
        <v>305</v>
      </c>
      <c r="H34" s="135"/>
      <c r="I34" s="136">
        <f t="shared" si="7"/>
        <v>0</v>
      </c>
      <c r="J34" s="137" t="s">
        <v>305</v>
      </c>
      <c r="K34" s="138">
        <f t="shared" si="8"/>
        <v>0</v>
      </c>
      <c r="L34" s="133"/>
      <c r="M34" s="134" t="s">
        <v>305</v>
      </c>
      <c r="N34" s="139"/>
      <c r="O34" s="140"/>
      <c r="P34" s="134" t="s">
        <v>305</v>
      </c>
      <c r="Q34" s="139"/>
      <c r="R34" s="140"/>
      <c r="S34" s="134" t="s">
        <v>305</v>
      </c>
      <c r="T34" s="139"/>
      <c r="U34" s="133"/>
      <c r="V34" s="134" t="s">
        <v>305</v>
      </c>
      <c r="W34" s="135"/>
      <c r="X34" s="135"/>
      <c r="Y34" s="141"/>
      <c r="Z34" s="135"/>
      <c r="AA34" s="142"/>
      <c r="AB34" s="153"/>
      <c r="AC34" s="2"/>
      <c r="AD34" s="72" t="b">
        <v>0</v>
      </c>
      <c r="AE34" s="72" t="b">
        <v>0</v>
      </c>
      <c r="AF34" s="72" t="b">
        <v>0</v>
      </c>
      <c r="AG34" s="2"/>
      <c r="AH34" s="2" t="str">
        <f t="shared" si="9"/>
        <v/>
      </c>
    </row>
    <row r="35" spans="1:34" ht="21" customHeight="1">
      <c r="A35" s="130">
        <v>30</v>
      </c>
      <c r="B35" s="313" t="str">
        <f>IF(Roster!$J$24="English",(IF(E35&gt;0,(IF(F35&gt;H35,"won",(IF(F35=H35,"tied",(IF(F35&lt;H35,"lost","")))))),"")),(IF(E35&gt;0,(IF(F35&gt;H35,"ganado",(IF(F35=H35,"empatado",(IF(F35&lt;H35,"perdido","")))))),"")))</f>
        <v/>
      </c>
      <c r="C35" s="314"/>
      <c r="D35" s="131"/>
      <c r="E35" s="132"/>
      <c r="F35" s="133"/>
      <c r="G35" s="134" t="s">
        <v>305</v>
      </c>
      <c r="H35" s="135"/>
      <c r="I35" s="136">
        <f t="shared" si="7"/>
        <v>0</v>
      </c>
      <c r="J35" s="137" t="s">
        <v>305</v>
      </c>
      <c r="K35" s="138">
        <f t="shared" si="8"/>
        <v>0</v>
      </c>
      <c r="L35" s="133"/>
      <c r="M35" s="134" t="s">
        <v>305</v>
      </c>
      <c r="N35" s="139"/>
      <c r="O35" s="140"/>
      <c r="P35" s="134" t="s">
        <v>305</v>
      </c>
      <c r="Q35" s="139"/>
      <c r="R35" s="140"/>
      <c r="S35" s="134" t="s">
        <v>305</v>
      </c>
      <c r="T35" s="139"/>
      <c r="U35" s="133"/>
      <c r="V35" s="134" t="s">
        <v>305</v>
      </c>
      <c r="W35" s="135"/>
      <c r="X35" s="135"/>
      <c r="Y35" s="141"/>
      <c r="Z35" s="135"/>
      <c r="AA35" s="142"/>
      <c r="AB35" s="153"/>
      <c r="AC35" s="2"/>
      <c r="AD35" s="72" t="b">
        <v>0</v>
      </c>
      <c r="AE35" s="72" t="b">
        <v>0</v>
      </c>
      <c r="AF35" s="72" t="b">
        <v>0</v>
      </c>
      <c r="AG35" s="2"/>
      <c r="AH35" s="2" t="str">
        <f t="shared" si="9"/>
        <v/>
      </c>
    </row>
    <row r="36" spans="1:34" ht="21" customHeight="1">
      <c r="A36" s="130">
        <v>31</v>
      </c>
      <c r="B36" s="313" t="str">
        <f>IF(Roster!$J$24="English",(IF(E36&gt;0,(IF(F36&gt;H36,"won",(IF(F36=H36,"tied",(IF(F36&lt;H36,"lost","")))))),"")),(IF(E36&gt;0,(IF(F36&gt;H36,"ganado",(IF(F36=H36,"empatado",(IF(F36&lt;H36,"perdido","")))))),"")))</f>
        <v/>
      </c>
      <c r="C36" s="314"/>
      <c r="D36" s="131"/>
      <c r="E36" s="132"/>
      <c r="F36" s="133"/>
      <c r="G36" s="134" t="s">
        <v>305</v>
      </c>
      <c r="H36" s="135"/>
      <c r="I36" s="136">
        <f t="shared" si="7"/>
        <v>0</v>
      </c>
      <c r="J36" s="137" t="s">
        <v>305</v>
      </c>
      <c r="K36" s="138">
        <f t="shared" si="8"/>
        <v>0</v>
      </c>
      <c r="L36" s="133"/>
      <c r="M36" s="134" t="s">
        <v>305</v>
      </c>
      <c r="N36" s="139"/>
      <c r="O36" s="140"/>
      <c r="P36" s="134" t="s">
        <v>305</v>
      </c>
      <c r="Q36" s="139"/>
      <c r="R36" s="140"/>
      <c r="S36" s="134" t="s">
        <v>305</v>
      </c>
      <c r="T36" s="139"/>
      <c r="U36" s="133"/>
      <c r="V36" s="134" t="s">
        <v>305</v>
      </c>
      <c r="W36" s="135"/>
      <c r="X36" s="135"/>
      <c r="Y36" s="141"/>
      <c r="Z36" s="135"/>
      <c r="AA36" s="142"/>
      <c r="AB36" s="153"/>
      <c r="AC36" s="2"/>
      <c r="AD36" s="72" t="b">
        <v>0</v>
      </c>
      <c r="AE36" s="72" t="b">
        <v>0</v>
      </c>
      <c r="AF36" s="72" t="b">
        <v>0</v>
      </c>
      <c r="AG36" s="2"/>
      <c r="AH36" s="2" t="str">
        <f t="shared" si="9"/>
        <v/>
      </c>
    </row>
    <row r="37" spans="1:34" ht="21" customHeight="1">
      <c r="A37" s="143">
        <v>32</v>
      </c>
      <c r="B37" s="313" t="str">
        <f>IF(Roster!$J$24="English",(IF(E37&gt;0,(IF(F37&gt;H37,"won",(IF(F37=H37,"tied",(IF(F37&lt;H37,"lost","")))))),"")),(IF(E37&gt;0,(IF(F37&gt;H37,"ganado",(IF(F37=H37,"empatado",(IF(F37&lt;H37,"perdido","")))))),"")))</f>
        <v/>
      </c>
      <c r="C37" s="314"/>
      <c r="D37" s="131"/>
      <c r="E37" s="132"/>
      <c r="F37" s="133"/>
      <c r="G37" s="134" t="s">
        <v>305</v>
      </c>
      <c r="H37" s="135"/>
      <c r="I37" s="136">
        <f t="shared" si="7"/>
        <v>0</v>
      </c>
      <c r="J37" s="137" t="s">
        <v>305</v>
      </c>
      <c r="K37" s="138">
        <f t="shared" si="8"/>
        <v>0</v>
      </c>
      <c r="L37" s="133"/>
      <c r="M37" s="134" t="s">
        <v>305</v>
      </c>
      <c r="N37" s="139"/>
      <c r="O37" s="140"/>
      <c r="P37" s="134" t="s">
        <v>305</v>
      </c>
      <c r="Q37" s="139"/>
      <c r="R37" s="140"/>
      <c r="S37" s="134" t="s">
        <v>305</v>
      </c>
      <c r="T37" s="139"/>
      <c r="U37" s="133"/>
      <c r="V37" s="134" t="s">
        <v>305</v>
      </c>
      <c r="W37" s="135"/>
      <c r="X37" s="135"/>
      <c r="Y37" s="141"/>
      <c r="Z37" s="135"/>
      <c r="AA37" s="142"/>
      <c r="AB37" s="153"/>
      <c r="AC37" s="2"/>
      <c r="AD37" s="72" t="b">
        <v>0</v>
      </c>
      <c r="AE37" s="72" t="b">
        <v>0</v>
      </c>
      <c r="AF37" s="72" t="b">
        <v>0</v>
      </c>
      <c r="AG37" s="2"/>
      <c r="AH37" s="2" t="str">
        <f t="shared" si="9"/>
        <v/>
      </c>
    </row>
    <row r="38" spans="1:34" ht="21" customHeight="1">
      <c r="A38" s="130">
        <v>33</v>
      </c>
      <c r="B38" s="313" t="str">
        <f>IF(Roster!$J$24="English",(IF(E38&gt;0,(IF(F38&gt;H38,"won",(IF(F38=H38,"tied",(IF(F38&lt;H38,"lost","")))))),"")),(IF(E38&gt;0,(IF(F38&gt;H38,"ganado",(IF(F38=H38,"empatado",(IF(F38&lt;H38,"perdido","")))))),"")))</f>
        <v/>
      </c>
      <c r="C38" s="314"/>
      <c r="D38" s="131"/>
      <c r="E38" s="132"/>
      <c r="F38" s="133"/>
      <c r="G38" s="134" t="s">
        <v>305</v>
      </c>
      <c r="H38" s="135"/>
      <c r="I38" s="136">
        <f t="shared" si="7"/>
        <v>0</v>
      </c>
      <c r="J38" s="137" t="s">
        <v>305</v>
      </c>
      <c r="K38" s="138">
        <f t="shared" si="8"/>
        <v>0</v>
      </c>
      <c r="L38" s="133"/>
      <c r="M38" s="134" t="s">
        <v>305</v>
      </c>
      <c r="N38" s="139"/>
      <c r="O38" s="140"/>
      <c r="P38" s="134" t="s">
        <v>305</v>
      </c>
      <c r="Q38" s="139"/>
      <c r="R38" s="140"/>
      <c r="S38" s="134" t="s">
        <v>305</v>
      </c>
      <c r="T38" s="139"/>
      <c r="U38" s="133"/>
      <c r="V38" s="134" t="s">
        <v>305</v>
      </c>
      <c r="W38" s="135"/>
      <c r="X38" s="135"/>
      <c r="Y38" s="141"/>
      <c r="Z38" s="135"/>
      <c r="AA38" s="142"/>
      <c r="AB38" s="153"/>
      <c r="AC38" s="2"/>
      <c r="AD38" s="72" t="b">
        <v>0</v>
      </c>
      <c r="AE38" s="72" t="b">
        <v>0</v>
      </c>
      <c r="AF38" s="72" t="b">
        <v>0</v>
      </c>
      <c r="AG38" s="2"/>
      <c r="AH38" s="2" t="str">
        <f t="shared" si="9"/>
        <v/>
      </c>
    </row>
    <row r="39" spans="1:34" ht="21" customHeight="1">
      <c r="A39" s="130">
        <v>34</v>
      </c>
      <c r="B39" s="313" t="str">
        <f>IF(Roster!$J$24="English",(IF(E39&gt;0,(IF(F39&gt;H39,"won",(IF(F39=H39,"tied",(IF(F39&lt;H39,"lost","")))))),"")),(IF(E39&gt;0,(IF(F39&gt;H39,"ganado",(IF(F39=H39,"empatado",(IF(F39&lt;H39,"perdido","")))))),"")))</f>
        <v/>
      </c>
      <c r="C39" s="314"/>
      <c r="D39" s="131"/>
      <c r="E39" s="132"/>
      <c r="F39" s="133"/>
      <c r="G39" s="134" t="s">
        <v>305</v>
      </c>
      <c r="H39" s="135"/>
      <c r="I39" s="136">
        <f t="shared" si="7"/>
        <v>0</v>
      </c>
      <c r="J39" s="137" t="s">
        <v>305</v>
      </c>
      <c r="K39" s="138">
        <f t="shared" si="8"/>
        <v>0</v>
      </c>
      <c r="L39" s="133"/>
      <c r="M39" s="134" t="s">
        <v>305</v>
      </c>
      <c r="N39" s="139"/>
      <c r="O39" s="140"/>
      <c r="P39" s="134" t="s">
        <v>305</v>
      </c>
      <c r="Q39" s="139"/>
      <c r="R39" s="140"/>
      <c r="S39" s="134" t="s">
        <v>305</v>
      </c>
      <c r="T39" s="139"/>
      <c r="U39" s="133"/>
      <c r="V39" s="134" t="s">
        <v>305</v>
      </c>
      <c r="W39" s="135"/>
      <c r="X39" s="135"/>
      <c r="Y39" s="141"/>
      <c r="Z39" s="135"/>
      <c r="AA39" s="142"/>
      <c r="AB39" s="153"/>
      <c r="AC39" s="2"/>
      <c r="AD39" s="72" t="b">
        <v>0</v>
      </c>
      <c r="AE39" s="72" t="b">
        <v>0</v>
      </c>
      <c r="AF39" s="72" t="b">
        <v>0</v>
      </c>
      <c r="AG39" s="2"/>
      <c r="AH39" s="2" t="str">
        <f t="shared" si="9"/>
        <v/>
      </c>
    </row>
    <row r="40" spans="1:34" ht="21" customHeight="1">
      <c r="A40" s="143">
        <v>35</v>
      </c>
      <c r="B40" s="313" t="str">
        <f>IF(Roster!$J$24="English",(IF(E40&gt;0,(IF(F40&gt;H40,"won",(IF(F40=H40,"tied",(IF(F40&lt;H40,"lost","")))))),"")),(IF(E40&gt;0,(IF(F40&gt;H40,"ganado",(IF(F40=H40,"empatado",(IF(F40&lt;H40,"perdido","")))))),"")))</f>
        <v/>
      </c>
      <c r="C40" s="314"/>
      <c r="D40" s="131"/>
      <c r="E40" s="132"/>
      <c r="F40" s="133"/>
      <c r="G40" s="134" t="s">
        <v>305</v>
      </c>
      <c r="H40" s="135"/>
      <c r="I40" s="136">
        <f t="shared" si="7"/>
        <v>0</v>
      </c>
      <c r="J40" s="137" t="s">
        <v>305</v>
      </c>
      <c r="K40" s="138">
        <f t="shared" si="8"/>
        <v>0</v>
      </c>
      <c r="L40" s="133"/>
      <c r="M40" s="134" t="s">
        <v>305</v>
      </c>
      <c r="N40" s="139"/>
      <c r="O40" s="140"/>
      <c r="P40" s="134" t="s">
        <v>305</v>
      </c>
      <c r="Q40" s="139"/>
      <c r="R40" s="140"/>
      <c r="S40" s="134" t="s">
        <v>305</v>
      </c>
      <c r="T40" s="139"/>
      <c r="U40" s="133"/>
      <c r="V40" s="134" t="s">
        <v>305</v>
      </c>
      <c r="W40" s="135"/>
      <c r="X40" s="135"/>
      <c r="Y40" s="141"/>
      <c r="Z40" s="135"/>
      <c r="AA40" s="142"/>
      <c r="AB40" s="153"/>
      <c r="AC40" s="2"/>
      <c r="AD40" s="72" t="b">
        <v>0</v>
      </c>
      <c r="AE40" s="72" t="b">
        <v>0</v>
      </c>
      <c r="AF40" s="72" t="b">
        <v>0</v>
      </c>
      <c r="AG40" s="2"/>
      <c r="AH40" s="2" t="str">
        <f t="shared" si="9"/>
        <v/>
      </c>
    </row>
    <row r="41" spans="1:34" ht="21" customHeight="1">
      <c r="A41" s="130">
        <v>36</v>
      </c>
      <c r="B41" s="313" t="str">
        <f>IF(Roster!$J$24="English",(IF(E41&gt;0,(IF(F41&gt;H41,"won",(IF(F41=H41,"tied",(IF(F41&lt;H41,"lost","")))))),"")),(IF(E41&gt;0,(IF(F41&gt;H41,"ganado",(IF(F41=H41,"empatado",(IF(F41&lt;H41,"perdido","")))))),"")))</f>
        <v/>
      </c>
      <c r="C41" s="314"/>
      <c r="D41" s="131"/>
      <c r="E41" s="132"/>
      <c r="F41" s="133"/>
      <c r="G41" s="134" t="s">
        <v>305</v>
      </c>
      <c r="H41" s="135"/>
      <c r="I41" s="136">
        <f t="shared" si="7"/>
        <v>0</v>
      </c>
      <c r="J41" s="137" t="s">
        <v>305</v>
      </c>
      <c r="K41" s="138">
        <f t="shared" si="8"/>
        <v>0</v>
      </c>
      <c r="L41" s="133"/>
      <c r="M41" s="134" t="s">
        <v>305</v>
      </c>
      <c r="N41" s="139"/>
      <c r="O41" s="140"/>
      <c r="P41" s="134" t="s">
        <v>305</v>
      </c>
      <c r="Q41" s="139"/>
      <c r="R41" s="140"/>
      <c r="S41" s="134" t="s">
        <v>305</v>
      </c>
      <c r="T41" s="139"/>
      <c r="U41" s="133"/>
      <c r="V41" s="134" t="s">
        <v>305</v>
      </c>
      <c r="W41" s="135"/>
      <c r="X41" s="135"/>
      <c r="Y41" s="141"/>
      <c r="Z41" s="135"/>
      <c r="AA41" s="142"/>
      <c r="AB41" s="153"/>
      <c r="AC41" s="2"/>
      <c r="AD41" s="72" t="b">
        <v>0</v>
      </c>
      <c r="AE41" s="72" t="b">
        <v>0</v>
      </c>
      <c r="AF41" s="72" t="b">
        <v>0</v>
      </c>
      <c r="AG41" s="2"/>
      <c r="AH41" s="2" t="str">
        <f t="shared" si="9"/>
        <v/>
      </c>
    </row>
    <row r="42" spans="1:34" ht="21" customHeight="1">
      <c r="A42" s="130">
        <v>37</v>
      </c>
      <c r="B42" s="313" t="str">
        <f>IF(Roster!$J$24="English",(IF(E42&gt;0,(IF(F42&gt;H42,"won",(IF(F42=H42,"tied",(IF(F42&lt;H42,"lost","")))))),"")),(IF(E42&gt;0,(IF(F42&gt;H42,"ganado",(IF(F42=H42,"empatado",(IF(F42&lt;H42,"perdido","")))))),"")))</f>
        <v/>
      </c>
      <c r="C42" s="314"/>
      <c r="D42" s="131"/>
      <c r="E42" s="132"/>
      <c r="F42" s="133"/>
      <c r="G42" s="134" t="s">
        <v>305</v>
      </c>
      <c r="H42" s="135"/>
      <c r="I42" s="136">
        <f t="shared" si="7"/>
        <v>0</v>
      </c>
      <c r="J42" s="137" t="s">
        <v>305</v>
      </c>
      <c r="K42" s="138">
        <f t="shared" si="8"/>
        <v>0</v>
      </c>
      <c r="L42" s="133"/>
      <c r="M42" s="134" t="s">
        <v>305</v>
      </c>
      <c r="N42" s="139"/>
      <c r="O42" s="140"/>
      <c r="P42" s="134" t="s">
        <v>305</v>
      </c>
      <c r="Q42" s="139"/>
      <c r="R42" s="140"/>
      <c r="S42" s="134" t="s">
        <v>305</v>
      </c>
      <c r="T42" s="139"/>
      <c r="U42" s="133"/>
      <c r="V42" s="134" t="s">
        <v>305</v>
      </c>
      <c r="W42" s="135"/>
      <c r="X42" s="135"/>
      <c r="Y42" s="141"/>
      <c r="Z42" s="135"/>
      <c r="AA42" s="142"/>
      <c r="AB42" s="153"/>
      <c r="AC42" s="2"/>
      <c r="AD42" s="72" t="b">
        <v>0</v>
      </c>
      <c r="AE42" s="72" t="b">
        <v>0</v>
      </c>
      <c r="AF42" s="72" t="b">
        <v>0</v>
      </c>
      <c r="AG42" s="2"/>
      <c r="AH42" s="2" t="str">
        <f t="shared" si="9"/>
        <v/>
      </c>
    </row>
    <row r="43" spans="1:34" ht="21" customHeight="1">
      <c r="A43" s="143">
        <v>38</v>
      </c>
      <c r="B43" s="313" t="str">
        <f>IF(Roster!$J$24="English",(IF(E43&gt;0,(IF(F43&gt;H43,"won",(IF(F43=H43,"tied",(IF(F43&lt;H43,"lost","")))))),"")),(IF(E43&gt;0,(IF(F43&gt;H43,"ganado",(IF(F43=H43,"empatado",(IF(F43&lt;H43,"perdido","")))))),"")))</f>
        <v/>
      </c>
      <c r="C43" s="314"/>
      <c r="D43" s="131"/>
      <c r="E43" s="132"/>
      <c r="F43" s="133"/>
      <c r="G43" s="134" t="s">
        <v>305</v>
      </c>
      <c r="H43" s="135"/>
      <c r="I43" s="136">
        <f t="shared" si="7"/>
        <v>0</v>
      </c>
      <c r="J43" s="137" t="s">
        <v>305</v>
      </c>
      <c r="K43" s="138">
        <f t="shared" si="8"/>
        <v>0</v>
      </c>
      <c r="L43" s="133"/>
      <c r="M43" s="134" t="s">
        <v>305</v>
      </c>
      <c r="N43" s="139"/>
      <c r="O43" s="140"/>
      <c r="P43" s="134" t="s">
        <v>305</v>
      </c>
      <c r="Q43" s="139"/>
      <c r="R43" s="140"/>
      <c r="S43" s="134" t="s">
        <v>305</v>
      </c>
      <c r="T43" s="139"/>
      <c r="U43" s="133"/>
      <c r="V43" s="134" t="s">
        <v>305</v>
      </c>
      <c r="W43" s="135"/>
      <c r="X43" s="135"/>
      <c r="Y43" s="141"/>
      <c r="Z43" s="135"/>
      <c r="AA43" s="142"/>
      <c r="AB43" s="153"/>
      <c r="AC43" s="2"/>
      <c r="AD43" s="72" t="b">
        <v>0</v>
      </c>
      <c r="AE43" s="72" t="b">
        <v>0</v>
      </c>
      <c r="AF43" s="72" t="b">
        <v>0</v>
      </c>
      <c r="AG43" s="2"/>
      <c r="AH43" s="2" t="str">
        <f t="shared" si="9"/>
        <v/>
      </c>
    </row>
    <row r="44" spans="1:34" ht="21" customHeight="1">
      <c r="A44" s="130">
        <v>39</v>
      </c>
      <c r="B44" s="313" t="str">
        <f>IF(Roster!$J$24="English",(IF(E44&gt;0,(IF(F44&gt;H44,"won",(IF(F44=H44,"tied",(IF(F44&lt;H44,"lost","")))))),"")),(IF(E44&gt;0,(IF(F44&gt;H44,"ganado",(IF(F44=H44,"empatado",(IF(F44&lt;H44,"perdido","")))))),"")))</f>
        <v/>
      </c>
      <c r="C44" s="314"/>
      <c r="D44" s="154"/>
      <c r="E44" s="132"/>
      <c r="F44" s="155"/>
      <c r="G44" s="156" t="s">
        <v>305</v>
      </c>
      <c r="H44" s="157"/>
      <c r="I44" s="158">
        <f t="shared" si="7"/>
        <v>0</v>
      </c>
      <c r="J44" s="159" t="s">
        <v>305</v>
      </c>
      <c r="K44" s="160">
        <f t="shared" si="8"/>
        <v>0</v>
      </c>
      <c r="L44" s="155"/>
      <c r="M44" s="156" t="s">
        <v>305</v>
      </c>
      <c r="N44" s="9"/>
      <c r="O44" s="161"/>
      <c r="P44" s="156" t="s">
        <v>305</v>
      </c>
      <c r="Q44" s="9"/>
      <c r="R44" s="161"/>
      <c r="S44" s="156" t="s">
        <v>305</v>
      </c>
      <c r="T44" s="9"/>
      <c r="U44" s="155"/>
      <c r="V44" s="156" t="s">
        <v>305</v>
      </c>
      <c r="W44" s="157"/>
      <c r="X44" s="135"/>
      <c r="Y44" s="162"/>
      <c r="Z44" s="157"/>
      <c r="AA44" s="163"/>
      <c r="AB44" s="153"/>
      <c r="AC44" s="2"/>
      <c r="AD44" s="72" t="b">
        <v>0</v>
      </c>
      <c r="AE44" s="72" t="b">
        <v>0</v>
      </c>
      <c r="AF44" s="72" t="b">
        <v>0</v>
      </c>
      <c r="AG44" s="2"/>
      <c r="AH44" s="2" t="str">
        <f t="shared" si="9"/>
        <v/>
      </c>
    </row>
    <row r="45" spans="1:34" ht="21" customHeight="1">
      <c r="A45" s="130">
        <v>40</v>
      </c>
      <c r="B45" s="313" t="str">
        <f>IF(Roster!$J$24="English",(IF(E45&gt;0,(IF(F45&gt;H45,"won",(IF(F45=H45,"tied",(IF(F45&lt;H45,"lost","")))))),"")),(IF(E45&gt;0,(IF(F45&gt;H45,"ganado",(IF(F45=H45,"empatado",(IF(F45&lt;H45,"perdido","")))))),"")))</f>
        <v/>
      </c>
      <c r="C45" s="314"/>
      <c r="D45" s="131"/>
      <c r="E45" s="132"/>
      <c r="F45" s="133"/>
      <c r="G45" s="134" t="s">
        <v>305</v>
      </c>
      <c r="H45" s="135"/>
      <c r="I45" s="136">
        <f t="shared" si="7"/>
        <v>0</v>
      </c>
      <c r="J45" s="137" t="s">
        <v>305</v>
      </c>
      <c r="K45" s="138">
        <f t="shared" si="8"/>
        <v>0</v>
      </c>
      <c r="L45" s="133"/>
      <c r="M45" s="134" t="s">
        <v>305</v>
      </c>
      <c r="N45" s="139"/>
      <c r="O45" s="140"/>
      <c r="P45" s="134" t="s">
        <v>305</v>
      </c>
      <c r="Q45" s="139"/>
      <c r="R45" s="140"/>
      <c r="S45" s="134" t="s">
        <v>305</v>
      </c>
      <c r="T45" s="139"/>
      <c r="U45" s="133"/>
      <c r="V45" s="134" t="s">
        <v>305</v>
      </c>
      <c r="W45" s="135"/>
      <c r="X45" s="135"/>
      <c r="Y45" s="141"/>
      <c r="Z45" s="135"/>
      <c r="AA45" s="142"/>
      <c r="AB45" s="153"/>
      <c r="AC45" s="2"/>
      <c r="AD45" s="72" t="b">
        <v>0</v>
      </c>
      <c r="AE45" s="72" t="b">
        <v>0</v>
      </c>
      <c r="AF45" s="72" t="b">
        <v>0</v>
      </c>
      <c r="AG45" s="2"/>
      <c r="AH45" s="2" t="str">
        <f t="shared" si="9"/>
        <v/>
      </c>
    </row>
    <row r="46" spans="1:34" ht="21" customHeight="1">
      <c r="A46" s="143">
        <v>41</v>
      </c>
      <c r="B46" s="313" t="str">
        <f>IF(Roster!$J$24="English",(IF(E46&gt;0,(IF(F46&gt;H46,"won",(IF(F46=H46,"tied",(IF(F46&lt;H46,"lost","")))))),"")),(IF(E46&gt;0,(IF(F46&gt;H46,"ganado",(IF(F46=H46,"empatado",(IF(F46&lt;H46,"perdido","")))))),"")))</f>
        <v/>
      </c>
      <c r="C46" s="314"/>
      <c r="D46" s="144"/>
      <c r="E46" s="132"/>
      <c r="F46" s="145"/>
      <c r="G46" s="134" t="s">
        <v>305</v>
      </c>
      <c r="H46" s="147"/>
      <c r="I46" s="136">
        <f t="shared" si="7"/>
        <v>0</v>
      </c>
      <c r="J46" s="148" t="s">
        <v>305</v>
      </c>
      <c r="K46" s="138">
        <f t="shared" si="8"/>
        <v>0</v>
      </c>
      <c r="L46" s="145"/>
      <c r="M46" s="146" t="s">
        <v>305</v>
      </c>
      <c r="N46" s="149"/>
      <c r="O46" s="150"/>
      <c r="P46" s="146" t="s">
        <v>305</v>
      </c>
      <c r="Q46" s="149"/>
      <c r="R46" s="150"/>
      <c r="S46" s="146" t="s">
        <v>305</v>
      </c>
      <c r="T46" s="149"/>
      <c r="U46" s="145"/>
      <c r="V46" s="146" t="s">
        <v>305</v>
      </c>
      <c r="W46" s="147"/>
      <c r="X46" s="135"/>
      <c r="Y46" s="151"/>
      <c r="Z46" s="147"/>
      <c r="AA46" s="152"/>
      <c r="AB46" s="153"/>
      <c r="AC46" s="2"/>
      <c r="AD46" s="72" t="b">
        <v>0</v>
      </c>
      <c r="AE46" s="72" t="b">
        <v>0</v>
      </c>
      <c r="AF46" s="72" t="b">
        <v>0</v>
      </c>
      <c r="AG46" s="2"/>
      <c r="AH46" s="2" t="str">
        <f t="shared" si="9"/>
        <v/>
      </c>
    </row>
    <row r="47" spans="1:34" ht="21" customHeight="1">
      <c r="A47" s="130">
        <v>42</v>
      </c>
      <c r="B47" s="313" t="str">
        <f>IF(Roster!$J$24="English",(IF(E47&gt;0,(IF(F47&gt;H47,"won",(IF(F47=H47,"tied",(IF(F47&lt;H47,"lost","")))))),"")),(IF(E47&gt;0,(IF(F47&gt;H47,"ganado",(IF(F47=H47,"empatado",(IF(F47&lt;H47,"perdido","")))))),"")))</f>
        <v/>
      </c>
      <c r="C47" s="314"/>
      <c r="D47" s="131"/>
      <c r="E47" s="132"/>
      <c r="F47" s="133"/>
      <c r="G47" s="134" t="s">
        <v>305</v>
      </c>
      <c r="H47" s="135"/>
      <c r="I47" s="136">
        <f t="shared" si="7"/>
        <v>0</v>
      </c>
      <c r="J47" s="137" t="s">
        <v>305</v>
      </c>
      <c r="K47" s="138">
        <f t="shared" si="8"/>
        <v>0</v>
      </c>
      <c r="L47" s="133"/>
      <c r="M47" s="134" t="s">
        <v>305</v>
      </c>
      <c r="N47" s="139"/>
      <c r="O47" s="140"/>
      <c r="P47" s="134" t="s">
        <v>305</v>
      </c>
      <c r="Q47" s="139"/>
      <c r="R47" s="140"/>
      <c r="S47" s="134" t="s">
        <v>305</v>
      </c>
      <c r="T47" s="139"/>
      <c r="U47" s="133"/>
      <c r="V47" s="134" t="s">
        <v>305</v>
      </c>
      <c r="W47" s="135"/>
      <c r="X47" s="135"/>
      <c r="Y47" s="141"/>
      <c r="Z47" s="135"/>
      <c r="AA47" s="142"/>
      <c r="AB47" s="153"/>
      <c r="AC47" s="2"/>
      <c r="AD47" s="72" t="b">
        <v>0</v>
      </c>
      <c r="AE47" s="72" t="b">
        <v>0</v>
      </c>
      <c r="AF47" s="72" t="b">
        <v>0</v>
      </c>
      <c r="AG47" s="2"/>
      <c r="AH47" s="2" t="str">
        <f t="shared" si="9"/>
        <v/>
      </c>
    </row>
    <row r="48" spans="1:34" ht="21" customHeight="1">
      <c r="A48" s="130">
        <v>43</v>
      </c>
      <c r="B48" s="313" t="str">
        <f>IF(Roster!$J$24="English",(IF(E48&gt;0,(IF(F48&gt;H48,"won",(IF(F48=H48,"tied",(IF(F48&lt;H48,"lost","")))))),"")),(IF(E48&gt;0,(IF(F48&gt;H48,"ganado",(IF(F48=H48,"empatado",(IF(F48&lt;H48,"perdido","")))))),"")))</f>
        <v/>
      </c>
      <c r="C48" s="314"/>
      <c r="D48" s="131"/>
      <c r="E48" s="132"/>
      <c r="F48" s="133"/>
      <c r="G48" s="134" t="s">
        <v>305</v>
      </c>
      <c r="H48" s="135"/>
      <c r="I48" s="136">
        <f t="shared" si="7"/>
        <v>0</v>
      </c>
      <c r="J48" s="137" t="s">
        <v>305</v>
      </c>
      <c r="K48" s="138">
        <f t="shared" si="8"/>
        <v>0</v>
      </c>
      <c r="L48" s="133"/>
      <c r="M48" s="134" t="s">
        <v>305</v>
      </c>
      <c r="N48" s="139"/>
      <c r="O48" s="140"/>
      <c r="P48" s="134" t="s">
        <v>305</v>
      </c>
      <c r="Q48" s="139"/>
      <c r="R48" s="140"/>
      <c r="S48" s="134" t="s">
        <v>305</v>
      </c>
      <c r="T48" s="139"/>
      <c r="U48" s="133"/>
      <c r="V48" s="134" t="s">
        <v>305</v>
      </c>
      <c r="W48" s="135"/>
      <c r="X48" s="135"/>
      <c r="Y48" s="141"/>
      <c r="Z48" s="135"/>
      <c r="AA48" s="142"/>
      <c r="AB48" s="153"/>
      <c r="AC48" s="2"/>
      <c r="AD48" s="72" t="b">
        <v>0</v>
      </c>
      <c r="AE48" s="72" t="b">
        <v>0</v>
      </c>
      <c r="AF48" s="72" t="b">
        <v>0</v>
      </c>
      <c r="AG48" s="2"/>
      <c r="AH48" s="2" t="str">
        <f t="shared" si="9"/>
        <v/>
      </c>
    </row>
    <row r="49" spans="1:34" ht="21" customHeight="1">
      <c r="A49" s="143">
        <v>44</v>
      </c>
      <c r="B49" s="313" t="str">
        <f>IF(Roster!$J$24="English",(IF(E49&gt;0,(IF(F49&gt;H49,"won",(IF(F49=H49,"tied",(IF(F49&lt;H49,"lost","")))))),"")),(IF(E49&gt;0,(IF(F49&gt;H49,"ganado",(IF(F49=H49,"empatado",(IF(F49&lt;H49,"perdido","")))))),"")))</f>
        <v/>
      </c>
      <c r="C49" s="314"/>
      <c r="D49" s="131"/>
      <c r="E49" s="132"/>
      <c r="F49" s="133"/>
      <c r="G49" s="134" t="s">
        <v>305</v>
      </c>
      <c r="H49" s="135"/>
      <c r="I49" s="136">
        <f t="shared" si="7"/>
        <v>0</v>
      </c>
      <c r="J49" s="137" t="s">
        <v>305</v>
      </c>
      <c r="K49" s="138">
        <f t="shared" si="8"/>
        <v>0</v>
      </c>
      <c r="L49" s="133"/>
      <c r="M49" s="134" t="s">
        <v>305</v>
      </c>
      <c r="N49" s="139"/>
      <c r="O49" s="140"/>
      <c r="P49" s="134" t="s">
        <v>305</v>
      </c>
      <c r="Q49" s="139"/>
      <c r="R49" s="140"/>
      <c r="S49" s="134" t="s">
        <v>305</v>
      </c>
      <c r="T49" s="139"/>
      <c r="U49" s="133"/>
      <c r="V49" s="134" t="s">
        <v>305</v>
      </c>
      <c r="W49" s="135"/>
      <c r="X49" s="135"/>
      <c r="Y49" s="141"/>
      <c r="Z49" s="135"/>
      <c r="AA49" s="142"/>
      <c r="AB49" s="153"/>
      <c r="AC49" s="2"/>
      <c r="AD49" s="72" t="b">
        <v>0</v>
      </c>
      <c r="AE49" s="72" t="b">
        <v>0</v>
      </c>
      <c r="AF49" s="72" t="b">
        <v>0</v>
      </c>
      <c r="AG49" s="2"/>
      <c r="AH49" s="2" t="str">
        <f t="shared" si="9"/>
        <v/>
      </c>
    </row>
    <row r="50" spans="1:34" ht="21" customHeight="1">
      <c r="A50" s="130">
        <v>45</v>
      </c>
      <c r="B50" s="313" t="str">
        <f>IF(Roster!$J$24="English",(IF(E50&gt;0,(IF(F50&gt;H50,"won",(IF(F50=H50,"tied",(IF(F50&lt;H50,"lost","")))))),"")),(IF(E50&gt;0,(IF(F50&gt;H50,"ganado",(IF(F50=H50,"empatado",(IF(F50&lt;H50,"perdido","")))))),"")))</f>
        <v/>
      </c>
      <c r="C50" s="314"/>
      <c r="D50" s="131"/>
      <c r="E50" s="132"/>
      <c r="F50" s="133"/>
      <c r="G50" s="134" t="s">
        <v>305</v>
      </c>
      <c r="H50" s="135"/>
      <c r="I50" s="136">
        <f t="shared" si="7"/>
        <v>0</v>
      </c>
      <c r="J50" s="137" t="s">
        <v>305</v>
      </c>
      <c r="K50" s="138">
        <f t="shared" si="8"/>
        <v>0</v>
      </c>
      <c r="L50" s="133"/>
      <c r="M50" s="134" t="s">
        <v>305</v>
      </c>
      <c r="N50" s="139"/>
      <c r="O50" s="140"/>
      <c r="P50" s="134" t="s">
        <v>305</v>
      </c>
      <c r="Q50" s="139"/>
      <c r="R50" s="140"/>
      <c r="S50" s="134" t="s">
        <v>305</v>
      </c>
      <c r="T50" s="139"/>
      <c r="U50" s="133"/>
      <c r="V50" s="134" t="s">
        <v>305</v>
      </c>
      <c r="W50" s="135"/>
      <c r="X50" s="135"/>
      <c r="Y50" s="141"/>
      <c r="Z50" s="135"/>
      <c r="AA50" s="142"/>
      <c r="AB50" s="153"/>
      <c r="AC50" s="2"/>
      <c r="AD50" s="72" t="b">
        <v>0</v>
      </c>
      <c r="AE50" s="72" t="b">
        <v>0</v>
      </c>
      <c r="AF50" s="72" t="b">
        <v>0</v>
      </c>
      <c r="AG50" s="2"/>
      <c r="AH50" s="2" t="str">
        <f t="shared" si="9"/>
        <v/>
      </c>
    </row>
    <row r="51" spans="1:34" ht="21" customHeight="1">
      <c r="A51" s="130">
        <v>46</v>
      </c>
      <c r="B51" s="313" t="str">
        <f>IF(Roster!$J$24="English",(IF(E51&gt;0,(IF(F51&gt;H51,"won",(IF(F51=H51,"tied",(IF(F51&lt;H51,"lost","")))))),"")),(IF(E51&gt;0,(IF(F51&gt;H51,"ganado",(IF(F51=H51,"empatado",(IF(F51&lt;H51,"perdido","")))))),"")))</f>
        <v/>
      </c>
      <c r="C51" s="314"/>
      <c r="D51" s="131"/>
      <c r="E51" s="132"/>
      <c r="F51" s="133"/>
      <c r="G51" s="134" t="s">
        <v>305</v>
      </c>
      <c r="H51" s="135"/>
      <c r="I51" s="136">
        <f t="shared" si="7"/>
        <v>0</v>
      </c>
      <c r="J51" s="137" t="s">
        <v>305</v>
      </c>
      <c r="K51" s="138">
        <f t="shared" si="8"/>
        <v>0</v>
      </c>
      <c r="L51" s="133"/>
      <c r="M51" s="134" t="s">
        <v>305</v>
      </c>
      <c r="N51" s="139"/>
      <c r="O51" s="140"/>
      <c r="P51" s="134" t="s">
        <v>305</v>
      </c>
      <c r="Q51" s="139"/>
      <c r="R51" s="140"/>
      <c r="S51" s="134" t="s">
        <v>305</v>
      </c>
      <c r="T51" s="139"/>
      <c r="U51" s="133"/>
      <c r="V51" s="134" t="s">
        <v>305</v>
      </c>
      <c r="W51" s="135"/>
      <c r="X51" s="135"/>
      <c r="Y51" s="141"/>
      <c r="Z51" s="135"/>
      <c r="AA51" s="142"/>
      <c r="AB51" s="153"/>
      <c r="AC51" s="2"/>
      <c r="AD51" s="72" t="b">
        <v>0</v>
      </c>
      <c r="AE51" s="72" t="b">
        <v>0</v>
      </c>
      <c r="AF51" s="72" t="b">
        <v>0</v>
      </c>
      <c r="AG51" s="2"/>
      <c r="AH51" s="2" t="str">
        <f t="shared" si="9"/>
        <v/>
      </c>
    </row>
    <row r="52" spans="1:34" ht="21" customHeight="1">
      <c r="A52" s="143">
        <v>47</v>
      </c>
      <c r="B52" s="313" t="str">
        <f>IF(Roster!$J$24="English",(IF(E52&gt;0,(IF(F52&gt;H52,"won",(IF(F52=H52,"tied",(IF(F52&lt;H52,"lost","")))))),"")),(IF(E52&gt;0,(IF(F52&gt;H52,"ganado",(IF(F52=H52,"empatado",(IF(F52&lt;H52,"perdido","")))))),"")))</f>
        <v/>
      </c>
      <c r="C52" s="314"/>
      <c r="D52" s="131"/>
      <c r="E52" s="132"/>
      <c r="F52" s="133"/>
      <c r="G52" s="134" t="s">
        <v>305</v>
      </c>
      <c r="H52" s="135"/>
      <c r="I52" s="136">
        <f t="shared" si="7"/>
        <v>0</v>
      </c>
      <c r="J52" s="137" t="s">
        <v>305</v>
      </c>
      <c r="K52" s="138">
        <f t="shared" si="8"/>
        <v>0</v>
      </c>
      <c r="L52" s="133"/>
      <c r="M52" s="134" t="s">
        <v>305</v>
      </c>
      <c r="N52" s="139"/>
      <c r="O52" s="140"/>
      <c r="P52" s="134" t="s">
        <v>305</v>
      </c>
      <c r="Q52" s="139"/>
      <c r="R52" s="140"/>
      <c r="S52" s="134" t="s">
        <v>305</v>
      </c>
      <c r="T52" s="139"/>
      <c r="U52" s="133"/>
      <c r="V52" s="134" t="s">
        <v>305</v>
      </c>
      <c r="W52" s="135"/>
      <c r="X52" s="135"/>
      <c r="Y52" s="141"/>
      <c r="Z52" s="135"/>
      <c r="AA52" s="142"/>
      <c r="AB52" s="153"/>
      <c r="AC52" s="2"/>
      <c r="AD52" s="72" t="b">
        <v>0</v>
      </c>
      <c r="AE52" s="72" t="b">
        <v>0</v>
      </c>
      <c r="AF52" s="72" t="b">
        <v>0</v>
      </c>
      <c r="AG52" s="2"/>
      <c r="AH52" s="2" t="str">
        <f t="shared" si="9"/>
        <v/>
      </c>
    </row>
    <row r="53" spans="1:34" ht="21" customHeight="1">
      <c r="A53" s="130">
        <v>48</v>
      </c>
      <c r="B53" s="313" t="str">
        <f>IF(Roster!$J$24="English",(IF(E53&gt;0,(IF(F53&gt;H53,"won",(IF(F53=H53,"tied",(IF(F53&lt;H53,"lost","")))))),"")),(IF(E53&gt;0,(IF(F53&gt;H53,"ganado",(IF(F53=H53,"empatado",(IF(F53&lt;H53,"perdido","")))))),"")))</f>
        <v/>
      </c>
      <c r="C53" s="314"/>
      <c r="D53" s="131"/>
      <c r="E53" s="132"/>
      <c r="F53" s="133"/>
      <c r="G53" s="134" t="s">
        <v>305</v>
      </c>
      <c r="H53" s="135"/>
      <c r="I53" s="136">
        <f t="shared" si="7"/>
        <v>0</v>
      </c>
      <c r="J53" s="137" t="s">
        <v>305</v>
      </c>
      <c r="K53" s="138">
        <f t="shared" si="8"/>
        <v>0</v>
      </c>
      <c r="L53" s="133"/>
      <c r="M53" s="134" t="s">
        <v>305</v>
      </c>
      <c r="N53" s="139"/>
      <c r="O53" s="140"/>
      <c r="P53" s="134" t="s">
        <v>305</v>
      </c>
      <c r="Q53" s="139"/>
      <c r="R53" s="140"/>
      <c r="S53" s="134" t="s">
        <v>305</v>
      </c>
      <c r="T53" s="139"/>
      <c r="U53" s="133"/>
      <c r="V53" s="134" t="s">
        <v>305</v>
      </c>
      <c r="W53" s="135"/>
      <c r="X53" s="135"/>
      <c r="Y53" s="141"/>
      <c r="Z53" s="135"/>
      <c r="AA53" s="142"/>
      <c r="AB53" s="153"/>
      <c r="AC53" s="2"/>
      <c r="AD53" s="72" t="b">
        <v>0</v>
      </c>
      <c r="AE53" s="72" t="b">
        <v>0</v>
      </c>
      <c r="AF53" s="72" t="b">
        <v>0</v>
      </c>
      <c r="AG53" s="2"/>
      <c r="AH53" s="2" t="str">
        <f t="shared" si="9"/>
        <v/>
      </c>
    </row>
    <row r="54" spans="1:34" ht="21" customHeight="1">
      <c r="A54" s="130">
        <v>49</v>
      </c>
      <c r="B54" s="313" t="str">
        <f>IF(Roster!$J$24="English",(IF(E54&gt;0,(IF(F54&gt;H54,"won",(IF(F54=H54,"tied",(IF(F54&lt;H54,"lost","")))))),"")),(IF(E54&gt;0,(IF(F54&gt;H54,"ganado",(IF(F54=H54,"empatado",(IF(F54&lt;H54,"perdido","")))))),"")))</f>
        <v/>
      </c>
      <c r="C54" s="314"/>
      <c r="D54" s="131"/>
      <c r="E54" s="132"/>
      <c r="F54" s="133"/>
      <c r="G54" s="134" t="s">
        <v>305</v>
      </c>
      <c r="H54" s="135"/>
      <c r="I54" s="136">
        <f t="shared" si="7"/>
        <v>0</v>
      </c>
      <c r="J54" s="137" t="s">
        <v>305</v>
      </c>
      <c r="K54" s="138">
        <f t="shared" si="8"/>
        <v>0</v>
      </c>
      <c r="L54" s="133"/>
      <c r="M54" s="134" t="s">
        <v>305</v>
      </c>
      <c r="N54" s="139"/>
      <c r="O54" s="140"/>
      <c r="P54" s="134" t="s">
        <v>305</v>
      </c>
      <c r="Q54" s="139"/>
      <c r="R54" s="140"/>
      <c r="S54" s="134" t="s">
        <v>305</v>
      </c>
      <c r="T54" s="139"/>
      <c r="U54" s="133"/>
      <c r="V54" s="134" t="s">
        <v>305</v>
      </c>
      <c r="W54" s="135"/>
      <c r="X54" s="135"/>
      <c r="Y54" s="141"/>
      <c r="Z54" s="135"/>
      <c r="AA54" s="142"/>
      <c r="AB54" s="153"/>
      <c r="AC54" s="2"/>
      <c r="AD54" s="72" t="b">
        <v>0</v>
      </c>
      <c r="AE54" s="72" t="b">
        <v>0</v>
      </c>
      <c r="AF54" s="72" t="b">
        <v>0</v>
      </c>
      <c r="AG54" s="2"/>
      <c r="AH54" s="2" t="str">
        <f t="shared" si="9"/>
        <v/>
      </c>
    </row>
    <row r="55" spans="1:34" ht="21" customHeight="1">
      <c r="A55" s="143">
        <v>50</v>
      </c>
      <c r="B55" s="313" t="str">
        <f>IF(Roster!$J$24="English",(IF(E55&gt;0,(IF(F55&gt;H55,"won",(IF(F55=H55,"tied",(IF(F55&lt;H55,"lost","")))))),"")),(IF(E55&gt;0,(IF(F55&gt;H55,"ganado",(IF(F55=H55,"empatado",(IF(F55&lt;H55,"perdido","")))))),"")))</f>
        <v/>
      </c>
      <c r="C55" s="314"/>
      <c r="D55" s="131"/>
      <c r="E55" s="132"/>
      <c r="F55" s="133"/>
      <c r="G55" s="134" t="s">
        <v>305</v>
      </c>
      <c r="H55" s="135"/>
      <c r="I55" s="136">
        <f t="shared" si="7"/>
        <v>0</v>
      </c>
      <c r="J55" s="137" t="s">
        <v>305</v>
      </c>
      <c r="K55" s="138">
        <f t="shared" si="8"/>
        <v>0</v>
      </c>
      <c r="L55" s="133"/>
      <c r="M55" s="134" t="s">
        <v>305</v>
      </c>
      <c r="N55" s="139"/>
      <c r="O55" s="140"/>
      <c r="P55" s="134" t="s">
        <v>305</v>
      </c>
      <c r="Q55" s="139"/>
      <c r="R55" s="140"/>
      <c r="S55" s="134" t="s">
        <v>305</v>
      </c>
      <c r="T55" s="139"/>
      <c r="U55" s="133"/>
      <c r="V55" s="134" t="s">
        <v>305</v>
      </c>
      <c r="W55" s="135"/>
      <c r="X55" s="135"/>
      <c r="Y55" s="141"/>
      <c r="Z55" s="135"/>
      <c r="AA55" s="142"/>
      <c r="AB55" s="153"/>
      <c r="AC55" s="2"/>
      <c r="AD55" s="72" t="b">
        <v>0</v>
      </c>
      <c r="AE55" s="72" t="b">
        <v>0</v>
      </c>
      <c r="AF55" s="72" t="b">
        <v>0</v>
      </c>
      <c r="AG55" s="2"/>
      <c r="AH55" s="2" t="str">
        <f t="shared" si="9"/>
        <v/>
      </c>
    </row>
    <row r="56" spans="1:34" ht="21" customHeight="1">
      <c r="A56" s="308" t="str">
        <f>IF(Roster!J24="English","  Notes",(IF(Roster!J24="Español","  Notas",(IF(Roster!J24="Deutsch","Notizen",(IF(Roster!J24="Français","Notes")))))))</f>
        <v xml:space="preserve">  Notes</v>
      </c>
      <c r="B56" s="309"/>
      <c r="C56" s="310"/>
      <c r="D56" s="311"/>
      <c r="E56" s="309"/>
      <c r="F56" s="309"/>
      <c r="G56" s="309"/>
      <c r="H56" s="309"/>
      <c r="I56" s="309"/>
      <c r="J56" s="309"/>
      <c r="K56" s="309"/>
      <c r="L56" s="309"/>
      <c r="M56" s="309"/>
      <c r="N56" s="309"/>
      <c r="O56" s="309"/>
      <c r="P56" s="309"/>
      <c r="Q56" s="309"/>
      <c r="R56" s="309"/>
      <c r="S56" s="309"/>
      <c r="T56" s="309"/>
      <c r="U56" s="309"/>
      <c r="V56" s="309"/>
      <c r="W56" s="309"/>
      <c r="X56" s="309"/>
      <c r="Y56" s="309"/>
      <c r="Z56" s="309"/>
      <c r="AA56" s="310"/>
      <c r="AB56" s="164"/>
      <c r="AC56" s="2"/>
      <c r="AD56" s="91"/>
      <c r="AE56" s="91"/>
      <c r="AF56" s="91"/>
      <c r="AG56" s="2"/>
      <c r="AH56" s="2"/>
    </row>
    <row r="57" spans="1:34" ht="8.25" customHeight="1">
      <c r="A57" s="312"/>
      <c r="B57" s="236"/>
      <c r="C57" s="236"/>
      <c r="D57" s="236"/>
      <c r="E57" s="236"/>
      <c r="F57" s="236"/>
      <c r="G57" s="236"/>
      <c r="H57" s="236"/>
      <c r="I57" s="236"/>
      <c r="J57" s="236"/>
      <c r="K57" s="236"/>
      <c r="L57" s="236"/>
      <c r="M57" s="236"/>
      <c r="N57" s="236"/>
      <c r="O57" s="236"/>
      <c r="P57" s="236"/>
      <c r="Q57" s="236"/>
      <c r="R57" s="236"/>
      <c r="S57" s="236"/>
      <c r="T57" s="236"/>
      <c r="U57" s="236"/>
      <c r="V57" s="236"/>
      <c r="W57" s="236"/>
      <c r="X57" s="236"/>
      <c r="Y57" s="236"/>
      <c r="Z57" s="236"/>
      <c r="AA57" s="236"/>
      <c r="AB57" s="237"/>
      <c r="AC57" s="2"/>
      <c r="AD57" s="2"/>
      <c r="AE57" s="2"/>
      <c r="AF57" s="2"/>
      <c r="AG57" s="2"/>
      <c r="AH57" s="2"/>
    </row>
    <row r="58" spans="1:34" ht="30" hidden="1" customHeight="1">
      <c r="A58" s="165"/>
      <c r="B58" s="307"/>
      <c r="C58" s="261"/>
      <c r="D58" s="166"/>
      <c r="E58" s="166"/>
      <c r="F58" s="167"/>
      <c r="G58" s="168"/>
      <c r="H58" s="167"/>
      <c r="I58" s="169"/>
      <c r="J58" s="168"/>
      <c r="K58" s="167"/>
      <c r="L58" s="170"/>
      <c r="M58" s="168"/>
      <c r="N58" s="171"/>
      <c r="O58" s="170"/>
      <c r="P58" s="168"/>
      <c r="Q58" s="171"/>
      <c r="R58" s="170"/>
      <c r="S58" s="168"/>
      <c r="T58" s="171"/>
      <c r="U58" s="167"/>
      <c r="V58" s="168"/>
      <c r="W58" s="167"/>
      <c r="X58" s="167"/>
      <c r="Y58" s="167"/>
      <c r="Z58" s="167"/>
      <c r="AA58" s="172"/>
      <c r="AB58" s="172"/>
      <c r="AC58" s="2"/>
      <c r="AD58" s="2"/>
      <c r="AE58" s="2"/>
      <c r="AF58" s="2"/>
      <c r="AG58" s="2"/>
      <c r="AH58" s="2"/>
    </row>
    <row r="59" spans="1:34" ht="30" hidden="1" customHeight="1">
      <c r="A59" s="165"/>
      <c r="B59" s="307"/>
      <c r="C59" s="261"/>
      <c r="D59" s="166"/>
      <c r="E59" s="166"/>
      <c r="F59" s="167"/>
      <c r="G59" s="168"/>
      <c r="H59" s="167"/>
      <c r="I59" s="169"/>
      <c r="J59" s="168"/>
      <c r="K59" s="167"/>
      <c r="L59" s="170"/>
      <c r="M59" s="168"/>
      <c r="N59" s="171"/>
      <c r="O59" s="170"/>
      <c r="P59" s="168"/>
      <c r="Q59" s="171"/>
      <c r="R59" s="170"/>
      <c r="S59" s="168"/>
      <c r="T59" s="171"/>
      <c r="U59" s="167"/>
      <c r="V59" s="168"/>
      <c r="W59" s="167"/>
      <c r="X59" s="167"/>
      <c r="Y59" s="167"/>
      <c r="Z59" s="167"/>
      <c r="AA59" s="172"/>
      <c r="AB59" s="172"/>
      <c r="AC59" s="2"/>
      <c r="AD59" s="2"/>
      <c r="AE59" s="2"/>
      <c r="AF59" s="2"/>
      <c r="AG59" s="2"/>
      <c r="AH59" s="2"/>
    </row>
    <row r="60" spans="1:34" ht="30" hidden="1" customHeight="1">
      <c r="A60" s="165"/>
      <c r="B60" s="307"/>
      <c r="C60" s="261"/>
      <c r="D60" s="166"/>
      <c r="E60" s="166"/>
      <c r="F60" s="167"/>
      <c r="G60" s="168"/>
      <c r="H60" s="167"/>
      <c r="I60" s="169"/>
      <c r="J60" s="168"/>
      <c r="K60" s="167"/>
      <c r="L60" s="170"/>
      <c r="M60" s="168"/>
      <c r="N60" s="171"/>
      <c r="O60" s="170"/>
      <c r="P60" s="168"/>
      <c r="Q60" s="171"/>
      <c r="R60" s="170"/>
      <c r="S60" s="168"/>
      <c r="T60" s="171"/>
      <c r="U60" s="167"/>
      <c r="V60" s="168"/>
      <c r="W60" s="167"/>
      <c r="X60" s="167"/>
      <c r="Y60" s="167"/>
      <c r="Z60" s="167"/>
      <c r="AA60" s="172"/>
      <c r="AB60" s="172"/>
      <c r="AC60" s="2"/>
      <c r="AD60" s="2"/>
      <c r="AE60" s="2"/>
      <c r="AF60" s="2"/>
      <c r="AG60" s="2"/>
      <c r="AH60" s="2"/>
    </row>
    <row r="61" spans="1:34" ht="30" hidden="1" customHeight="1">
      <c r="A61" s="165"/>
      <c r="B61" s="307"/>
      <c r="C61" s="261"/>
      <c r="D61" s="166"/>
      <c r="E61" s="166"/>
      <c r="F61" s="167"/>
      <c r="G61" s="168"/>
      <c r="H61" s="167"/>
      <c r="I61" s="169"/>
      <c r="J61" s="168"/>
      <c r="K61" s="167"/>
      <c r="L61" s="170"/>
      <c r="M61" s="168"/>
      <c r="N61" s="171"/>
      <c r="O61" s="170"/>
      <c r="P61" s="168"/>
      <c r="Q61" s="171"/>
      <c r="R61" s="170"/>
      <c r="S61" s="168"/>
      <c r="T61" s="171"/>
      <c r="U61" s="167"/>
      <c r="V61" s="168"/>
      <c r="W61" s="167"/>
      <c r="X61" s="167"/>
      <c r="Y61" s="167"/>
      <c r="Z61" s="167"/>
      <c r="AA61" s="172"/>
      <c r="AB61" s="172"/>
      <c r="AC61" s="2"/>
      <c r="AD61" s="2"/>
      <c r="AE61" s="2"/>
      <c r="AF61" s="2"/>
      <c r="AG61" s="2"/>
      <c r="AH61" s="2"/>
    </row>
    <row r="62" spans="1:34" ht="30" hidden="1" customHeight="1">
      <c r="A62" s="165"/>
      <c r="B62" s="307"/>
      <c r="C62" s="261"/>
      <c r="D62" s="166"/>
      <c r="E62" s="166"/>
      <c r="F62" s="167"/>
      <c r="G62" s="168"/>
      <c r="H62" s="167"/>
      <c r="I62" s="169"/>
      <c r="J62" s="168"/>
      <c r="K62" s="167"/>
      <c r="L62" s="170"/>
      <c r="M62" s="168"/>
      <c r="N62" s="171"/>
      <c r="O62" s="170"/>
      <c r="P62" s="168"/>
      <c r="Q62" s="171"/>
      <c r="R62" s="170"/>
      <c r="S62" s="168"/>
      <c r="T62" s="171"/>
      <c r="U62" s="167"/>
      <c r="V62" s="168"/>
      <c r="W62" s="167"/>
      <c r="X62" s="167"/>
      <c r="Y62" s="167"/>
      <c r="Z62" s="167"/>
      <c r="AA62" s="172"/>
      <c r="AB62" s="172"/>
      <c r="AC62" s="2"/>
      <c r="AD62" s="2"/>
      <c r="AE62" s="2"/>
      <c r="AF62" s="2"/>
      <c r="AG62" s="2"/>
      <c r="AH62" s="2"/>
    </row>
    <row r="63" spans="1:34" ht="30" hidden="1" customHeight="1">
      <c r="A63" s="165"/>
      <c r="B63" s="307"/>
      <c r="C63" s="261"/>
      <c r="D63" s="166"/>
      <c r="E63" s="166"/>
      <c r="F63" s="167"/>
      <c r="G63" s="168"/>
      <c r="H63" s="167"/>
      <c r="I63" s="169"/>
      <c r="J63" s="168"/>
      <c r="K63" s="167"/>
      <c r="L63" s="170"/>
      <c r="M63" s="168"/>
      <c r="N63" s="171"/>
      <c r="O63" s="170"/>
      <c r="P63" s="168"/>
      <c r="Q63" s="171"/>
      <c r="R63" s="170"/>
      <c r="S63" s="168"/>
      <c r="T63" s="171"/>
      <c r="U63" s="167"/>
      <c r="V63" s="168"/>
      <c r="W63" s="167"/>
      <c r="X63" s="167"/>
      <c r="Y63" s="167"/>
      <c r="Z63" s="167"/>
      <c r="AA63" s="172"/>
      <c r="AB63" s="172"/>
      <c r="AC63" s="2"/>
      <c r="AD63" s="2"/>
      <c r="AE63" s="2"/>
      <c r="AF63" s="2"/>
      <c r="AG63" s="2"/>
      <c r="AH63" s="2"/>
    </row>
    <row r="64" spans="1:34" ht="30" hidden="1" customHeight="1">
      <c r="A64" s="165"/>
      <c r="B64" s="307"/>
      <c r="C64" s="261"/>
      <c r="D64" s="166"/>
      <c r="E64" s="166"/>
      <c r="F64" s="167"/>
      <c r="G64" s="168"/>
      <c r="H64" s="167"/>
      <c r="I64" s="169"/>
      <c r="J64" s="168"/>
      <c r="K64" s="167"/>
      <c r="L64" s="170"/>
      <c r="M64" s="168"/>
      <c r="N64" s="171"/>
      <c r="O64" s="170"/>
      <c r="P64" s="168"/>
      <c r="Q64" s="171"/>
      <c r="R64" s="170"/>
      <c r="S64" s="168"/>
      <c r="T64" s="171"/>
      <c r="U64" s="167"/>
      <c r="V64" s="168"/>
      <c r="W64" s="167"/>
      <c r="X64" s="167"/>
      <c r="Y64" s="167"/>
      <c r="Z64" s="167"/>
      <c r="AA64" s="172"/>
      <c r="AB64" s="172"/>
      <c r="AC64" s="2"/>
      <c r="AD64" s="2"/>
      <c r="AE64" s="2"/>
      <c r="AF64" s="2"/>
      <c r="AG64" s="2"/>
      <c r="AH64" s="2"/>
    </row>
    <row r="65" spans="1:34" ht="30" hidden="1" customHeight="1">
      <c r="A65" s="165"/>
      <c r="B65" s="307"/>
      <c r="C65" s="261"/>
      <c r="D65" s="166"/>
      <c r="E65" s="166"/>
      <c r="F65" s="167"/>
      <c r="G65" s="168"/>
      <c r="H65" s="167"/>
      <c r="I65" s="169"/>
      <c r="J65" s="168"/>
      <c r="K65" s="167"/>
      <c r="L65" s="170"/>
      <c r="M65" s="168"/>
      <c r="N65" s="171"/>
      <c r="O65" s="170"/>
      <c r="P65" s="168"/>
      <c r="Q65" s="171"/>
      <c r="R65" s="170"/>
      <c r="S65" s="168"/>
      <c r="T65" s="171"/>
      <c r="U65" s="167"/>
      <c r="V65" s="168"/>
      <c r="W65" s="167"/>
      <c r="X65" s="167"/>
      <c r="Y65" s="167"/>
      <c r="Z65" s="167"/>
      <c r="AA65" s="172"/>
      <c r="AB65" s="172"/>
      <c r="AC65" s="2"/>
      <c r="AD65" s="2"/>
      <c r="AE65" s="2"/>
      <c r="AF65" s="2"/>
      <c r="AG65" s="2"/>
      <c r="AH65" s="2"/>
    </row>
    <row r="66" spans="1:34" ht="30" hidden="1" customHeight="1">
      <c r="A66" s="165"/>
      <c r="B66" s="307"/>
      <c r="C66" s="261"/>
      <c r="D66" s="166"/>
      <c r="E66" s="166"/>
      <c r="F66" s="167"/>
      <c r="G66" s="168"/>
      <c r="H66" s="167"/>
      <c r="I66" s="169"/>
      <c r="J66" s="168"/>
      <c r="K66" s="167"/>
      <c r="L66" s="170"/>
      <c r="M66" s="168"/>
      <c r="N66" s="171"/>
      <c r="O66" s="170"/>
      <c r="P66" s="168"/>
      <c r="Q66" s="171"/>
      <c r="R66" s="170"/>
      <c r="S66" s="168"/>
      <c r="T66" s="171"/>
      <c r="U66" s="167"/>
      <c r="V66" s="168"/>
      <c r="W66" s="167"/>
      <c r="X66" s="167"/>
      <c r="Y66" s="167"/>
      <c r="Z66" s="167"/>
      <c r="AA66" s="172"/>
      <c r="AB66" s="172"/>
      <c r="AC66" s="2"/>
      <c r="AD66" s="2"/>
      <c r="AE66" s="2"/>
      <c r="AF66" s="2"/>
      <c r="AG66" s="2"/>
      <c r="AH66" s="2"/>
    </row>
    <row r="67" spans="1:34" ht="30" hidden="1" customHeight="1">
      <c r="A67" s="165"/>
      <c r="B67" s="307"/>
      <c r="C67" s="261"/>
      <c r="D67" s="166"/>
      <c r="E67" s="166"/>
      <c r="F67" s="167"/>
      <c r="G67" s="168"/>
      <c r="H67" s="167"/>
      <c r="I67" s="169"/>
      <c r="J67" s="168"/>
      <c r="K67" s="167"/>
      <c r="L67" s="170"/>
      <c r="M67" s="168"/>
      <c r="N67" s="171"/>
      <c r="O67" s="170"/>
      <c r="P67" s="168"/>
      <c r="Q67" s="171"/>
      <c r="R67" s="170"/>
      <c r="S67" s="168"/>
      <c r="T67" s="171"/>
      <c r="U67" s="167"/>
      <c r="V67" s="168"/>
      <c r="W67" s="167"/>
      <c r="X67" s="167"/>
      <c r="Y67" s="167"/>
      <c r="Z67" s="167"/>
      <c r="AA67" s="172"/>
      <c r="AB67" s="172"/>
      <c r="AC67" s="2"/>
      <c r="AD67" s="2"/>
      <c r="AE67" s="2"/>
      <c r="AF67" s="2"/>
      <c r="AG67" s="2"/>
      <c r="AH67" s="2"/>
    </row>
    <row r="68" spans="1:34" ht="30" hidden="1" customHeight="1">
      <c r="A68" s="165"/>
      <c r="B68" s="307"/>
      <c r="C68" s="261"/>
      <c r="D68" s="166"/>
      <c r="E68" s="166"/>
      <c r="F68" s="167"/>
      <c r="G68" s="168"/>
      <c r="H68" s="167"/>
      <c r="I68" s="169"/>
      <c r="J68" s="168"/>
      <c r="K68" s="167"/>
      <c r="L68" s="170"/>
      <c r="M68" s="168"/>
      <c r="N68" s="171"/>
      <c r="O68" s="170"/>
      <c r="P68" s="168"/>
      <c r="Q68" s="171"/>
      <c r="R68" s="170"/>
      <c r="S68" s="168"/>
      <c r="T68" s="171"/>
      <c r="U68" s="167"/>
      <c r="V68" s="168"/>
      <c r="W68" s="167"/>
      <c r="X68" s="167"/>
      <c r="Y68" s="167"/>
      <c r="Z68" s="167"/>
      <c r="AA68" s="172"/>
      <c r="AB68" s="172"/>
      <c r="AC68" s="2"/>
      <c r="AD68" s="2"/>
      <c r="AE68" s="2"/>
      <c r="AF68" s="2"/>
      <c r="AG68" s="2"/>
      <c r="AH68" s="2"/>
    </row>
    <row r="69" spans="1:34" ht="30" hidden="1" customHeight="1">
      <c r="A69" s="165"/>
      <c r="B69" s="307"/>
      <c r="C69" s="261"/>
      <c r="D69" s="166"/>
      <c r="E69" s="166"/>
      <c r="F69" s="167"/>
      <c r="G69" s="168"/>
      <c r="H69" s="167"/>
      <c r="I69" s="169"/>
      <c r="J69" s="168"/>
      <c r="K69" s="167"/>
      <c r="L69" s="170"/>
      <c r="M69" s="168"/>
      <c r="N69" s="171"/>
      <c r="O69" s="170"/>
      <c r="P69" s="168"/>
      <c r="Q69" s="171"/>
      <c r="R69" s="170"/>
      <c r="S69" s="168"/>
      <c r="T69" s="171"/>
      <c r="U69" s="167"/>
      <c r="V69" s="168"/>
      <c r="W69" s="167"/>
      <c r="X69" s="167"/>
      <c r="Y69" s="167"/>
      <c r="Z69" s="167"/>
      <c r="AA69" s="172"/>
      <c r="AB69" s="172"/>
      <c r="AC69" s="2"/>
      <c r="AD69" s="2"/>
      <c r="AE69" s="2"/>
      <c r="AF69" s="2"/>
      <c r="AG69" s="2"/>
      <c r="AH69" s="2"/>
    </row>
    <row r="70" spans="1:34" ht="30" hidden="1" customHeight="1">
      <c r="A70" s="165"/>
      <c r="B70" s="307"/>
      <c r="C70" s="261"/>
      <c r="D70" s="166"/>
      <c r="E70" s="166"/>
      <c r="F70" s="167"/>
      <c r="G70" s="168"/>
      <c r="H70" s="167"/>
      <c r="I70" s="169"/>
      <c r="J70" s="168"/>
      <c r="K70" s="167"/>
      <c r="L70" s="170"/>
      <c r="M70" s="168"/>
      <c r="N70" s="171"/>
      <c r="O70" s="170"/>
      <c r="P70" s="168"/>
      <c r="Q70" s="171"/>
      <c r="R70" s="170"/>
      <c r="S70" s="168"/>
      <c r="T70" s="171"/>
      <c r="U70" s="167"/>
      <c r="V70" s="168"/>
      <c r="W70" s="167"/>
      <c r="X70" s="167"/>
      <c r="Y70" s="167"/>
      <c r="Z70" s="167"/>
      <c r="AA70" s="172"/>
      <c r="AB70" s="172"/>
      <c r="AC70" s="2"/>
      <c r="AD70" s="2"/>
      <c r="AE70" s="2"/>
      <c r="AF70" s="2"/>
      <c r="AG70" s="2"/>
      <c r="AH70" s="2"/>
    </row>
    <row r="71" spans="1:34" ht="30" hidden="1" customHeight="1">
      <c r="A71" s="165"/>
      <c r="B71" s="307"/>
      <c r="C71" s="261"/>
      <c r="D71" s="166"/>
      <c r="E71" s="166"/>
      <c r="F71" s="167"/>
      <c r="G71" s="168"/>
      <c r="H71" s="167"/>
      <c r="I71" s="169"/>
      <c r="J71" s="168"/>
      <c r="K71" s="167"/>
      <c r="L71" s="170"/>
      <c r="M71" s="168"/>
      <c r="N71" s="171"/>
      <c r="O71" s="170"/>
      <c r="P71" s="168"/>
      <c r="Q71" s="171"/>
      <c r="R71" s="170"/>
      <c r="S71" s="168"/>
      <c r="T71" s="171"/>
      <c r="U71" s="167"/>
      <c r="V71" s="168"/>
      <c r="W71" s="167"/>
      <c r="X71" s="167"/>
      <c r="Y71" s="167"/>
      <c r="Z71" s="167"/>
      <c r="AA71" s="172"/>
      <c r="AB71" s="172"/>
      <c r="AC71" s="2"/>
      <c r="AD71" s="2"/>
      <c r="AE71" s="2"/>
      <c r="AF71" s="2"/>
      <c r="AG71" s="2"/>
      <c r="AH71" s="2"/>
    </row>
    <row r="72" spans="1:34" ht="30" hidden="1" customHeight="1">
      <c r="A72" s="165"/>
      <c r="B72" s="307"/>
      <c r="C72" s="261"/>
      <c r="D72" s="166"/>
      <c r="E72" s="166"/>
      <c r="F72" s="167"/>
      <c r="G72" s="168"/>
      <c r="H72" s="167"/>
      <c r="I72" s="169"/>
      <c r="J72" s="168"/>
      <c r="K72" s="167"/>
      <c r="L72" s="170"/>
      <c r="M72" s="168"/>
      <c r="N72" s="171"/>
      <c r="O72" s="170"/>
      <c r="P72" s="168"/>
      <c r="Q72" s="171"/>
      <c r="R72" s="170"/>
      <c r="S72" s="168"/>
      <c r="T72" s="171"/>
      <c r="U72" s="167"/>
      <c r="V72" s="168"/>
      <c r="W72" s="167"/>
      <c r="X72" s="167"/>
      <c r="Y72" s="167"/>
      <c r="Z72" s="167"/>
      <c r="AA72" s="172"/>
      <c r="AB72" s="172"/>
      <c r="AC72" s="2"/>
      <c r="AD72" s="2"/>
      <c r="AE72" s="2"/>
      <c r="AF72" s="2"/>
      <c r="AG72" s="2"/>
      <c r="AH72" s="2"/>
    </row>
    <row r="73" spans="1:34" ht="30" hidden="1" customHeight="1">
      <c r="A73" s="165"/>
      <c r="B73" s="307"/>
      <c r="C73" s="261"/>
      <c r="D73" s="166"/>
      <c r="E73" s="166"/>
      <c r="F73" s="167"/>
      <c r="G73" s="168"/>
      <c r="H73" s="167"/>
      <c r="I73" s="169"/>
      <c r="J73" s="168"/>
      <c r="K73" s="167"/>
      <c r="L73" s="170"/>
      <c r="M73" s="168"/>
      <c r="N73" s="171"/>
      <c r="O73" s="170"/>
      <c r="P73" s="168"/>
      <c r="Q73" s="171"/>
      <c r="R73" s="170"/>
      <c r="S73" s="168"/>
      <c r="T73" s="171"/>
      <c r="U73" s="167"/>
      <c r="V73" s="168"/>
      <c r="W73" s="167"/>
      <c r="X73" s="167"/>
      <c r="Y73" s="167"/>
      <c r="Z73" s="167"/>
      <c r="AA73" s="172"/>
      <c r="AB73" s="172"/>
      <c r="AC73" s="2"/>
      <c r="AD73" s="2"/>
      <c r="AE73" s="2"/>
      <c r="AF73" s="2"/>
      <c r="AG73" s="2"/>
      <c r="AH73" s="2"/>
    </row>
    <row r="74" spans="1:34" ht="30" hidden="1" customHeight="1">
      <c r="A74" s="165"/>
      <c r="B74" s="307"/>
      <c r="C74" s="261"/>
      <c r="D74" s="166"/>
      <c r="E74" s="166"/>
      <c r="F74" s="167"/>
      <c r="G74" s="168"/>
      <c r="H74" s="167"/>
      <c r="I74" s="169"/>
      <c r="J74" s="168"/>
      <c r="K74" s="167"/>
      <c r="L74" s="170"/>
      <c r="M74" s="168"/>
      <c r="N74" s="171"/>
      <c r="O74" s="170"/>
      <c r="P74" s="168"/>
      <c r="Q74" s="171"/>
      <c r="R74" s="170"/>
      <c r="S74" s="168"/>
      <c r="T74" s="171"/>
      <c r="U74" s="167"/>
      <c r="V74" s="168"/>
      <c r="W74" s="167"/>
      <c r="X74" s="167"/>
      <c r="Y74" s="167"/>
      <c r="Z74" s="167"/>
      <c r="AA74" s="172"/>
      <c r="AB74" s="172"/>
      <c r="AC74" s="2"/>
      <c r="AD74" s="2"/>
      <c r="AE74" s="2"/>
      <c r="AF74" s="2"/>
      <c r="AG74" s="2"/>
      <c r="AH74" s="2"/>
    </row>
    <row r="75" spans="1:34" ht="30" hidden="1" customHeight="1">
      <c r="A75" s="165"/>
      <c r="B75" s="307"/>
      <c r="C75" s="261"/>
      <c r="D75" s="166"/>
      <c r="E75" s="166"/>
      <c r="F75" s="167"/>
      <c r="G75" s="168"/>
      <c r="H75" s="167"/>
      <c r="I75" s="169"/>
      <c r="J75" s="168"/>
      <c r="K75" s="167"/>
      <c r="L75" s="170"/>
      <c r="M75" s="168"/>
      <c r="N75" s="171"/>
      <c r="O75" s="170"/>
      <c r="P75" s="168"/>
      <c r="Q75" s="171"/>
      <c r="R75" s="170"/>
      <c r="S75" s="168"/>
      <c r="T75" s="171"/>
      <c r="U75" s="167"/>
      <c r="V75" s="168"/>
      <c r="W75" s="167"/>
      <c r="X75" s="167"/>
      <c r="Y75" s="167"/>
      <c r="Z75" s="167"/>
      <c r="AA75" s="172"/>
      <c r="AB75" s="172"/>
      <c r="AC75" s="2"/>
      <c r="AD75" s="2"/>
      <c r="AE75" s="2"/>
      <c r="AF75" s="2"/>
      <c r="AG75" s="2"/>
      <c r="AH75" s="2"/>
    </row>
    <row r="76" spans="1:34" ht="30" hidden="1" customHeight="1">
      <c r="A76" s="165"/>
      <c r="B76" s="307"/>
      <c r="C76" s="261"/>
      <c r="D76" s="166"/>
      <c r="E76" s="166"/>
      <c r="F76" s="167"/>
      <c r="G76" s="168"/>
      <c r="H76" s="167"/>
      <c r="I76" s="169"/>
      <c r="J76" s="168"/>
      <c r="K76" s="167"/>
      <c r="L76" s="170"/>
      <c r="M76" s="168"/>
      <c r="N76" s="171"/>
      <c r="O76" s="170"/>
      <c r="P76" s="168"/>
      <c r="Q76" s="171"/>
      <c r="R76" s="170"/>
      <c r="S76" s="168"/>
      <c r="T76" s="171"/>
      <c r="U76" s="167"/>
      <c r="V76" s="168"/>
      <c r="W76" s="167"/>
      <c r="X76" s="167"/>
      <c r="Y76" s="167"/>
      <c r="Z76" s="167"/>
      <c r="AA76" s="172"/>
      <c r="AB76" s="172"/>
      <c r="AC76" s="2"/>
      <c r="AD76" s="2"/>
      <c r="AE76" s="2"/>
      <c r="AF76" s="2"/>
      <c r="AG76" s="2"/>
      <c r="AH76" s="2"/>
    </row>
    <row r="77" spans="1:34" ht="30" hidden="1" customHeight="1">
      <c r="A77" s="165"/>
      <c r="B77" s="307"/>
      <c r="C77" s="261"/>
      <c r="D77" s="166"/>
      <c r="E77" s="166"/>
      <c r="F77" s="167"/>
      <c r="G77" s="168"/>
      <c r="H77" s="167"/>
      <c r="I77" s="169"/>
      <c r="J77" s="168"/>
      <c r="K77" s="167"/>
      <c r="L77" s="170"/>
      <c r="M77" s="168"/>
      <c r="N77" s="171"/>
      <c r="O77" s="170"/>
      <c r="P77" s="168"/>
      <c r="Q77" s="171"/>
      <c r="R77" s="170"/>
      <c r="S77" s="168"/>
      <c r="T77" s="171"/>
      <c r="U77" s="167"/>
      <c r="V77" s="168"/>
      <c r="W77" s="167"/>
      <c r="X77" s="167"/>
      <c r="Y77" s="167"/>
      <c r="Z77" s="167"/>
      <c r="AA77" s="172"/>
      <c r="AB77" s="172"/>
      <c r="AC77" s="2"/>
      <c r="AD77" s="2"/>
      <c r="AE77" s="2"/>
      <c r="AF77" s="2"/>
      <c r="AG77" s="2"/>
      <c r="AH77" s="2"/>
    </row>
    <row r="78" spans="1:34" ht="30" hidden="1" customHeight="1">
      <c r="A78" s="165"/>
      <c r="B78" s="307"/>
      <c r="C78" s="261"/>
      <c r="D78" s="166"/>
      <c r="E78" s="166"/>
      <c r="F78" s="167"/>
      <c r="G78" s="168"/>
      <c r="H78" s="167"/>
      <c r="I78" s="169"/>
      <c r="J78" s="168"/>
      <c r="K78" s="167"/>
      <c r="L78" s="170"/>
      <c r="M78" s="168"/>
      <c r="N78" s="171"/>
      <c r="O78" s="170"/>
      <c r="P78" s="168"/>
      <c r="Q78" s="171"/>
      <c r="R78" s="170"/>
      <c r="S78" s="168"/>
      <c r="T78" s="171"/>
      <c r="U78" s="167"/>
      <c r="V78" s="168"/>
      <c r="W78" s="167"/>
      <c r="X78" s="167"/>
      <c r="Y78" s="167"/>
      <c r="Z78" s="167"/>
      <c r="AA78" s="172"/>
      <c r="AB78" s="172"/>
      <c r="AC78" s="2"/>
      <c r="AD78" s="2"/>
      <c r="AE78" s="2"/>
      <c r="AF78" s="2"/>
      <c r="AG78" s="2"/>
      <c r="AH78" s="2"/>
    </row>
    <row r="79" spans="1:34" ht="30" hidden="1" customHeight="1">
      <c r="A79" s="165"/>
      <c r="B79" s="307"/>
      <c r="C79" s="261"/>
      <c r="D79" s="166"/>
      <c r="E79" s="166"/>
      <c r="F79" s="167"/>
      <c r="G79" s="168"/>
      <c r="H79" s="167"/>
      <c r="I79" s="169"/>
      <c r="J79" s="168"/>
      <c r="K79" s="167"/>
      <c r="L79" s="170"/>
      <c r="M79" s="168"/>
      <c r="N79" s="171"/>
      <c r="O79" s="170"/>
      <c r="P79" s="168"/>
      <c r="Q79" s="171"/>
      <c r="R79" s="170"/>
      <c r="S79" s="168"/>
      <c r="T79" s="171"/>
      <c r="U79" s="167"/>
      <c r="V79" s="168"/>
      <c r="W79" s="167"/>
      <c r="X79" s="167"/>
      <c r="Y79" s="167"/>
      <c r="Z79" s="167"/>
      <c r="AA79" s="172"/>
      <c r="AB79" s="172"/>
      <c r="AC79" s="2"/>
      <c r="AD79" s="2"/>
      <c r="AE79" s="2"/>
      <c r="AF79" s="2"/>
      <c r="AG79" s="2"/>
      <c r="AH79" s="2"/>
    </row>
    <row r="80" spans="1:34" ht="30" hidden="1" customHeight="1">
      <c r="A80" s="165"/>
      <c r="B80" s="307"/>
      <c r="C80" s="261"/>
      <c r="D80" s="166"/>
      <c r="E80" s="166"/>
      <c r="F80" s="167"/>
      <c r="G80" s="168"/>
      <c r="H80" s="167"/>
      <c r="I80" s="169"/>
      <c r="J80" s="168"/>
      <c r="K80" s="167"/>
      <c r="L80" s="170"/>
      <c r="M80" s="168"/>
      <c r="N80" s="171"/>
      <c r="O80" s="170"/>
      <c r="P80" s="168"/>
      <c r="Q80" s="171"/>
      <c r="R80" s="170"/>
      <c r="S80" s="168"/>
      <c r="T80" s="171"/>
      <c r="U80" s="167"/>
      <c r="V80" s="168"/>
      <c r="W80" s="167"/>
      <c r="X80" s="167"/>
      <c r="Y80" s="167"/>
      <c r="Z80" s="167"/>
      <c r="AA80" s="172"/>
      <c r="AB80" s="172"/>
      <c r="AC80" s="2"/>
      <c r="AD80" s="2"/>
      <c r="AE80" s="2"/>
      <c r="AF80" s="2"/>
      <c r="AG80" s="2"/>
      <c r="AH80" s="2"/>
    </row>
    <row r="81" spans="1:34" ht="30" hidden="1" customHeight="1">
      <c r="A81" s="165"/>
      <c r="B81" s="307"/>
      <c r="C81" s="261"/>
      <c r="D81" s="166"/>
      <c r="E81" s="166"/>
      <c r="F81" s="167"/>
      <c r="G81" s="168"/>
      <c r="H81" s="167"/>
      <c r="I81" s="169"/>
      <c r="J81" s="168"/>
      <c r="K81" s="167"/>
      <c r="L81" s="170"/>
      <c r="M81" s="168"/>
      <c r="N81" s="171"/>
      <c r="O81" s="170"/>
      <c r="P81" s="168"/>
      <c r="Q81" s="171"/>
      <c r="R81" s="170"/>
      <c r="S81" s="168"/>
      <c r="T81" s="171"/>
      <c r="U81" s="167"/>
      <c r="V81" s="168"/>
      <c r="W81" s="167"/>
      <c r="X81" s="167"/>
      <c r="Y81" s="167"/>
      <c r="Z81" s="167"/>
      <c r="AA81" s="172"/>
      <c r="AB81" s="172"/>
      <c r="AC81" s="2"/>
      <c r="AD81" s="2"/>
      <c r="AE81" s="2"/>
      <c r="AF81" s="2"/>
      <c r="AG81" s="2"/>
      <c r="AH81" s="2"/>
    </row>
    <row r="82" spans="1:34" ht="30" hidden="1" customHeight="1">
      <c r="A82" s="165"/>
      <c r="B82" s="307"/>
      <c r="C82" s="261"/>
      <c r="D82" s="166"/>
      <c r="E82" s="166"/>
      <c r="F82" s="167"/>
      <c r="G82" s="168"/>
      <c r="H82" s="167"/>
      <c r="I82" s="169"/>
      <c r="J82" s="168"/>
      <c r="K82" s="167"/>
      <c r="L82" s="170"/>
      <c r="M82" s="168"/>
      <c r="N82" s="171"/>
      <c r="O82" s="170"/>
      <c r="P82" s="168"/>
      <c r="Q82" s="171"/>
      <c r="R82" s="170"/>
      <c r="S82" s="168"/>
      <c r="T82" s="171"/>
      <c r="U82" s="167"/>
      <c r="V82" s="168"/>
      <c r="W82" s="167"/>
      <c r="X82" s="167"/>
      <c r="Y82" s="167"/>
      <c r="Z82" s="167"/>
      <c r="AA82" s="172"/>
      <c r="AB82" s="172"/>
      <c r="AC82" s="2"/>
      <c r="AD82" s="2"/>
      <c r="AE82" s="2"/>
      <c r="AF82" s="2"/>
      <c r="AG82" s="2"/>
      <c r="AH82" s="2"/>
    </row>
    <row r="83" spans="1:34" ht="30" hidden="1" customHeight="1">
      <c r="A83" s="165"/>
      <c r="B83" s="307"/>
      <c r="C83" s="261"/>
      <c r="D83" s="166"/>
      <c r="E83" s="166"/>
      <c r="F83" s="167"/>
      <c r="G83" s="168"/>
      <c r="H83" s="167"/>
      <c r="I83" s="169"/>
      <c r="J83" s="168"/>
      <c r="K83" s="167"/>
      <c r="L83" s="170"/>
      <c r="M83" s="168"/>
      <c r="N83" s="171"/>
      <c r="O83" s="170"/>
      <c r="P83" s="168"/>
      <c r="Q83" s="171"/>
      <c r="R83" s="170"/>
      <c r="S83" s="168"/>
      <c r="T83" s="171"/>
      <c r="U83" s="167"/>
      <c r="V83" s="168"/>
      <c r="W83" s="167"/>
      <c r="X83" s="167"/>
      <c r="Y83" s="167"/>
      <c r="Z83" s="167"/>
      <c r="AA83" s="172"/>
      <c r="AB83" s="172"/>
      <c r="AC83" s="2"/>
      <c r="AD83" s="2"/>
      <c r="AE83" s="2"/>
      <c r="AF83" s="2"/>
      <c r="AG83" s="2"/>
      <c r="AH83" s="2"/>
    </row>
    <row r="84" spans="1:34" ht="30" hidden="1" customHeight="1">
      <c r="A84" s="165"/>
      <c r="B84" s="307"/>
      <c r="C84" s="261"/>
      <c r="D84" s="166"/>
      <c r="E84" s="166"/>
      <c r="F84" s="167"/>
      <c r="G84" s="168"/>
      <c r="H84" s="167"/>
      <c r="I84" s="169"/>
      <c r="J84" s="168"/>
      <c r="K84" s="167"/>
      <c r="L84" s="170"/>
      <c r="M84" s="168"/>
      <c r="N84" s="171"/>
      <c r="O84" s="170"/>
      <c r="P84" s="168"/>
      <c r="Q84" s="171"/>
      <c r="R84" s="170"/>
      <c r="S84" s="168"/>
      <c r="T84" s="171"/>
      <c r="U84" s="167"/>
      <c r="V84" s="168"/>
      <c r="W84" s="167"/>
      <c r="X84" s="167"/>
      <c r="Y84" s="167"/>
      <c r="Z84" s="167"/>
      <c r="AA84" s="172"/>
      <c r="AB84" s="172"/>
      <c r="AC84" s="2"/>
      <c r="AD84" s="2"/>
      <c r="AE84" s="2"/>
      <c r="AF84" s="2"/>
      <c r="AG84" s="2"/>
      <c r="AH84" s="2"/>
    </row>
    <row r="85" spans="1:34" ht="30" hidden="1" customHeight="1">
      <c r="A85" s="165"/>
      <c r="B85" s="307"/>
      <c r="C85" s="261"/>
      <c r="D85" s="166"/>
      <c r="E85" s="166"/>
      <c r="F85" s="167"/>
      <c r="G85" s="168"/>
      <c r="H85" s="167"/>
      <c r="I85" s="169"/>
      <c r="J85" s="168"/>
      <c r="K85" s="167"/>
      <c r="L85" s="170"/>
      <c r="M85" s="168"/>
      <c r="N85" s="171"/>
      <c r="O85" s="170"/>
      <c r="P85" s="168"/>
      <c r="Q85" s="171"/>
      <c r="R85" s="170"/>
      <c r="S85" s="168"/>
      <c r="T85" s="171"/>
      <c r="U85" s="167"/>
      <c r="V85" s="168"/>
      <c r="W85" s="167"/>
      <c r="X85" s="167"/>
      <c r="Y85" s="167"/>
      <c r="Z85" s="167"/>
      <c r="AA85" s="172"/>
      <c r="AB85" s="172"/>
      <c r="AC85" s="2"/>
      <c r="AD85" s="2"/>
      <c r="AE85" s="2"/>
      <c r="AF85" s="2"/>
      <c r="AG85" s="2"/>
      <c r="AH85" s="2"/>
    </row>
    <row r="86" spans="1:34" ht="30" hidden="1" customHeight="1">
      <c r="A86" s="165"/>
      <c r="B86" s="307"/>
      <c r="C86" s="261"/>
      <c r="D86" s="166"/>
      <c r="E86" s="166"/>
      <c r="F86" s="167"/>
      <c r="G86" s="168"/>
      <c r="H86" s="167"/>
      <c r="I86" s="169"/>
      <c r="J86" s="168"/>
      <c r="K86" s="167"/>
      <c r="L86" s="170"/>
      <c r="M86" s="168"/>
      <c r="N86" s="171"/>
      <c r="O86" s="170"/>
      <c r="P86" s="168"/>
      <c r="Q86" s="171"/>
      <c r="R86" s="170"/>
      <c r="S86" s="168"/>
      <c r="T86" s="171"/>
      <c r="U86" s="167"/>
      <c r="V86" s="168"/>
      <c r="W86" s="167"/>
      <c r="X86" s="167"/>
      <c r="Y86" s="167"/>
      <c r="Z86" s="167"/>
      <c r="AA86" s="172"/>
      <c r="AB86" s="172"/>
      <c r="AC86" s="2"/>
      <c r="AD86" s="2"/>
      <c r="AE86" s="2"/>
      <c r="AF86" s="2"/>
      <c r="AG86" s="2"/>
      <c r="AH86" s="2"/>
    </row>
    <row r="87" spans="1:34" ht="30" hidden="1" customHeight="1">
      <c r="A87" s="165"/>
      <c r="B87" s="307"/>
      <c r="C87" s="261"/>
      <c r="D87" s="166"/>
      <c r="E87" s="166"/>
      <c r="F87" s="167"/>
      <c r="G87" s="168"/>
      <c r="H87" s="167"/>
      <c r="I87" s="169"/>
      <c r="J87" s="168"/>
      <c r="K87" s="167"/>
      <c r="L87" s="170"/>
      <c r="M87" s="168"/>
      <c r="N87" s="171"/>
      <c r="O87" s="170"/>
      <c r="P87" s="168"/>
      <c r="Q87" s="171"/>
      <c r="R87" s="170"/>
      <c r="S87" s="168"/>
      <c r="T87" s="171"/>
      <c r="U87" s="167"/>
      <c r="V87" s="168"/>
      <c r="W87" s="167"/>
      <c r="X87" s="167"/>
      <c r="Y87" s="167"/>
      <c r="Z87" s="167"/>
      <c r="AA87" s="172"/>
      <c r="AB87" s="172"/>
      <c r="AC87" s="2"/>
      <c r="AD87" s="2"/>
      <c r="AE87" s="2"/>
      <c r="AF87" s="2"/>
      <c r="AG87" s="2"/>
      <c r="AH87" s="2"/>
    </row>
    <row r="88" spans="1:34" ht="30" hidden="1" customHeight="1">
      <c r="A88" s="165"/>
      <c r="B88" s="307"/>
      <c r="C88" s="261"/>
      <c r="D88" s="166"/>
      <c r="E88" s="166"/>
      <c r="F88" s="167"/>
      <c r="G88" s="168"/>
      <c r="H88" s="167"/>
      <c r="I88" s="169"/>
      <c r="J88" s="168"/>
      <c r="K88" s="167"/>
      <c r="L88" s="170"/>
      <c r="M88" s="168"/>
      <c r="N88" s="171"/>
      <c r="O88" s="170"/>
      <c r="P88" s="168"/>
      <c r="Q88" s="171"/>
      <c r="R88" s="170"/>
      <c r="S88" s="168"/>
      <c r="T88" s="171"/>
      <c r="U88" s="167"/>
      <c r="V88" s="168"/>
      <c r="W88" s="167"/>
      <c r="X88" s="167"/>
      <c r="Y88" s="167"/>
      <c r="Z88" s="167"/>
      <c r="AA88" s="172"/>
      <c r="AB88" s="172"/>
      <c r="AC88" s="2"/>
      <c r="AD88" s="2"/>
      <c r="AE88" s="2"/>
      <c r="AF88" s="2"/>
      <c r="AG88" s="2"/>
      <c r="AH88" s="2"/>
    </row>
    <row r="89" spans="1:34" ht="30" hidden="1" customHeight="1">
      <c r="A89" s="165"/>
      <c r="B89" s="307"/>
      <c r="C89" s="261"/>
      <c r="D89" s="166"/>
      <c r="E89" s="166"/>
      <c r="F89" s="167"/>
      <c r="G89" s="168"/>
      <c r="H89" s="167"/>
      <c r="I89" s="169"/>
      <c r="J89" s="168"/>
      <c r="K89" s="167"/>
      <c r="L89" s="170"/>
      <c r="M89" s="168"/>
      <c r="N89" s="171"/>
      <c r="O89" s="170"/>
      <c r="P89" s="168"/>
      <c r="Q89" s="171"/>
      <c r="R89" s="170"/>
      <c r="S89" s="168"/>
      <c r="T89" s="171"/>
      <c r="U89" s="167"/>
      <c r="V89" s="168"/>
      <c r="W89" s="167"/>
      <c r="X89" s="167"/>
      <c r="Y89" s="167"/>
      <c r="Z89" s="167"/>
      <c r="AA89" s="172"/>
      <c r="AB89" s="172"/>
      <c r="AC89" s="2"/>
      <c r="AD89" s="2"/>
      <c r="AE89" s="2"/>
      <c r="AF89" s="2"/>
      <c r="AG89" s="2"/>
      <c r="AH89" s="2"/>
    </row>
    <row r="90" spans="1:34" ht="30" hidden="1" customHeight="1">
      <c r="A90" s="165"/>
      <c r="B90" s="307"/>
      <c r="C90" s="261"/>
      <c r="D90" s="166"/>
      <c r="E90" s="166"/>
      <c r="F90" s="167"/>
      <c r="G90" s="168"/>
      <c r="H90" s="167"/>
      <c r="I90" s="169"/>
      <c r="J90" s="168"/>
      <c r="K90" s="167"/>
      <c r="L90" s="170"/>
      <c r="M90" s="168"/>
      <c r="N90" s="171"/>
      <c r="O90" s="170"/>
      <c r="P90" s="168"/>
      <c r="Q90" s="171"/>
      <c r="R90" s="170"/>
      <c r="S90" s="168"/>
      <c r="T90" s="171"/>
      <c r="U90" s="167"/>
      <c r="V90" s="168"/>
      <c r="W90" s="167"/>
      <c r="X90" s="167"/>
      <c r="Y90" s="167"/>
      <c r="Z90" s="167"/>
      <c r="AA90" s="172"/>
      <c r="AB90" s="172"/>
      <c r="AC90" s="2"/>
      <c r="AD90" s="2"/>
      <c r="AE90" s="2"/>
      <c r="AF90" s="2"/>
      <c r="AG90" s="2"/>
      <c r="AH90" s="2"/>
    </row>
    <row r="91" spans="1:34" ht="30" hidden="1" customHeight="1">
      <c r="A91" s="165"/>
      <c r="B91" s="307"/>
      <c r="C91" s="261"/>
      <c r="D91" s="166"/>
      <c r="E91" s="166"/>
      <c r="F91" s="167"/>
      <c r="G91" s="168"/>
      <c r="H91" s="167"/>
      <c r="I91" s="169"/>
      <c r="J91" s="168"/>
      <c r="K91" s="167"/>
      <c r="L91" s="170"/>
      <c r="M91" s="168"/>
      <c r="N91" s="171"/>
      <c r="O91" s="170"/>
      <c r="P91" s="168"/>
      <c r="Q91" s="171"/>
      <c r="R91" s="170"/>
      <c r="S91" s="168"/>
      <c r="T91" s="171"/>
      <c r="U91" s="167"/>
      <c r="V91" s="168"/>
      <c r="W91" s="167"/>
      <c r="X91" s="167"/>
      <c r="Y91" s="167"/>
      <c r="Z91" s="167"/>
      <c r="AA91" s="172"/>
      <c r="AB91" s="172"/>
      <c r="AC91" s="2"/>
      <c r="AD91" s="2"/>
      <c r="AE91" s="2"/>
      <c r="AF91" s="2"/>
      <c r="AG91" s="2"/>
      <c r="AH91" s="2"/>
    </row>
    <row r="92" spans="1:34" ht="30" hidden="1" customHeight="1">
      <c r="A92" s="165"/>
      <c r="B92" s="307"/>
      <c r="C92" s="261"/>
      <c r="D92" s="166"/>
      <c r="E92" s="166"/>
      <c r="F92" s="167"/>
      <c r="G92" s="168"/>
      <c r="H92" s="167"/>
      <c r="I92" s="169"/>
      <c r="J92" s="168"/>
      <c r="K92" s="167"/>
      <c r="L92" s="170"/>
      <c r="M92" s="168"/>
      <c r="N92" s="171"/>
      <c r="O92" s="170"/>
      <c r="P92" s="168"/>
      <c r="Q92" s="171"/>
      <c r="R92" s="170"/>
      <c r="S92" s="168"/>
      <c r="T92" s="171"/>
      <c r="U92" s="167"/>
      <c r="V92" s="168"/>
      <c r="W92" s="167"/>
      <c r="X92" s="167"/>
      <c r="Y92" s="167"/>
      <c r="Z92" s="167"/>
      <c r="AA92" s="172"/>
      <c r="AB92" s="172"/>
      <c r="AC92" s="2"/>
      <c r="AD92" s="2"/>
      <c r="AE92" s="2"/>
      <c r="AF92" s="2"/>
      <c r="AG92" s="2"/>
      <c r="AH92" s="2"/>
    </row>
    <row r="93" spans="1:34" ht="30" hidden="1" customHeight="1">
      <c r="A93" s="165"/>
      <c r="B93" s="307"/>
      <c r="C93" s="261"/>
      <c r="D93" s="166"/>
      <c r="E93" s="166"/>
      <c r="F93" s="167"/>
      <c r="G93" s="168"/>
      <c r="H93" s="167"/>
      <c r="I93" s="169"/>
      <c r="J93" s="168"/>
      <c r="K93" s="167"/>
      <c r="L93" s="170"/>
      <c r="M93" s="168"/>
      <c r="N93" s="171"/>
      <c r="O93" s="170"/>
      <c r="P93" s="168"/>
      <c r="Q93" s="171"/>
      <c r="R93" s="170"/>
      <c r="S93" s="168"/>
      <c r="T93" s="171"/>
      <c r="U93" s="167"/>
      <c r="V93" s="168"/>
      <c r="W93" s="167"/>
      <c r="X93" s="167"/>
      <c r="Y93" s="167"/>
      <c r="Z93" s="167"/>
      <c r="AA93" s="172"/>
      <c r="AB93" s="172"/>
      <c r="AC93" s="2"/>
      <c r="AD93" s="2"/>
      <c r="AE93" s="2"/>
      <c r="AF93" s="2"/>
      <c r="AG93" s="2"/>
      <c r="AH93" s="2"/>
    </row>
    <row r="94" spans="1:34" ht="30" hidden="1" customHeight="1">
      <c r="A94" s="165"/>
      <c r="B94" s="307"/>
      <c r="C94" s="261"/>
      <c r="D94" s="166"/>
      <c r="E94" s="166"/>
      <c r="F94" s="167"/>
      <c r="G94" s="168"/>
      <c r="H94" s="167"/>
      <c r="I94" s="169"/>
      <c r="J94" s="168"/>
      <c r="K94" s="167"/>
      <c r="L94" s="170"/>
      <c r="M94" s="168"/>
      <c r="N94" s="171"/>
      <c r="O94" s="170"/>
      <c r="P94" s="168"/>
      <c r="Q94" s="171"/>
      <c r="R94" s="170"/>
      <c r="S94" s="168"/>
      <c r="T94" s="171"/>
      <c r="U94" s="167"/>
      <c r="V94" s="168"/>
      <c r="W94" s="167"/>
      <c r="X94" s="167"/>
      <c r="Y94" s="167"/>
      <c r="Z94" s="167"/>
      <c r="AA94" s="172"/>
      <c r="AB94" s="172"/>
      <c r="AC94" s="2"/>
      <c r="AD94" s="2"/>
      <c r="AE94" s="2"/>
      <c r="AF94" s="2"/>
      <c r="AG94" s="2"/>
      <c r="AH94" s="2"/>
    </row>
    <row r="95" spans="1:34" ht="30" hidden="1" customHeight="1">
      <c r="A95" s="165"/>
      <c r="B95" s="307"/>
      <c r="C95" s="261"/>
      <c r="D95" s="166"/>
      <c r="E95" s="166"/>
      <c r="F95" s="167"/>
      <c r="G95" s="168"/>
      <c r="H95" s="167"/>
      <c r="I95" s="169"/>
      <c r="J95" s="168"/>
      <c r="K95" s="167"/>
      <c r="L95" s="170"/>
      <c r="M95" s="168"/>
      <c r="N95" s="171"/>
      <c r="O95" s="170"/>
      <c r="P95" s="168"/>
      <c r="Q95" s="171"/>
      <c r="R95" s="170"/>
      <c r="S95" s="168"/>
      <c r="T95" s="171"/>
      <c r="U95" s="167"/>
      <c r="V95" s="168"/>
      <c r="W95" s="167"/>
      <c r="X95" s="167"/>
      <c r="Y95" s="167"/>
      <c r="Z95" s="167"/>
      <c r="AA95" s="172"/>
      <c r="AB95" s="172"/>
      <c r="AC95" s="2"/>
      <c r="AD95" s="2"/>
      <c r="AE95" s="2"/>
      <c r="AF95" s="2"/>
      <c r="AG95" s="2"/>
      <c r="AH95" s="2"/>
    </row>
    <row r="96" spans="1:34" ht="30" hidden="1" customHeight="1">
      <c r="A96" s="165"/>
      <c r="B96" s="307"/>
      <c r="C96" s="261"/>
      <c r="D96" s="166"/>
      <c r="E96" s="166"/>
      <c r="F96" s="167"/>
      <c r="G96" s="168"/>
      <c r="H96" s="167"/>
      <c r="I96" s="169"/>
      <c r="J96" s="168"/>
      <c r="K96" s="167"/>
      <c r="L96" s="170"/>
      <c r="M96" s="168"/>
      <c r="N96" s="171"/>
      <c r="O96" s="170"/>
      <c r="P96" s="168"/>
      <c r="Q96" s="171"/>
      <c r="R96" s="170"/>
      <c r="S96" s="168"/>
      <c r="T96" s="171"/>
      <c r="U96" s="167"/>
      <c r="V96" s="168"/>
      <c r="W96" s="167"/>
      <c r="X96" s="167"/>
      <c r="Y96" s="167"/>
      <c r="Z96" s="167"/>
      <c r="AA96" s="172"/>
      <c r="AB96" s="172"/>
      <c r="AC96" s="2"/>
      <c r="AD96" s="2"/>
      <c r="AE96" s="2"/>
      <c r="AF96" s="2"/>
      <c r="AG96" s="2"/>
      <c r="AH96" s="2"/>
    </row>
    <row r="97" spans="1:34" ht="30" hidden="1" customHeight="1">
      <c r="A97" s="165"/>
      <c r="B97" s="307"/>
      <c r="C97" s="261"/>
      <c r="D97" s="166"/>
      <c r="E97" s="166"/>
      <c r="F97" s="167"/>
      <c r="G97" s="168"/>
      <c r="H97" s="167"/>
      <c r="I97" s="169"/>
      <c r="J97" s="168"/>
      <c r="K97" s="167"/>
      <c r="L97" s="170"/>
      <c r="M97" s="168"/>
      <c r="N97" s="171"/>
      <c r="O97" s="170"/>
      <c r="P97" s="168"/>
      <c r="Q97" s="171"/>
      <c r="R97" s="170"/>
      <c r="S97" s="168"/>
      <c r="T97" s="171"/>
      <c r="U97" s="167"/>
      <c r="V97" s="168"/>
      <c r="W97" s="167"/>
      <c r="X97" s="167"/>
      <c r="Y97" s="167"/>
      <c r="Z97" s="167"/>
      <c r="AA97" s="172"/>
      <c r="AB97" s="172"/>
      <c r="AC97" s="2"/>
      <c r="AD97" s="2"/>
      <c r="AE97" s="2"/>
      <c r="AF97" s="2"/>
      <c r="AG97" s="2"/>
      <c r="AH97" s="2"/>
    </row>
    <row r="98" spans="1:34" ht="30" hidden="1" customHeight="1">
      <c r="A98" s="165"/>
      <c r="B98" s="307"/>
      <c r="C98" s="261"/>
      <c r="D98" s="166"/>
      <c r="E98" s="166"/>
      <c r="F98" s="167"/>
      <c r="G98" s="168"/>
      <c r="H98" s="167"/>
      <c r="I98" s="169"/>
      <c r="J98" s="168"/>
      <c r="K98" s="167"/>
      <c r="L98" s="170"/>
      <c r="M98" s="168"/>
      <c r="N98" s="171"/>
      <c r="O98" s="170"/>
      <c r="P98" s="168"/>
      <c r="Q98" s="171"/>
      <c r="R98" s="170"/>
      <c r="S98" s="168"/>
      <c r="T98" s="171"/>
      <c r="U98" s="167"/>
      <c r="V98" s="168"/>
      <c r="W98" s="167"/>
      <c r="X98" s="167"/>
      <c r="Y98" s="167"/>
      <c r="Z98" s="167"/>
      <c r="AA98" s="172"/>
      <c r="AB98" s="172"/>
      <c r="AC98" s="2"/>
      <c r="AD98" s="2"/>
      <c r="AE98" s="2"/>
      <c r="AF98" s="2"/>
      <c r="AG98" s="2"/>
      <c r="AH98" s="2"/>
    </row>
    <row r="99" spans="1:34" ht="30" hidden="1" customHeight="1">
      <c r="A99" s="165"/>
      <c r="B99" s="307"/>
      <c r="C99" s="261"/>
      <c r="D99" s="166"/>
      <c r="E99" s="166"/>
      <c r="F99" s="167"/>
      <c r="G99" s="168"/>
      <c r="H99" s="167"/>
      <c r="I99" s="169"/>
      <c r="J99" s="168"/>
      <c r="K99" s="167"/>
      <c r="L99" s="170"/>
      <c r="M99" s="168"/>
      <c r="N99" s="171"/>
      <c r="O99" s="170"/>
      <c r="P99" s="168"/>
      <c r="Q99" s="171"/>
      <c r="R99" s="170"/>
      <c r="S99" s="168"/>
      <c r="T99" s="171"/>
      <c r="U99" s="167"/>
      <c r="V99" s="168"/>
      <c r="W99" s="167"/>
      <c r="X99" s="167"/>
      <c r="Y99" s="167"/>
      <c r="Z99" s="167"/>
      <c r="AA99" s="172"/>
      <c r="AB99" s="172"/>
      <c r="AC99" s="2"/>
      <c r="AD99" s="2"/>
      <c r="AE99" s="2"/>
      <c r="AF99" s="2"/>
      <c r="AG99" s="2"/>
      <c r="AH99" s="2"/>
    </row>
    <row r="100" spans="1:34" ht="30" hidden="1" customHeight="1">
      <c r="A100" s="165"/>
      <c r="B100" s="307"/>
      <c r="C100" s="261"/>
      <c r="D100" s="166"/>
      <c r="E100" s="166"/>
      <c r="F100" s="167"/>
      <c r="G100" s="168"/>
      <c r="H100" s="167"/>
      <c r="I100" s="169"/>
      <c r="J100" s="168"/>
      <c r="K100" s="167"/>
      <c r="L100" s="170"/>
      <c r="M100" s="168"/>
      <c r="N100" s="171"/>
      <c r="O100" s="170"/>
      <c r="P100" s="168"/>
      <c r="Q100" s="171"/>
      <c r="R100" s="170"/>
      <c r="S100" s="168"/>
      <c r="T100" s="171"/>
      <c r="U100" s="167"/>
      <c r="V100" s="168"/>
      <c r="W100" s="167"/>
      <c r="X100" s="167"/>
      <c r="Y100" s="167"/>
      <c r="Z100" s="167"/>
      <c r="AA100" s="172"/>
      <c r="AB100" s="172"/>
      <c r="AC100" s="2"/>
      <c r="AD100" s="2"/>
      <c r="AE100" s="2"/>
      <c r="AF100" s="2"/>
      <c r="AG100" s="2"/>
      <c r="AH100" s="2"/>
    </row>
    <row r="101" spans="1:34" ht="30" hidden="1" customHeight="1">
      <c r="A101" s="165"/>
      <c r="B101" s="307"/>
      <c r="C101" s="261"/>
      <c r="D101" s="166"/>
      <c r="E101" s="166"/>
      <c r="F101" s="167"/>
      <c r="G101" s="168"/>
      <c r="H101" s="167"/>
      <c r="I101" s="169"/>
      <c r="J101" s="168"/>
      <c r="K101" s="167"/>
      <c r="L101" s="170"/>
      <c r="M101" s="168"/>
      <c r="N101" s="171"/>
      <c r="O101" s="170"/>
      <c r="P101" s="168"/>
      <c r="Q101" s="171"/>
      <c r="R101" s="170"/>
      <c r="S101" s="168"/>
      <c r="T101" s="171"/>
      <c r="U101" s="167"/>
      <c r="V101" s="168"/>
      <c r="W101" s="167"/>
      <c r="X101" s="167"/>
      <c r="Y101" s="167"/>
      <c r="Z101" s="167"/>
      <c r="AA101" s="172"/>
      <c r="AB101" s="172"/>
      <c r="AC101" s="2"/>
      <c r="AD101" s="2"/>
      <c r="AE101" s="2"/>
      <c r="AF101" s="2"/>
      <c r="AG101" s="2"/>
      <c r="AH101" s="2"/>
    </row>
    <row r="102" spans="1:34" ht="30" hidden="1" customHeight="1">
      <c r="A102" s="165"/>
      <c r="B102" s="307"/>
      <c r="C102" s="261"/>
      <c r="D102" s="166"/>
      <c r="E102" s="166"/>
      <c r="F102" s="167"/>
      <c r="G102" s="168"/>
      <c r="H102" s="167"/>
      <c r="I102" s="169"/>
      <c r="J102" s="168"/>
      <c r="K102" s="167"/>
      <c r="L102" s="170"/>
      <c r="M102" s="168"/>
      <c r="N102" s="171"/>
      <c r="O102" s="170"/>
      <c r="P102" s="168"/>
      <c r="Q102" s="171"/>
      <c r="R102" s="170"/>
      <c r="S102" s="168"/>
      <c r="T102" s="171"/>
      <c r="U102" s="167"/>
      <c r="V102" s="168"/>
      <c r="W102" s="167"/>
      <c r="X102" s="167"/>
      <c r="Y102" s="167"/>
      <c r="Z102" s="167"/>
      <c r="AA102" s="172"/>
      <c r="AB102" s="172"/>
      <c r="AC102" s="2"/>
      <c r="AD102" s="2"/>
      <c r="AE102" s="2"/>
      <c r="AF102" s="2"/>
      <c r="AG102" s="2"/>
      <c r="AH102" s="2"/>
    </row>
    <row r="103" spans="1:34" ht="30" hidden="1" customHeight="1">
      <c r="A103" s="165"/>
      <c r="B103" s="307"/>
      <c r="C103" s="261"/>
      <c r="D103" s="166"/>
      <c r="E103" s="166"/>
      <c r="F103" s="167"/>
      <c r="G103" s="168"/>
      <c r="H103" s="167"/>
      <c r="I103" s="169"/>
      <c r="J103" s="168"/>
      <c r="K103" s="167"/>
      <c r="L103" s="170"/>
      <c r="M103" s="168"/>
      <c r="N103" s="171"/>
      <c r="O103" s="170"/>
      <c r="P103" s="168"/>
      <c r="Q103" s="171"/>
      <c r="R103" s="170"/>
      <c r="S103" s="168"/>
      <c r="T103" s="171"/>
      <c r="U103" s="167"/>
      <c r="V103" s="168"/>
      <c r="W103" s="167"/>
      <c r="X103" s="167"/>
      <c r="Y103" s="167"/>
      <c r="Z103" s="167"/>
      <c r="AA103" s="172"/>
      <c r="AB103" s="172"/>
      <c r="AC103" s="2"/>
      <c r="AD103" s="2"/>
      <c r="AE103" s="2"/>
      <c r="AF103" s="2"/>
      <c r="AG103" s="2"/>
      <c r="AH103" s="2"/>
    </row>
    <row r="104" spans="1:34" ht="30" hidden="1" customHeight="1">
      <c r="A104" s="165"/>
      <c r="B104" s="307"/>
      <c r="C104" s="261"/>
      <c r="D104" s="166"/>
      <c r="E104" s="166"/>
      <c r="F104" s="167"/>
      <c r="G104" s="168"/>
      <c r="H104" s="167"/>
      <c r="I104" s="169"/>
      <c r="J104" s="168"/>
      <c r="K104" s="167"/>
      <c r="L104" s="170"/>
      <c r="M104" s="168"/>
      <c r="N104" s="171"/>
      <c r="O104" s="170"/>
      <c r="P104" s="168"/>
      <c r="Q104" s="171"/>
      <c r="R104" s="170"/>
      <c r="S104" s="168"/>
      <c r="T104" s="171"/>
      <c r="U104" s="167"/>
      <c r="V104" s="168"/>
      <c r="W104" s="167"/>
      <c r="X104" s="167"/>
      <c r="Y104" s="167"/>
      <c r="Z104" s="167"/>
      <c r="AA104" s="172"/>
      <c r="AB104" s="172"/>
      <c r="AC104" s="2"/>
      <c r="AD104" s="2"/>
      <c r="AE104" s="2"/>
      <c r="AF104" s="2"/>
      <c r="AG104" s="2"/>
      <c r="AH104" s="2"/>
    </row>
    <row r="105" spans="1:34" ht="30" hidden="1" customHeight="1">
      <c r="A105" s="165"/>
      <c r="B105" s="307"/>
      <c r="C105" s="261"/>
      <c r="D105" s="166"/>
      <c r="E105" s="166"/>
      <c r="F105" s="167"/>
      <c r="G105" s="168"/>
      <c r="H105" s="167"/>
      <c r="I105" s="169"/>
      <c r="J105" s="168"/>
      <c r="K105" s="167"/>
      <c r="L105" s="170"/>
      <c r="M105" s="168"/>
      <c r="N105" s="171"/>
      <c r="O105" s="170"/>
      <c r="P105" s="168"/>
      <c r="Q105" s="171"/>
      <c r="R105" s="170"/>
      <c r="S105" s="168"/>
      <c r="T105" s="171"/>
      <c r="U105" s="167"/>
      <c r="V105" s="168"/>
      <c r="W105" s="167"/>
      <c r="X105" s="167"/>
      <c r="Y105" s="167"/>
      <c r="Z105" s="167"/>
      <c r="AA105" s="172"/>
      <c r="AB105" s="172"/>
      <c r="AC105" s="2"/>
      <c r="AD105" s="2"/>
      <c r="AE105" s="2"/>
      <c r="AF105" s="2"/>
      <c r="AG105" s="2"/>
      <c r="AH105" s="2"/>
    </row>
    <row r="106" spans="1:34" ht="30" hidden="1" customHeight="1">
      <c r="A106" s="165"/>
      <c r="B106" s="307"/>
      <c r="C106" s="261"/>
      <c r="D106" s="166"/>
      <c r="E106" s="166"/>
      <c r="F106" s="167"/>
      <c r="G106" s="168"/>
      <c r="H106" s="167"/>
      <c r="I106" s="169"/>
      <c r="J106" s="168"/>
      <c r="K106" s="167"/>
      <c r="L106" s="170"/>
      <c r="M106" s="168"/>
      <c r="N106" s="171"/>
      <c r="O106" s="170"/>
      <c r="P106" s="168"/>
      <c r="Q106" s="171"/>
      <c r="R106" s="170"/>
      <c r="S106" s="168"/>
      <c r="T106" s="171"/>
      <c r="U106" s="167"/>
      <c r="V106" s="168"/>
      <c r="W106" s="167"/>
      <c r="X106" s="167"/>
      <c r="Y106" s="167"/>
      <c r="Z106" s="167"/>
      <c r="AA106" s="172"/>
      <c r="AB106" s="172"/>
      <c r="AC106" s="2"/>
      <c r="AD106" s="2"/>
      <c r="AE106" s="2"/>
      <c r="AF106" s="2"/>
      <c r="AG106" s="2"/>
      <c r="AH106" s="2"/>
    </row>
    <row r="107" spans="1:34" ht="30" hidden="1" customHeight="1">
      <c r="A107" s="165"/>
      <c r="B107" s="307"/>
      <c r="C107" s="261"/>
      <c r="D107" s="166"/>
      <c r="E107" s="166"/>
      <c r="F107" s="167"/>
      <c r="G107" s="168"/>
      <c r="H107" s="167"/>
      <c r="I107" s="169"/>
      <c r="J107" s="168"/>
      <c r="K107" s="167"/>
      <c r="L107" s="170"/>
      <c r="M107" s="168"/>
      <c r="N107" s="171"/>
      <c r="O107" s="170"/>
      <c r="P107" s="168"/>
      <c r="Q107" s="171"/>
      <c r="R107" s="170"/>
      <c r="S107" s="168"/>
      <c r="T107" s="171"/>
      <c r="U107" s="167"/>
      <c r="V107" s="168"/>
      <c r="W107" s="167"/>
      <c r="X107" s="167"/>
      <c r="Y107" s="167"/>
      <c r="Z107" s="167"/>
      <c r="AA107" s="172"/>
      <c r="AB107" s="172"/>
      <c r="AC107" s="2"/>
      <c r="AD107" s="2"/>
      <c r="AE107" s="2"/>
      <c r="AF107" s="2"/>
      <c r="AG107" s="2"/>
      <c r="AH107" s="2"/>
    </row>
    <row r="108" spans="1:34" ht="30" hidden="1" customHeight="1">
      <c r="A108" s="165"/>
      <c r="B108" s="307"/>
      <c r="C108" s="261"/>
      <c r="D108" s="166"/>
      <c r="E108" s="166"/>
      <c r="F108" s="167"/>
      <c r="G108" s="168"/>
      <c r="H108" s="167"/>
      <c r="I108" s="169"/>
      <c r="J108" s="168"/>
      <c r="K108" s="167"/>
      <c r="L108" s="170"/>
      <c r="M108" s="168"/>
      <c r="N108" s="171"/>
      <c r="O108" s="170"/>
      <c r="P108" s="168"/>
      <c r="Q108" s="171"/>
      <c r="R108" s="170"/>
      <c r="S108" s="168"/>
      <c r="T108" s="171"/>
      <c r="U108" s="167"/>
      <c r="V108" s="168"/>
      <c r="W108" s="167"/>
      <c r="X108" s="167"/>
      <c r="Y108" s="167"/>
      <c r="Z108" s="167"/>
      <c r="AA108" s="172"/>
      <c r="AB108" s="172"/>
      <c r="AC108" s="2"/>
      <c r="AD108" s="2"/>
      <c r="AE108" s="2"/>
      <c r="AF108" s="2"/>
      <c r="AG108" s="2"/>
      <c r="AH108" s="2"/>
    </row>
    <row r="109" spans="1:34" ht="30" hidden="1" customHeight="1">
      <c r="A109" s="165"/>
      <c r="B109" s="307"/>
      <c r="C109" s="261"/>
      <c r="D109" s="166"/>
      <c r="E109" s="166"/>
      <c r="F109" s="167"/>
      <c r="G109" s="168"/>
      <c r="H109" s="167"/>
      <c r="I109" s="169"/>
      <c r="J109" s="168"/>
      <c r="K109" s="167"/>
      <c r="L109" s="170"/>
      <c r="M109" s="168"/>
      <c r="N109" s="171"/>
      <c r="O109" s="170"/>
      <c r="P109" s="168"/>
      <c r="Q109" s="171"/>
      <c r="R109" s="170"/>
      <c r="S109" s="168"/>
      <c r="T109" s="171"/>
      <c r="U109" s="167"/>
      <c r="V109" s="168"/>
      <c r="W109" s="167"/>
      <c r="X109" s="167"/>
      <c r="Y109" s="167"/>
      <c r="Z109" s="167"/>
      <c r="AA109" s="172"/>
      <c r="AB109" s="172"/>
      <c r="AC109" s="2"/>
      <c r="AD109" s="2"/>
      <c r="AE109" s="2"/>
      <c r="AF109" s="2"/>
      <c r="AG109" s="2"/>
      <c r="AH109" s="2"/>
    </row>
    <row r="110" spans="1:34" ht="30" hidden="1" customHeight="1">
      <c r="A110" s="165"/>
      <c r="B110" s="307"/>
      <c r="C110" s="261"/>
      <c r="D110" s="166"/>
      <c r="E110" s="166"/>
      <c r="F110" s="167"/>
      <c r="G110" s="168"/>
      <c r="H110" s="167"/>
      <c r="I110" s="169"/>
      <c r="J110" s="168"/>
      <c r="K110" s="167"/>
      <c r="L110" s="170"/>
      <c r="M110" s="168"/>
      <c r="N110" s="171"/>
      <c r="O110" s="170"/>
      <c r="P110" s="168"/>
      <c r="Q110" s="171"/>
      <c r="R110" s="170"/>
      <c r="S110" s="168"/>
      <c r="T110" s="171"/>
      <c r="U110" s="167"/>
      <c r="V110" s="168"/>
      <c r="W110" s="167"/>
      <c r="X110" s="167"/>
      <c r="Y110" s="167"/>
      <c r="Z110" s="167"/>
      <c r="AA110" s="172"/>
      <c r="AB110" s="172"/>
      <c r="AC110" s="2"/>
      <c r="AD110" s="2"/>
      <c r="AE110" s="2"/>
      <c r="AF110" s="2"/>
      <c r="AG110" s="2"/>
      <c r="AH110" s="2"/>
    </row>
    <row r="111" spans="1:34" ht="30" hidden="1" customHeight="1">
      <c r="A111" s="165"/>
      <c r="B111" s="307"/>
      <c r="C111" s="261"/>
      <c r="D111" s="166"/>
      <c r="E111" s="166"/>
      <c r="F111" s="167"/>
      <c r="G111" s="168"/>
      <c r="H111" s="167"/>
      <c r="I111" s="169"/>
      <c r="J111" s="168"/>
      <c r="K111" s="167"/>
      <c r="L111" s="170"/>
      <c r="M111" s="168"/>
      <c r="N111" s="171"/>
      <c r="O111" s="170"/>
      <c r="P111" s="168"/>
      <c r="Q111" s="171"/>
      <c r="R111" s="170"/>
      <c r="S111" s="168"/>
      <c r="T111" s="171"/>
      <c r="U111" s="167"/>
      <c r="V111" s="168"/>
      <c r="W111" s="167"/>
      <c r="X111" s="167"/>
      <c r="Y111" s="167"/>
      <c r="Z111" s="167"/>
      <c r="AA111" s="172"/>
      <c r="AB111" s="172"/>
      <c r="AC111" s="2"/>
      <c r="AD111" s="2"/>
      <c r="AE111" s="2"/>
      <c r="AF111" s="2"/>
      <c r="AG111" s="2"/>
      <c r="AH111" s="2"/>
    </row>
    <row r="112" spans="1:34" ht="30" hidden="1" customHeight="1">
      <c r="A112" s="165"/>
      <c r="B112" s="307"/>
      <c r="C112" s="261"/>
      <c r="D112" s="166"/>
      <c r="E112" s="166"/>
      <c r="F112" s="167"/>
      <c r="G112" s="168"/>
      <c r="H112" s="167"/>
      <c r="I112" s="169"/>
      <c r="J112" s="168"/>
      <c r="K112" s="167"/>
      <c r="L112" s="170"/>
      <c r="M112" s="168"/>
      <c r="N112" s="171"/>
      <c r="O112" s="170"/>
      <c r="P112" s="168"/>
      <c r="Q112" s="171"/>
      <c r="R112" s="170"/>
      <c r="S112" s="168"/>
      <c r="T112" s="171"/>
      <c r="U112" s="167"/>
      <c r="V112" s="168"/>
      <c r="W112" s="167"/>
      <c r="X112" s="167"/>
      <c r="Y112" s="167"/>
      <c r="Z112" s="167"/>
      <c r="AA112" s="172"/>
      <c r="AB112" s="172"/>
      <c r="AC112" s="2"/>
      <c r="AD112" s="2"/>
      <c r="AE112" s="2"/>
      <c r="AF112" s="2"/>
      <c r="AG112" s="2"/>
      <c r="AH112" s="2"/>
    </row>
    <row r="113" spans="1:34" ht="30" hidden="1" customHeight="1">
      <c r="A113" s="165"/>
      <c r="B113" s="307"/>
      <c r="C113" s="261"/>
      <c r="D113" s="166"/>
      <c r="E113" s="166"/>
      <c r="F113" s="167"/>
      <c r="G113" s="168"/>
      <c r="H113" s="167"/>
      <c r="I113" s="169"/>
      <c r="J113" s="168"/>
      <c r="K113" s="167"/>
      <c r="L113" s="170"/>
      <c r="M113" s="168"/>
      <c r="N113" s="171"/>
      <c r="O113" s="170"/>
      <c r="P113" s="168"/>
      <c r="Q113" s="171"/>
      <c r="R113" s="170"/>
      <c r="S113" s="168"/>
      <c r="T113" s="171"/>
      <c r="U113" s="167"/>
      <c r="V113" s="168"/>
      <c r="W113" s="167"/>
      <c r="X113" s="167"/>
      <c r="Y113" s="167"/>
      <c r="Z113" s="167"/>
      <c r="AA113" s="172"/>
      <c r="AB113" s="172"/>
      <c r="AC113" s="2"/>
      <c r="AD113" s="2"/>
      <c r="AE113" s="2"/>
      <c r="AF113" s="2"/>
      <c r="AG113" s="2"/>
      <c r="AH113" s="2"/>
    </row>
    <row r="114" spans="1:34" ht="30" hidden="1" customHeight="1">
      <c r="A114" s="165"/>
      <c r="B114" s="307"/>
      <c r="C114" s="261"/>
      <c r="D114" s="166"/>
      <c r="E114" s="166"/>
      <c r="F114" s="167"/>
      <c r="G114" s="168"/>
      <c r="H114" s="167"/>
      <c r="I114" s="169"/>
      <c r="J114" s="168"/>
      <c r="K114" s="167"/>
      <c r="L114" s="170"/>
      <c r="M114" s="168"/>
      <c r="N114" s="171"/>
      <c r="O114" s="170"/>
      <c r="P114" s="168"/>
      <c r="Q114" s="171"/>
      <c r="R114" s="170"/>
      <c r="S114" s="168"/>
      <c r="T114" s="171"/>
      <c r="U114" s="167"/>
      <c r="V114" s="168"/>
      <c r="W114" s="167"/>
      <c r="X114" s="167"/>
      <c r="Y114" s="167"/>
      <c r="Z114" s="167"/>
      <c r="AA114" s="172"/>
      <c r="AB114" s="172"/>
      <c r="AC114" s="2"/>
      <c r="AD114" s="2"/>
      <c r="AE114" s="2"/>
      <c r="AF114" s="2"/>
      <c r="AG114" s="2"/>
      <c r="AH114" s="2"/>
    </row>
    <row r="115" spans="1:34" ht="30" hidden="1" customHeight="1">
      <c r="A115" s="165"/>
      <c r="B115" s="307"/>
      <c r="C115" s="261"/>
      <c r="D115" s="166"/>
      <c r="E115" s="166"/>
      <c r="F115" s="167"/>
      <c r="G115" s="168"/>
      <c r="H115" s="167"/>
      <c r="I115" s="169"/>
      <c r="J115" s="168"/>
      <c r="K115" s="167"/>
      <c r="L115" s="170"/>
      <c r="M115" s="168"/>
      <c r="N115" s="171"/>
      <c r="O115" s="170"/>
      <c r="P115" s="168"/>
      <c r="Q115" s="171"/>
      <c r="R115" s="170"/>
      <c r="S115" s="168"/>
      <c r="T115" s="171"/>
      <c r="U115" s="167"/>
      <c r="V115" s="168"/>
      <c r="W115" s="167"/>
      <c r="X115" s="167"/>
      <c r="Y115" s="167"/>
      <c r="Z115" s="167"/>
      <c r="AA115" s="172"/>
      <c r="AB115" s="172"/>
      <c r="AC115" s="2"/>
      <c r="AD115" s="2"/>
      <c r="AE115" s="2"/>
      <c r="AF115" s="2"/>
      <c r="AG115" s="2"/>
      <c r="AH115" s="2"/>
    </row>
    <row r="116" spans="1:34" ht="30" hidden="1" customHeight="1">
      <c r="A116" s="165"/>
      <c r="B116" s="307"/>
      <c r="C116" s="261"/>
      <c r="D116" s="166"/>
      <c r="E116" s="166"/>
      <c r="F116" s="167"/>
      <c r="G116" s="168"/>
      <c r="H116" s="167"/>
      <c r="I116" s="169"/>
      <c r="J116" s="168"/>
      <c r="K116" s="167"/>
      <c r="L116" s="170"/>
      <c r="M116" s="168"/>
      <c r="N116" s="171"/>
      <c r="O116" s="170"/>
      <c r="P116" s="168"/>
      <c r="Q116" s="171"/>
      <c r="R116" s="170"/>
      <c r="S116" s="168"/>
      <c r="T116" s="171"/>
      <c r="U116" s="167"/>
      <c r="V116" s="168"/>
      <c r="W116" s="167"/>
      <c r="X116" s="167"/>
      <c r="Y116" s="167"/>
      <c r="Z116" s="167"/>
      <c r="AA116" s="172"/>
      <c r="AB116" s="172"/>
      <c r="AC116" s="2"/>
      <c r="AD116" s="2"/>
      <c r="AE116" s="2"/>
      <c r="AF116" s="2"/>
      <c r="AG116" s="2"/>
      <c r="AH116" s="2"/>
    </row>
    <row r="117" spans="1:34" ht="30" hidden="1" customHeight="1">
      <c r="A117" s="165"/>
      <c r="B117" s="307"/>
      <c r="C117" s="261"/>
      <c r="D117" s="166"/>
      <c r="E117" s="166"/>
      <c r="F117" s="167"/>
      <c r="G117" s="168"/>
      <c r="H117" s="167"/>
      <c r="I117" s="169"/>
      <c r="J117" s="168"/>
      <c r="K117" s="167"/>
      <c r="L117" s="170"/>
      <c r="M117" s="168"/>
      <c r="N117" s="171"/>
      <c r="O117" s="170"/>
      <c r="P117" s="168"/>
      <c r="Q117" s="171"/>
      <c r="R117" s="170"/>
      <c r="S117" s="168"/>
      <c r="T117" s="171"/>
      <c r="U117" s="167"/>
      <c r="V117" s="168"/>
      <c r="W117" s="167"/>
      <c r="X117" s="167"/>
      <c r="Y117" s="167"/>
      <c r="Z117" s="167"/>
      <c r="AA117" s="172"/>
      <c r="AB117" s="172"/>
      <c r="AC117" s="2"/>
      <c r="AD117" s="2"/>
      <c r="AE117" s="2"/>
      <c r="AF117" s="2"/>
      <c r="AG117" s="2"/>
      <c r="AH117" s="2"/>
    </row>
    <row r="118" spans="1:34" ht="30" hidden="1" customHeight="1">
      <c r="A118" s="165"/>
      <c r="B118" s="307"/>
      <c r="C118" s="261"/>
      <c r="D118" s="166"/>
      <c r="E118" s="166"/>
      <c r="F118" s="167"/>
      <c r="G118" s="168"/>
      <c r="H118" s="167"/>
      <c r="I118" s="169"/>
      <c r="J118" s="168"/>
      <c r="K118" s="167"/>
      <c r="L118" s="170"/>
      <c r="M118" s="168"/>
      <c r="N118" s="171"/>
      <c r="O118" s="170"/>
      <c r="P118" s="168"/>
      <c r="Q118" s="171"/>
      <c r="R118" s="170"/>
      <c r="S118" s="168"/>
      <c r="T118" s="171"/>
      <c r="U118" s="167"/>
      <c r="V118" s="168"/>
      <c r="W118" s="167"/>
      <c r="X118" s="167"/>
      <c r="Y118" s="167"/>
      <c r="Z118" s="167"/>
      <c r="AA118" s="172"/>
      <c r="AB118" s="172"/>
      <c r="AC118" s="2"/>
      <c r="AD118" s="2"/>
      <c r="AE118" s="2"/>
      <c r="AF118" s="2"/>
      <c r="AG118" s="2"/>
      <c r="AH118" s="2"/>
    </row>
    <row r="119" spans="1:34" ht="30" hidden="1" customHeight="1">
      <c r="A119" s="165"/>
      <c r="B119" s="307"/>
      <c r="C119" s="261"/>
      <c r="D119" s="166"/>
      <c r="E119" s="166"/>
      <c r="F119" s="167"/>
      <c r="G119" s="168"/>
      <c r="H119" s="167"/>
      <c r="I119" s="169"/>
      <c r="J119" s="168"/>
      <c r="K119" s="167"/>
      <c r="L119" s="170"/>
      <c r="M119" s="168"/>
      <c r="N119" s="171"/>
      <c r="O119" s="170"/>
      <c r="P119" s="168"/>
      <c r="Q119" s="171"/>
      <c r="R119" s="170"/>
      <c r="S119" s="168"/>
      <c r="T119" s="171"/>
      <c r="U119" s="167"/>
      <c r="V119" s="168"/>
      <c r="W119" s="167"/>
      <c r="X119" s="167"/>
      <c r="Y119" s="167"/>
      <c r="Z119" s="167"/>
      <c r="AA119" s="172"/>
      <c r="AB119" s="172"/>
      <c r="AC119" s="2"/>
      <c r="AD119" s="2"/>
      <c r="AE119" s="2"/>
      <c r="AF119" s="2"/>
      <c r="AG119" s="2"/>
      <c r="AH119" s="2"/>
    </row>
    <row r="120" spans="1:34" ht="30" hidden="1" customHeight="1">
      <c r="A120" s="165"/>
      <c r="B120" s="307"/>
      <c r="C120" s="261"/>
      <c r="D120" s="166"/>
      <c r="E120" s="166"/>
      <c r="F120" s="167"/>
      <c r="G120" s="168"/>
      <c r="H120" s="167"/>
      <c r="I120" s="169"/>
      <c r="J120" s="168"/>
      <c r="K120" s="167"/>
      <c r="L120" s="170"/>
      <c r="M120" s="168"/>
      <c r="N120" s="171"/>
      <c r="O120" s="170"/>
      <c r="P120" s="168"/>
      <c r="Q120" s="171"/>
      <c r="R120" s="170"/>
      <c r="S120" s="168"/>
      <c r="T120" s="171"/>
      <c r="U120" s="167"/>
      <c r="V120" s="168"/>
      <c r="W120" s="167"/>
      <c r="X120" s="167"/>
      <c r="Y120" s="167"/>
      <c r="Z120" s="167"/>
      <c r="AA120" s="172"/>
      <c r="AB120" s="172"/>
      <c r="AC120" s="2"/>
      <c r="AD120" s="2"/>
      <c r="AE120" s="2"/>
      <c r="AF120" s="2"/>
      <c r="AG120" s="2"/>
      <c r="AH120" s="2"/>
    </row>
    <row r="121" spans="1:34" ht="30" hidden="1" customHeight="1">
      <c r="A121" s="165"/>
      <c r="B121" s="307"/>
      <c r="C121" s="261"/>
      <c r="D121" s="166"/>
      <c r="E121" s="166"/>
      <c r="F121" s="167"/>
      <c r="G121" s="168"/>
      <c r="H121" s="167"/>
      <c r="I121" s="169"/>
      <c r="J121" s="168"/>
      <c r="K121" s="167"/>
      <c r="L121" s="170"/>
      <c r="M121" s="168"/>
      <c r="N121" s="171"/>
      <c r="O121" s="170"/>
      <c r="P121" s="168"/>
      <c r="Q121" s="171"/>
      <c r="R121" s="170"/>
      <c r="S121" s="168"/>
      <c r="T121" s="171"/>
      <c r="U121" s="167"/>
      <c r="V121" s="168"/>
      <c r="W121" s="167"/>
      <c r="X121" s="167"/>
      <c r="Y121" s="167"/>
      <c r="Z121" s="167"/>
      <c r="AA121" s="172"/>
      <c r="AB121" s="172"/>
      <c r="AC121" s="2"/>
      <c r="AD121" s="2"/>
      <c r="AE121" s="2"/>
      <c r="AF121" s="2"/>
      <c r="AG121" s="2"/>
      <c r="AH121" s="2"/>
    </row>
    <row r="122" spans="1:34" ht="30" hidden="1" customHeight="1">
      <c r="A122" s="165"/>
      <c r="B122" s="307"/>
      <c r="C122" s="261"/>
      <c r="D122" s="166"/>
      <c r="E122" s="166"/>
      <c r="F122" s="167"/>
      <c r="G122" s="168"/>
      <c r="H122" s="167"/>
      <c r="I122" s="169"/>
      <c r="J122" s="168"/>
      <c r="K122" s="167"/>
      <c r="L122" s="170"/>
      <c r="M122" s="168"/>
      <c r="N122" s="171"/>
      <c r="O122" s="170"/>
      <c r="P122" s="168"/>
      <c r="Q122" s="171"/>
      <c r="R122" s="170"/>
      <c r="S122" s="168"/>
      <c r="T122" s="171"/>
      <c r="U122" s="167"/>
      <c r="V122" s="168"/>
      <c r="W122" s="167"/>
      <c r="X122" s="167"/>
      <c r="Y122" s="167"/>
      <c r="Z122" s="167"/>
      <c r="AA122" s="172"/>
      <c r="AB122" s="172"/>
      <c r="AC122" s="2"/>
      <c r="AD122" s="2"/>
      <c r="AE122" s="2"/>
      <c r="AF122" s="2"/>
      <c r="AG122" s="2"/>
      <c r="AH122" s="2"/>
    </row>
    <row r="123" spans="1:34" ht="30" hidden="1" customHeight="1">
      <c r="A123" s="165"/>
      <c r="B123" s="307"/>
      <c r="C123" s="261"/>
      <c r="D123" s="166"/>
      <c r="E123" s="166"/>
      <c r="F123" s="167"/>
      <c r="G123" s="168"/>
      <c r="H123" s="167"/>
      <c r="I123" s="169"/>
      <c r="J123" s="168"/>
      <c r="K123" s="167"/>
      <c r="L123" s="170"/>
      <c r="M123" s="168"/>
      <c r="N123" s="171"/>
      <c r="O123" s="170"/>
      <c r="P123" s="168"/>
      <c r="Q123" s="171"/>
      <c r="R123" s="170"/>
      <c r="S123" s="168"/>
      <c r="T123" s="171"/>
      <c r="U123" s="167"/>
      <c r="V123" s="168"/>
      <c r="W123" s="167"/>
      <c r="X123" s="167"/>
      <c r="Y123" s="167"/>
      <c r="Z123" s="167"/>
      <c r="AA123" s="172"/>
      <c r="AB123" s="172"/>
      <c r="AC123" s="2"/>
      <c r="AD123" s="2"/>
      <c r="AE123" s="2"/>
      <c r="AF123" s="2"/>
      <c r="AG123" s="2"/>
      <c r="AH123" s="2"/>
    </row>
    <row r="124" spans="1:34" ht="30" hidden="1" customHeight="1">
      <c r="A124" s="165"/>
      <c r="B124" s="307"/>
      <c r="C124" s="261"/>
      <c r="D124" s="166"/>
      <c r="E124" s="166"/>
      <c r="F124" s="167"/>
      <c r="G124" s="168"/>
      <c r="H124" s="167"/>
      <c r="I124" s="169"/>
      <c r="J124" s="168"/>
      <c r="K124" s="167"/>
      <c r="L124" s="170"/>
      <c r="M124" s="168"/>
      <c r="N124" s="171"/>
      <c r="O124" s="170"/>
      <c r="P124" s="168"/>
      <c r="Q124" s="171"/>
      <c r="R124" s="170"/>
      <c r="S124" s="168"/>
      <c r="T124" s="171"/>
      <c r="U124" s="167"/>
      <c r="V124" s="168"/>
      <c r="W124" s="167"/>
      <c r="X124" s="167"/>
      <c r="Y124" s="167"/>
      <c r="Z124" s="167"/>
      <c r="AA124" s="172"/>
      <c r="AB124" s="172"/>
      <c r="AC124" s="2"/>
      <c r="AD124" s="2"/>
      <c r="AE124" s="2"/>
      <c r="AF124" s="2"/>
      <c r="AG124" s="2"/>
      <c r="AH124" s="2"/>
    </row>
    <row r="125" spans="1:34" ht="30" hidden="1" customHeight="1">
      <c r="A125" s="165"/>
      <c r="B125" s="307"/>
      <c r="C125" s="261"/>
      <c r="D125" s="166"/>
      <c r="E125" s="166"/>
      <c r="F125" s="167"/>
      <c r="G125" s="168"/>
      <c r="H125" s="167"/>
      <c r="I125" s="169"/>
      <c r="J125" s="168"/>
      <c r="K125" s="167"/>
      <c r="L125" s="170"/>
      <c r="M125" s="168"/>
      <c r="N125" s="171"/>
      <c r="O125" s="170"/>
      <c r="P125" s="168"/>
      <c r="Q125" s="171"/>
      <c r="R125" s="170"/>
      <c r="S125" s="168"/>
      <c r="T125" s="171"/>
      <c r="U125" s="167"/>
      <c r="V125" s="168"/>
      <c r="W125" s="167"/>
      <c r="X125" s="167"/>
      <c r="Y125" s="167"/>
      <c r="Z125" s="167"/>
      <c r="AA125" s="172"/>
      <c r="AB125" s="172"/>
      <c r="AC125" s="2"/>
      <c r="AD125" s="2"/>
      <c r="AE125" s="2"/>
      <c r="AF125" s="2"/>
      <c r="AG125" s="2"/>
      <c r="AH125" s="2"/>
    </row>
    <row r="126" spans="1:34" ht="30" hidden="1" customHeight="1">
      <c r="A126" s="165"/>
      <c r="B126" s="307"/>
      <c r="C126" s="261"/>
      <c r="D126" s="166"/>
      <c r="E126" s="166"/>
      <c r="F126" s="167"/>
      <c r="G126" s="168"/>
      <c r="H126" s="167"/>
      <c r="I126" s="169"/>
      <c r="J126" s="168"/>
      <c r="K126" s="167"/>
      <c r="L126" s="170"/>
      <c r="M126" s="168"/>
      <c r="N126" s="171"/>
      <c r="O126" s="170"/>
      <c r="P126" s="168"/>
      <c r="Q126" s="171"/>
      <c r="R126" s="170"/>
      <c r="S126" s="168"/>
      <c r="T126" s="171"/>
      <c r="U126" s="167"/>
      <c r="V126" s="168"/>
      <c r="W126" s="167"/>
      <c r="X126" s="167"/>
      <c r="Y126" s="167"/>
      <c r="Z126" s="167"/>
      <c r="AA126" s="172"/>
      <c r="AB126" s="172"/>
      <c r="AC126" s="2"/>
      <c r="AD126" s="2"/>
      <c r="AE126" s="2"/>
      <c r="AF126" s="2"/>
      <c r="AG126" s="2"/>
      <c r="AH126" s="2"/>
    </row>
    <row r="127" spans="1:34" ht="30" hidden="1" customHeight="1">
      <c r="A127" s="165"/>
      <c r="B127" s="307"/>
      <c r="C127" s="261"/>
      <c r="D127" s="166"/>
      <c r="E127" s="166"/>
      <c r="F127" s="167"/>
      <c r="G127" s="168"/>
      <c r="H127" s="167"/>
      <c r="I127" s="169"/>
      <c r="J127" s="168"/>
      <c r="K127" s="167"/>
      <c r="L127" s="170"/>
      <c r="M127" s="168"/>
      <c r="N127" s="171"/>
      <c r="O127" s="170"/>
      <c r="P127" s="168"/>
      <c r="Q127" s="171"/>
      <c r="R127" s="170"/>
      <c r="S127" s="168"/>
      <c r="T127" s="171"/>
      <c r="U127" s="167"/>
      <c r="V127" s="168"/>
      <c r="W127" s="167"/>
      <c r="X127" s="167"/>
      <c r="Y127" s="167"/>
      <c r="Z127" s="167"/>
      <c r="AA127" s="172"/>
      <c r="AB127" s="172"/>
      <c r="AC127" s="2"/>
      <c r="AD127" s="2"/>
      <c r="AE127" s="2"/>
      <c r="AF127" s="2"/>
      <c r="AG127" s="2"/>
      <c r="AH127" s="2"/>
    </row>
    <row r="128" spans="1:34" ht="30" hidden="1" customHeight="1">
      <c r="A128" s="165"/>
      <c r="B128" s="307"/>
      <c r="C128" s="261"/>
      <c r="D128" s="166"/>
      <c r="E128" s="166"/>
      <c r="F128" s="167"/>
      <c r="G128" s="168"/>
      <c r="H128" s="167"/>
      <c r="I128" s="169"/>
      <c r="J128" s="168"/>
      <c r="K128" s="167"/>
      <c r="L128" s="170"/>
      <c r="M128" s="168"/>
      <c r="N128" s="171"/>
      <c r="O128" s="170"/>
      <c r="P128" s="168"/>
      <c r="Q128" s="171"/>
      <c r="R128" s="170"/>
      <c r="S128" s="168"/>
      <c r="T128" s="171"/>
      <c r="U128" s="167"/>
      <c r="V128" s="168"/>
      <c r="W128" s="167"/>
      <c r="X128" s="167"/>
      <c r="Y128" s="167"/>
      <c r="Z128" s="167"/>
      <c r="AA128" s="172"/>
      <c r="AB128" s="172"/>
      <c r="AC128" s="2"/>
      <c r="AD128" s="2"/>
      <c r="AE128" s="2"/>
      <c r="AF128" s="2"/>
      <c r="AG128" s="2"/>
      <c r="AH128" s="2"/>
    </row>
    <row r="129" spans="1:34" ht="30" hidden="1" customHeight="1">
      <c r="A129" s="165"/>
      <c r="B129" s="307"/>
      <c r="C129" s="261"/>
      <c r="D129" s="166"/>
      <c r="E129" s="166"/>
      <c r="F129" s="167"/>
      <c r="G129" s="168"/>
      <c r="H129" s="167"/>
      <c r="I129" s="169"/>
      <c r="J129" s="168"/>
      <c r="K129" s="167"/>
      <c r="L129" s="170"/>
      <c r="M129" s="168"/>
      <c r="N129" s="171"/>
      <c r="O129" s="170"/>
      <c r="P129" s="168"/>
      <c r="Q129" s="171"/>
      <c r="R129" s="170"/>
      <c r="S129" s="168"/>
      <c r="T129" s="171"/>
      <c r="U129" s="167"/>
      <c r="V129" s="168"/>
      <c r="W129" s="167"/>
      <c r="X129" s="167"/>
      <c r="Y129" s="167"/>
      <c r="Z129" s="167"/>
      <c r="AA129" s="172"/>
      <c r="AB129" s="172"/>
      <c r="AC129" s="2"/>
      <c r="AD129" s="2"/>
      <c r="AE129" s="2"/>
      <c r="AF129" s="2"/>
      <c r="AG129" s="2"/>
      <c r="AH129" s="2"/>
    </row>
    <row r="130" spans="1:34" ht="30" hidden="1" customHeight="1">
      <c r="A130" s="165"/>
      <c r="B130" s="307"/>
      <c r="C130" s="261"/>
      <c r="D130" s="166"/>
      <c r="E130" s="166"/>
      <c r="F130" s="167"/>
      <c r="G130" s="168"/>
      <c r="H130" s="167"/>
      <c r="I130" s="169"/>
      <c r="J130" s="168"/>
      <c r="K130" s="167"/>
      <c r="L130" s="170"/>
      <c r="M130" s="168"/>
      <c r="N130" s="171"/>
      <c r="O130" s="170"/>
      <c r="P130" s="168"/>
      <c r="Q130" s="171"/>
      <c r="R130" s="170"/>
      <c r="S130" s="168"/>
      <c r="T130" s="171"/>
      <c r="U130" s="167"/>
      <c r="V130" s="168"/>
      <c r="W130" s="167"/>
      <c r="X130" s="167"/>
      <c r="Y130" s="167"/>
      <c r="Z130" s="167"/>
      <c r="AA130" s="172"/>
      <c r="AB130" s="172"/>
      <c r="AC130" s="2"/>
      <c r="AD130" s="2"/>
      <c r="AE130" s="2"/>
      <c r="AF130" s="2"/>
      <c r="AG130" s="2"/>
      <c r="AH130" s="2"/>
    </row>
    <row r="131" spans="1:34" ht="30" hidden="1" customHeight="1">
      <c r="A131" s="165"/>
      <c r="B131" s="307"/>
      <c r="C131" s="261"/>
      <c r="D131" s="166"/>
      <c r="E131" s="166"/>
      <c r="F131" s="167"/>
      <c r="G131" s="168"/>
      <c r="H131" s="167"/>
      <c r="I131" s="169"/>
      <c r="J131" s="168"/>
      <c r="K131" s="167"/>
      <c r="L131" s="170"/>
      <c r="M131" s="168"/>
      <c r="N131" s="171"/>
      <c r="O131" s="170"/>
      <c r="P131" s="168"/>
      <c r="Q131" s="171"/>
      <c r="R131" s="170"/>
      <c r="S131" s="168"/>
      <c r="T131" s="171"/>
      <c r="U131" s="167"/>
      <c r="V131" s="168"/>
      <c r="W131" s="167"/>
      <c r="X131" s="167"/>
      <c r="Y131" s="167"/>
      <c r="Z131" s="167"/>
      <c r="AA131" s="172"/>
      <c r="AB131" s="172"/>
      <c r="AC131" s="2"/>
      <c r="AD131" s="2"/>
      <c r="AE131" s="2"/>
      <c r="AF131" s="2"/>
      <c r="AG131" s="2"/>
      <c r="AH131" s="2"/>
    </row>
    <row r="132" spans="1:34" ht="30" hidden="1" customHeight="1">
      <c r="A132" s="165"/>
      <c r="B132" s="307"/>
      <c r="C132" s="261"/>
      <c r="D132" s="166"/>
      <c r="E132" s="166"/>
      <c r="F132" s="167"/>
      <c r="G132" s="168"/>
      <c r="H132" s="167"/>
      <c r="I132" s="169"/>
      <c r="J132" s="168"/>
      <c r="K132" s="167"/>
      <c r="L132" s="170"/>
      <c r="M132" s="168"/>
      <c r="N132" s="171"/>
      <c r="O132" s="170"/>
      <c r="P132" s="168"/>
      <c r="Q132" s="171"/>
      <c r="R132" s="170"/>
      <c r="S132" s="168"/>
      <c r="T132" s="171"/>
      <c r="U132" s="167"/>
      <c r="V132" s="168"/>
      <c r="W132" s="167"/>
      <c r="X132" s="167"/>
      <c r="Y132" s="167"/>
      <c r="Z132" s="167"/>
      <c r="AA132" s="172"/>
      <c r="AB132" s="172"/>
      <c r="AC132" s="2"/>
      <c r="AD132" s="2"/>
      <c r="AE132" s="2"/>
      <c r="AF132" s="2"/>
      <c r="AG132" s="2"/>
      <c r="AH132" s="2"/>
    </row>
    <row r="133" spans="1:34" ht="30" hidden="1" customHeight="1">
      <c r="A133" s="165"/>
      <c r="B133" s="307"/>
      <c r="C133" s="261"/>
      <c r="D133" s="166"/>
      <c r="E133" s="166"/>
      <c r="F133" s="167"/>
      <c r="G133" s="168"/>
      <c r="H133" s="167"/>
      <c r="I133" s="169"/>
      <c r="J133" s="168"/>
      <c r="K133" s="167"/>
      <c r="L133" s="170"/>
      <c r="M133" s="168"/>
      <c r="N133" s="171"/>
      <c r="O133" s="170"/>
      <c r="P133" s="168"/>
      <c r="Q133" s="171"/>
      <c r="R133" s="170"/>
      <c r="S133" s="168"/>
      <c r="T133" s="171"/>
      <c r="U133" s="167"/>
      <c r="V133" s="168"/>
      <c r="W133" s="167"/>
      <c r="X133" s="167"/>
      <c r="Y133" s="167"/>
      <c r="Z133" s="167"/>
      <c r="AA133" s="172"/>
      <c r="AB133" s="172"/>
      <c r="AC133" s="2"/>
      <c r="AD133" s="2"/>
      <c r="AE133" s="2"/>
      <c r="AF133" s="2"/>
      <c r="AG133" s="2"/>
      <c r="AH133" s="2"/>
    </row>
    <row r="134" spans="1:34" ht="30" hidden="1" customHeight="1">
      <c r="A134" s="165"/>
      <c r="B134" s="307"/>
      <c r="C134" s="261"/>
      <c r="D134" s="166"/>
      <c r="E134" s="166"/>
      <c r="F134" s="167"/>
      <c r="G134" s="168"/>
      <c r="H134" s="167"/>
      <c r="I134" s="169"/>
      <c r="J134" s="168"/>
      <c r="K134" s="167"/>
      <c r="L134" s="170"/>
      <c r="M134" s="168"/>
      <c r="N134" s="171"/>
      <c r="O134" s="170"/>
      <c r="P134" s="168"/>
      <c r="Q134" s="171"/>
      <c r="R134" s="170"/>
      <c r="S134" s="168"/>
      <c r="T134" s="171"/>
      <c r="U134" s="167"/>
      <c r="V134" s="168"/>
      <c r="W134" s="167"/>
      <c r="X134" s="167"/>
      <c r="Y134" s="167"/>
      <c r="Z134" s="167"/>
      <c r="AA134" s="172"/>
      <c r="AB134" s="172"/>
      <c r="AC134" s="2"/>
      <c r="AD134" s="2"/>
      <c r="AE134" s="2"/>
      <c r="AF134" s="2"/>
      <c r="AG134" s="2"/>
      <c r="AH134" s="2"/>
    </row>
    <row r="135" spans="1:34" ht="30" hidden="1" customHeight="1">
      <c r="A135" s="165"/>
      <c r="B135" s="307"/>
      <c r="C135" s="261"/>
      <c r="D135" s="166"/>
      <c r="E135" s="166"/>
      <c r="F135" s="167"/>
      <c r="G135" s="168"/>
      <c r="H135" s="167"/>
      <c r="I135" s="169"/>
      <c r="J135" s="168"/>
      <c r="K135" s="167"/>
      <c r="L135" s="170"/>
      <c r="M135" s="168"/>
      <c r="N135" s="171"/>
      <c r="O135" s="170"/>
      <c r="P135" s="168"/>
      <c r="Q135" s="171"/>
      <c r="R135" s="170"/>
      <c r="S135" s="168"/>
      <c r="T135" s="171"/>
      <c r="U135" s="167"/>
      <c r="V135" s="168"/>
      <c r="W135" s="167"/>
      <c r="X135" s="167"/>
      <c r="Y135" s="167"/>
      <c r="Z135" s="167"/>
      <c r="AA135" s="172"/>
      <c r="AB135" s="172"/>
      <c r="AC135" s="2"/>
      <c r="AD135" s="2"/>
      <c r="AE135" s="2"/>
      <c r="AF135" s="2"/>
      <c r="AG135" s="2"/>
      <c r="AH135" s="2"/>
    </row>
    <row r="136" spans="1:34" ht="30" hidden="1" customHeight="1">
      <c r="A136" s="165"/>
      <c r="B136" s="307"/>
      <c r="C136" s="261"/>
      <c r="D136" s="166"/>
      <c r="E136" s="166"/>
      <c r="F136" s="167"/>
      <c r="G136" s="168"/>
      <c r="H136" s="167"/>
      <c r="I136" s="169"/>
      <c r="J136" s="168"/>
      <c r="K136" s="167"/>
      <c r="L136" s="170"/>
      <c r="M136" s="168"/>
      <c r="N136" s="171"/>
      <c r="O136" s="170"/>
      <c r="P136" s="168"/>
      <c r="Q136" s="171"/>
      <c r="R136" s="170"/>
      <c r="S136" s="168"/>
      <c r="T136" s="171"/>
      <c r="U136" s="167"/>
      <c r="V136" s="168"/>
      <c r="W136" s="167"/>
      <c r="X136" s="167"/>
      <c r="Y136" s="167"/>
      <c r="Z136" s="167"/>
      <c r="AA136" s="172"/>
      <c r="AB136" s="172"/>
      <c r="AC136" s="2"/>
      <c r="AD136" s="2"/>
      <c r="AE136" s="2"/>
      <c r="AF136" s="2"/>
      <c r="AG136" s="2"/>
      <c r="AH136" s="2"/>
    </row>
    <row r="137" spans="1:34" ht="30" hidden="1" customHeight="1">
      <c r="A137" s="165"/>
      <c r="B137" s="307"/>
      <c r="C137" s="261"/>
      <c r="D137" s="166"/>
      <c r="E137" s="166"/>
      <c r="F137" s="167"/>
      <c r="G137" s="168"/>
      <c r="H137" s="167"/>
      <c r="I137" s="169"/>
      <c r="J137" s="168"/>
      <c r="K137" s="167"/>
      <c r="L137" s="170"/>
      <c r="M137" s="168"/>
      <c r="N137" s="171"/>
      <c r="O137" s="170"/>
      <c r="P137" s="168"/>
      <c r="Q137" s="171"/>
      <c r="R137" s="170"/>
      <c r="S137" s="168"/>
      <c r="T137" s="171"/>
      <c r="U137" s="167"/>
      <c r="V137" s="168"/>
      <c r="W137" s="167"/>
      <c r="X137" s="167"/>
      <c r="Y137" s="167"/>
      <c r="Z137" s="167"/>
      <c r="AA137" s="172"/>
      <c r="AB137" s="172"/>
      <c r="AC137" s="2"/>
      <c r="AD137" s="2"/>
      <c r="AE137" s="2"/>
      <c r="AF137" s="2"/>
      <c r="AG137" s="2"/>
      <c r="AH137" s="2"/>
    </row>
    <row r="138" spans="1:34" ht="30" hidden="1" customHeight="1">
      <c r="A138" s="165"/>
      <c r="B138" s="307"/>
      <c r="C138" s="261"/>
      <c r="D138" s="166"/>
      <c r="E138" s="166"/>
      <c r="F138" s="167"/>
      <c r="G138" s="168"/>
      <c r="H138" s="167"/>
      <c r="I138" s="169"/>
      <c r="J138" s="168"/>
      <c r="K138" s="167"/>
      <c r="L138" s="170"/>
      <c r="M138" s="168"/>
      <c r="N138" s="171"/>
      <c r="O138" s="170"/>
      <c r="P138" s="168"/>
      <c r="Q138" s="171"/>
      <c r="R138" s="170"/>
      <c r="S138" s="168"/>
      <c r="T138" s="171"/>
      <c r="U138" s="167"/>
      <c r="V138" s="168"/>
      <c r="W138" s="167"/>
      <c r="X138" s="167"/>
      <c r="Y138" s="167"/>
      <c r="Z138" s="167"/>
      <c r="AA138" s="172"/>
      <c r="AB138" s="172"/>
      <c r="AC138" s="2"/>
      <c r="AD138" s="2"/>
      <c r="AE138" s="2"/>
      <c r="AF138" s="2"/>
      <c r="AG138" s="2"/>
      <c r="AH138" s="2"/>
    </row>
    <row r="139" spans="1:34" ht="30" hidden="1" customHeight="1">
      <c r="A139" s="165"/>
      <c r="B139" s="307"/>
      <c r="C139" s="261"/>
      <c r="D139" s="166"/>
      <c r="E139" s="166"/>
      <c r="F139" s="167"/>
      <c r="G139" s="168"/>
      <c r="H139" s="167"/>
      <c r="I139" s="169"/>
      <c r="J139" s="168"/>
      <c r="K139" s="167"/>
      <c r="L139" s="170"/>
      <c r="M139" s="168"/>
      <c r="N139" s="171"/>
      <c r="O139" s="170"/>
      <c r="P139" s="168"/>
      <c r="Q139" s="171"/>
      <c r="R139" s="170"/>
      <c r="S139" s="168"/>
      <c r="T139" s="171"/>
      <c r="U139" s="167"/>
      <c r="V139" s="168"/>
      <c r="W139" s="167"/>
      <c r="X139" s="167"/>
      <c r="Y139" s="167"/>
      <c r="Z139" s="167"/>
      <c r="AA139" s="172"/>
      <c r="AB139" s="172"/>
      <c r="AC139" s="2"/>
      <c r="AD139" s="2"/>
      <c r="AE139" s="2"/>
      <c r="AF139" s="2"/>
      <c r="AG139" s="2"/>
      <c r="AH139" s="2"/>
    </row>
    <row r="140" spans="1:34" ht="30" hidden="1" customHeight="1">
      <c r="A140" s="165"/>
      <c r="B140" s="307"/>
      <c r="C140" s="261"/>
      <c r="D140" s="166"/>
      <c r="E140" s="166"/>
      <c r="F140" s="167"/>
      <c r="G140" s="168"/>
      <c r="H140" s="167"/>
      <c r="I140" s="169"/>
      <c r="J140" s="168"/>
      <c r="K140" s="167"/>
      <c r="L140" s="170"/>
      <c r="M140" s="168"/>
      <c r="N140" s="171"/>
      <c r="O140" s="170"/>
      <c r="P140" s="168"/>
      <c r="Q140" s="171"/>
      <c r="R140" s="170"/>
      <c r="S140" s="168"/>
      <c r="T140" s="171"/>
      <c r="U140" s="167"/>
      <c r="V140" s="168"/>
      <c r="W140" s="167"/>
      <c r="X140" s="167"/>
      <c r="Y140" s="167"/>
      <c r="Z140" s="167"/>
      <c r="AA140" s="172"/>
      <c r="AB140" s="172"/>
      <c r="AC140" s="2"/>
      <c r="AD140" s="2"/>
      <c r="AE140" s="2"/>
      <c r="AF140" s="2"/>
      <c r="AG140" s="2"/>
      <c r="AH140" s="2"/>
    </row>
    <row r="141" spans="1:34" ht="30" hidden="1" customHeight="1">
      <c r="A141" s="165"/>
      <c r="B141" s="307"/>
      <c r="C141" s="261"/>
      <c r="D141" s="166"/>
      <c r="E141" s="166"/>
      <c r="F141" s="167"/>
      <c r="G141" s="168"/>
      <c r="H141" s="167"/>
      <c r="I141" s="169"/>
      <c r="J141" s="168"/>
      <c r="K141" s="167"/>
      <c r="L141" s="170"/>
      <c r="M141" s="168"/>
      <c r="N141" s="171"/>
      <c r="O141" s="170"/>
      <c r="P141" s="168"/>
      <c r="Q141" s="171"/>
      <c r="R141" s="170"/>
      <c r="S141" s="168"/>
      <c r="T141" s="171"/>
      <c r="U141" s="167"/>
      <c r="V141" s="168"/>
      <c r="W141" s="167"/>
      <c r="X141" s="167"/>
      <c r="Y141" s="167"/>
      <c r="Z141" s="167"/>
      <c r="AA141" s="172"/>
      <c r="AB141" s="172"/>
      <c r="AC141" s="2"/>
      <c r="AD141" s="2"/>
      <c r="AE141" s="2"/>
      <c r="AF141" s="2"/>
      <c r="AG141" s="2"/>
      <c r="AH141" s="2"/>
    </row>
    <row r="142" spans="1:34" ht="30" hidden="1" customHeight="1">
      <c r="A142" s="165"/>
      <c r="B142" s="307"/>
      <c r="C142" s="261"/>
      <c r="D142" s="166"/>
      <c r="E142" s="166"/>
      <c r="F142" s="167"/>
      <c r="G142" s="168"/>
      <c r="H142" s="167"/>
      <c r="I142" s="169"/>
      <c r="J142" s="168"/>
      <c r="K142" s="167"/>
      <c r="L142" s="170"/>
      <c r="M142" s="168"/>
      <c r="N142" s="171"/>
      <c r="O142" s="170"/>
      <c r="P142" s="168"/>
      <c r="Q142" s="171"/>
      <c r="R142" s="170"/>
      <c r="S142" s="168"/>
      <c r="T142" s="171"/>
      <c r="U142" s="167"/>
      <c r="V142" s="168"/>
      <c r="W142" s="167"/>
      <c r="X142" s="167"/>
      <c r="Y142" s="167"/>
      <c r="Z142" s="167"/>
      <c r="AA142" s="172"/>
      <c r="AB142" s="172"/>
      <c r="AC142" s="2"/>
      <c r="AD142" s="2"/>
      <c r="AE142" s="2"/>
      <c r="AF142" s="2"/>
      <c r="AG142" s="2"/>
      <c r="AH142" s="2"/>
    </row>
    <row r="143" spans="1:34" ht="30" hidden="1" customHeight="1">
      <c r="A143" s="165"/>
      <c r="B143" s="307"/>
      <c r="C143" s="261"/>
      <c r="D143" s="166"/>
      <c r="E143" s="166"/>
      <c r="F143" s="167"/>
      <c r="G143" s="168"/>
      <c r="H143" s="167"/>
      <c r="I143" s="169"/>
      <c r="J143" s="168"/>
      <c r="K143" s="167"/>
      <c r="L143" s="170"/>
      <c r="M143" s="168"/>
      <c r="N143" s="171"/>
      <c r="O143" s="170"/>
      <c r="P143" s="168"/>
      <c r="Q143" s="171"/>
      <c r="R143" s="170"/>
      <c r="S143" s="168"/>
      <c r="T143" s="171"/>
      <c r="U143" s="167"/>
      <c r="V143" s="168"/>
      <c r="W143" s="167"/>
      <c r="X143" s="167"/>
      <c r="Y143" s="167"/>
      <c r="Z143" s="167"/>
      <c r="AA143" s="172"/>
      <c r="AB143" s="172"/>
      <c r="AC143" s="2"/>
      <c r="AD143" s="2"/>
      <c r="AE143" s="2"/>
      <c r="AF143" s="2"/>
      <c r="AG143" s="2"/>
      <c r="AH143" s="2"/>
    </row>
    <row r="144" spans="1:34" ht="30" hidden="1" customHeight="1">
      <c r="A144" s="165"/>
      <c r="B144" s="307"/>
      <c r="C144" s="261"/>
      <c r="D144" s="166"/>
      <c r="E144" s="166"/>
      <c r="F144" s="167"/>
      <c r="G144" s="168"/>
      <c r="H144" s="167"/>
      <c r="I144" s="169"/>
      <c r="J144" s="168"/>
      <c r="K144" s="167"/>
      <c r="L144" s="170"/>
      <c r="M144" s="168"/>
      <c r="N144" s="171"/>
      <c r="O144" s="170"/>
      <c r="P144" s="168"/>
      <c r="Q144" s="171"/>
      <c r="R144" s="170"/>
      <c r="S144" s="168"/>
      <c r="T144" s="171"/>
      <c r="U144" s="167"/>
      <c r="V144" s="168"/>
      <c r="W144" s="167"/>
      <c r="X144" s="167"/>
      <c r="Y144" s="167"/>
      <c r="Z144" s="167"/>
      <c r="AA144" s="172"/>
      <c r="AB144" s="172"/>
      <c r="AC144" s="2"/>
      <c r="AD144" s="2"/>
      <c r="AE144" s="2"/>
      <c r="AF144" s="2"/>
      <c r="AG144" s="2"/>
      <c r="AH144" s="2"/>
    </row>
    <row r="145" spans="1:34" ht="30" hidden="1" customHeight="1">
      <c r="A145" s="165"/>
      <c r="B145" s="307"/>
      <c r="C145" s="261"/>
      <c r="D145" s="166"/>
      <c r="E145" s="166"/>
      <c r="F145" s="167"/>
      <c r="G145" s="168"/>
      <c r="H145" s="167"/>
      <c r="I145" s="169"/>
      <c r="J145" s="168"/>
      <c r="K145" s="167"/>
      <c r="L145" s="170"/>
      <c r="M145" s="168"/>
      <c r="N145" s="171"/>
      <c r="O145" s="170"/>
      <c r="P145" s="168"/>
      <c r="Q145" s="171"/>
      <c r="R145" s="170"/>
      <c r="S145" s="168"/>
      <c r="T145" s="171"/>
      <c r="U145" s="167"/>
      <c r="V145" s="168"/>
      <c r="W145" s="167"/>
      <c r="X145" s="167"/>
      <c r="Y145" s="167"/>
      <c r="Z145" s="167"/>
      <c r="AA145" s="172"/>
      <c r="AB145" s="172"/>
      <c r="AC145" s="2"/>
      <c r="AD145" s="2"/>
      <c r="AE145" s="2"/>
      <c r="AF145" s="2"/>
      <c r="AG145" s="2"/>
      <c r="AH145" s="2"/>
    </row>
    <row r="146" spans="1:34" ht="30" hidden="1" customHeight="1">
      <c r="A146" s="165"/>
      <c r="B146" s="307"/>
      <c r="C146" s="261"/>
      <c r="D146" s="166"/>
      <c r="E146" s="166"/>
      <c r="F146" s="167"/>
      <c r="G146" s="168"/>
      <c r="H146" s="167"/>
      <c r="I146" s="169"/>
      <c r="J146" s="168"/>
      <c r="K146" s="167"/>
      <c r="L146" s="170"/>
      <c r="M146" s="168"/>
      <c r="N146" s="171"/>
      <c r="O146" s="170"/>
      <c r="P146" s="168"/>
      <c r="Q146" s="171"/>
      <c r="R146" s="170"/>
      <c r="S146" s="168"/>
      <c r="T146" s="171"/>
      <c r="U146" s="167"/>
      <c r="V146" s="168"/>
      <c r="W146" s="167"/>
      <c r="X146" s="167"/>
      <c r="Y146" s="167"/>
      <c r="Z146" s="167"/>
      <c r="AA146" s="172"/>
      <c r="AB146" s="172"/>
      <c r="AC146" s="2"/>
      <c r="AD146" s="2"/>
      <c r="AE146" s="2"/>
      <c r="AF146" s="2"/>
      <c r="AG146" s="2"/>
      <c r="AH146" s="2"/>
    </row>
    <row r="147" spans="1:34" ht="30" hidden="1" customHeight="1">
      <c r="A147" s="165"/>
      <c r="B147" s="307"/>
      <c r="C147" s="261"/>
      <c r="D147" s="166"/>
      <c r="E147" s="166"/>
      <c r="F147" s="167"/>
      <c r="G147" s="168"/>
      <c r="H147" s="167"/>
      <c r="I147" s="169"/>
      <c r="J147" s="168"/>
      <c r="K147" s="167"/>
      <c r="L147" s="170"/>
      <c r="M147" s="168"/>
      <c r="N147" s="171"/>
      <c r="O147" s="170"/>
      <c r="P147" s="168"/>
      <c r="Q147" s="171"/>
      <c r="R147" s="170"/>
      <c r="S147" s="168"/>
      <c r="T147" s="171"/>
      <c r="U147" s="167"/>
      <c r="V147" s="168"/>
      <c r="W147" s="167"/>
      <c r="X147" s="167"/>
      <c r="Y147" s="167"/>
      <c r="Z147" s="167"/>
      <c r="AA147" s="172"/>
      <c r="AB147" s="172"/>
      <c r="AC147" s="2"/>
      <c r="AD147" s="2"/>
      <c r="AE147" s="2"/>
      <c r="AF147" s="2"/>
      <c r="AG147" s="2"/>
      <c r="AH147" s="2"/>
    </row>
    <row r="148" spans="1:34" ht="30" hidden="1" customHeight="1">
      <c r="A148" s="165"/>
      <c r="B148" s="307"/>
      <c r="C148" s="261"/>
      <c r="D148" s="166"/>
      <c r="E148" s="166"/>
      <c r="F148" s="167"/>
      <c r="G148" s="168"/>
      <c r="H148" s="167"/>
      <c r="I148" s="169"/>
      <c r="J148" s="168"/>
      <c r="K148" s="167"/>
      <c r="L148" s="170"/>
      <c r="M148" s="168"/>
      <c r="N148" s="171"/>
      <c r="O148" s="170"/>
      <c r="P148" s="168"/>
      <c r="Q148" s="171"/>
      <c r="R148" s="170"/>
      <c r="S148" s="168"/>
      <c r="T148" s="171"/>
      <c r="U148" s="167"/>
      <c r="V148" s="168"/>
      <c r="W148" s="167"/>
      <c r="X148" s="167"/>
      <c r="Y148" s="167"/>
      <c r="Z148" s="167"/>
      <c r="AA148" s="172"/>
      <c r="AB148" s="172"/>
      <c r="AC148" s="2"/>
      <c r="AD148" s="2"/>
      <c r="AE148" s="2"/>
      <c r="AF148" s="2"/>
      <c r="AG148" s="2"/>
      <c r="AH148" s="2"/>
    </row>
    <row r="149" spans="1:34" ht="30" hidden="1" customHeight="1">
      <c r="A149" s="165"/>
      <c r="B149" s="307"/>
      <c r="C149" s="261"/>
      <c r="D149" s="166"/>
      <c r="E149" s="166"/>
      <c r="F149" s="167"/>
      <c r="G149" s="168"/>
      <c r="H149" s="167"/>
      <c r="I149" s="169"/>
      <c r="J149" s="168"/>
      <c r="K149" s="167"/>
      <c r="L149" s="170"/>
      <c r="M149" s="168"/>
      <c r="N149" s="171"/>
      <c r="O149" s="170"/>
      <c r="P149" s="168"/>
      <c r="Q149" s="171"/>
      <c r="R149" s="170"/>
      <c r="S149" s="168"/>
      <c r="T149" s="171"/>
      <c r="U149" s="167"/>
      <c r="V149" s="168"/>
      <c r="W149" s="167"/>
      <c r="X149" s="167"/>
      <c r="Y149" s="167"/>
      <c r="Z149" s="167"/>
      <c r="AA149" s="172"/>
      <c r="AB149" s="172"/>
      <c r="AC149" s="2"/>
      <c r="AD149" s="2"/>
      <c r="AE149" s="2"/>
      <c r="AF149" s="2"/>
      <c r="AG149" s="2"/>
      <c r="AH149" s="2"/>
    </row>
    <row r="150" spans="1:34" ht="30" hidden="1" customHeight="1">
      <c r="A150" s="165"/>
      <c r="B150" s="307"/>
      <c r="C150" s="261"/>
      <c r="D150" s="166"/>
      <c r="E150" s="166"/>
      <c r="F150" s="167"/>
      <c r="G150" s="168"/>
      <c r="H150" s="167"/>
      <c r="I150" s="169"/>
      <c r="J150" s="168"/>
      <c r="K150" s="167"/>
      <c r="L150" s="170"/>
      <c r="M150" s="168"/>
      <c r="N150" s="171"/>
      <c r="O150" s="170"/>
      <c r="P150" s="168"/>
      <c r="Q150" s="171"/>
      <c r="R150" s="170"/>
      <c r="S150" s="168"/>
      <c r="T150" s="171"/>
      <c r="U150" s="167"/>
      <c r="V150" s="168"/>
      <c r="W150" s="167"/>
      <c r="X150" s="167"/>
      <c r="Y150" s="167"/>
      <c r="Z150" s="167"/>
      <c r="AA150" s="172"/>
      <c r="AB150" s="172"/>
      <c r="AC150" s="2"/>
      <c r="AD150" s="2"/>
      <c r="AE150" s="2"/>
      <c r="AF150" s="2"/>
      <c r="AG150" s="2"/>
      <c r="AH150" s="2"/>
    </row>
    <row r="151" spans="1:34" ht="30" hidden="1" customHeight="1">
      <c r="A151" s="165"/>
      <c r="B151" s="307"/>
      <c r="C151" s="261"/>
      <c r="D151" s="166"/>
      <c r="E151" s="166"/>
      <c r="F151" s="167"/>
      <c r="G151" s="168"/>
      <c r="H151" s="167"/>
      <c r="I151" s="169"/>
      <c r="J151" s="168"/>
      <c r="K151" s="167"/>
      <c r="L151" s="170"/>
      <c r="M151" s="168"/>
      <c r="N151" s="171"/>
      <c r="O151" s="170"/>
      <c r="P151" s="168"/>
      <c r="Q151" s="171"/>
      <c r="R151" s="170"/>
      <c r="S151" s="168"/>
      <c r="T151" s="171"/>
      <c r="U151" s="167"/>
      <c r="V151" s="168"/>
      <c r="W151" s="167"/>
      <c r="X151" s="167"/>
      <c r="Y151" s="167"/>
      <c r="Z151" s="167"/>
      <c r="AA151" s="172"/>
      <c r="AB151" s="172"/>
      <c r="AC151" s="2"/>
      <c r="AD151" s="2"/>
      <c r="AE151" s="2"/>
      <c r="AF151" s="2"/>
      <c r="AG151" s="2"/>
      <c r="AH151" s="2"/>
    </row>
    <row r="152" spans="1:34" ht="30" hidden="1" customHeight="1">
      <c r="A152" s="165"/>
      <c r="B152" s="307"/>
      <c r="C152" s="261"/>
      <c r="D152" s="166"/>
      <c r="E152" s="166"/>
      <c r="F152" s="167"/>
      <c r="G152" s="168"/>
      <c r="H152" s="167"/>
      <c r="I152" s="169"/>
      <c r="J152" s="168"/>
      <c r="K152" s="167"/>
      <c r="L152" s="170"/>
      <c r="M152" s="168"/>
      <c r="N152" s="171"/>
      <c r="O152" s="170"/>
      <c r="P152" s="168"/>
      <c r="Q152" s="171"/>
      <c r="R152" s="170"/>
      <c r="S152" s="168"/>
      <c r="T152" s="171"/>
      <c r="U152" s="167"/>
      <c r="V152" s="168"/>
      <c r="W152" s="167"/>
      <c r="X152" s="167"/>
      <c r="Y152" s="167"/>
      <c r="Z152" s="167"/>
      <c r="AA152" s="172"/>
      <c r="AB152" s="172"/>
      <c r="AC152" s="2"/>
      <c r="AD152" s="2"/>
      <c r="AE152" s="2"/>
      <c r="AF152" s="2"/>
      <c r="AG152" s="2"/>
      <c r="AH152" s="2"/>
    </row>
    <row r="153" spans="1:34" ht="30" hidden="1" customHeight="1">
      <c r="A153" s="165"/>
      <c r="B153" s="307"/>
      <c r="C153" s="261"/>
      <c r="D153" s="166"/>
      <c r="E153" s="166"/>
      <c r="F153" s="167"/>
      <c r="G153" s="168"/>
      <c r="H153" s="167"/>
      <c r="I153" s="169"/>
      <c r="J153" s="168"/>
      <c r="K153" s="167"/>
      <c r="L153" s="170"/>
      <c r="M153" s="168"/>
      <c r="N153" s="171"/>
      <c r="O153" s="170"/>
      <c r="P153" s="168"/>
      <c r="Q153" s="171"/>
      <c r="R153" s="170"/>
      <c r="S153" s="168"/>
      <c r="T153" s="171"/>
      <c r="U153" s="167"/>
      <c r="V153" s="168"/>
      <c r="W153" s="167"/>
      <c r="X153" s="167"/>
      <c r="Y153" s="167"/>
      <c r="Z153" s="167"/>
      <c r="AA153" s="172"/>
      <c r="AB153" s="172"/>
      <c r="AC153" s="2"/>
      <c r="AD153" s="2"/>
      <c r="AE153" s="2"/>
      <c r="AF153" s="2"/>
      <c r="AG153" s="2"/>
      <c r="AH153" s="2"/>
    </row>
    <row r="154" spans="1:34" ht="30" hidden="1" customHeight="1">
      <c r="A154" s="165"/>
      <c r="B154" s="307"/>
      <c r="C154" s="261"/>
      <c r="D154" s="166"/>
      <c r="E154" s="166"/>
      <c r="F154" s="167"/>
      <c r="G154" s="168"/>
      <c r="H154" s="167"/>
      <c r="I154" s="169"/>
      <c r="J154" s="168"/>
      <c r="K154" s="167"/>
      <c r="L154" s="170"/>
      <c r="M154" s="168"/>
      <c r="N154" s="171"/>
      <c r="O154" s="170"/>
      <c r="P154" s="168"/>
      <c r="Q154" s="171"/>
      <c r="R154" s="170"/>
      <c r="S154" s="168"/>
      <c r="T154" s="171"/>
      <c r="U154" s="167"/>
      <c r="V154" s="168"/>
      <c r="W154" s="167"/>
      <c r="X154" s="167"/>
      <c r="Y154" s="167"/>
      <c r="Z154" s="167"/>
      <c r="AA154" s="172"/>
      <c r="AB154" s="172"/>
      <c r="AC154" s="2"/>
      <c r="AD154" s="2"/>
      <c r="AE154" s="2"/>
      <c r="AF154" s="2"/>
      <c r="AG154" s="2"/>
      <c r="AH154" s="2"/>
    </row>
    <row r="155" spans="1:34" ht="30" hidden="1" customHeight="1">
      <c r="A155" s="165"/>
      <c r="B155" s="307"/>
      <c r="C155" s="261"/>
      <c r="D155" s="166"/>
      <c r="E155" s="166"/>
      <c r="F155" s="167"/>
      <c r="G155" s="168"/>
      <c r="H155" s="167"/>
      <c r="I155" s="169"/>
      <c r="J155" s="168"/>
      <c r="K155" s="167"/>
      <c r="L155" s="170"/>
      <c r="M155" s="168"/>
      <c r="N155" s="171"/>
      <c r="O155" s="170"/>
      <c r="P155" s="168"/>
      <c r="Q155" s="171"/>
      <c r="R155" s="170"/>
      <c r="S155" s="168"/>
      <c r="T155" s="171"/>
      <c r="U155" s="167"/>
      <c r="V155" s="168"/>
      <c r="W155" s="167"/>
      <c r="X155" s="167"/>
      <c r="Y155" s="167"/>
      <c r="Z155" s="167"/>
      <c r="AA155" s="172"/>
      <c r="AB155" s="172"/>
      <c r="AC155" s="2"/>
      <c r="AD155" s="2"/>
      <c r="AE155" s="2"/>
      <c r="AF155" s="2"/>
      <c r="AG155" s="2"/>
      <c r="AH155" s="2"/>
    </row>
    <row r="156" spans="1:34" ht="30" hidden="1" customHeight="1">
      <c r="A156" s="165"/>
      <c r="B156" s="307"/>
      <c r="C156" s="261"/>
      <c r="D156" s="166"/>
      <c r="E156" s="166"/>
      <c r="F156" s="167"/>
      <c r="G156" s="168"/>
      <c r="H156" s="167"/>
      <c r="I156" s="169"/>
      <c r="J156" s="168"/>
      <c r="K156" s="167"/>
      <c r="L156" s="170"/>
      <c r="M156" s="168"/>
      <c r="N156" s="171"/>
      <c r="O156" s="170"/>
      <c r="P156" s="168"/>
      <c r="Q156" s="171"/>
      <c r="R156" s="170"/>
      <c r="S156" s="168"/>
      <c r="T156" s="171"/>
      <c r="U156" s="167"/>
      <c r="V156" s="168"/>
      <c r="W156" s="167"/>
      <c r="X156" s="167"/>
      <c r="Y156" s="167"/>
      <c r="Z156" s="167"/>
      <c r="AA156" s="172"/>
      <c r="AB156" s="172"/>
      <c r="AC156" s="2"/>
      <c r="AD156" s="2"/>
      <c r="AE156" s="2"/>
      <c r="AF156" s="2"/>
      <c r="AG156" s="2"/>
      <c r="AH156" s="2"/>
    </row>
    <row r="157" spans="1:34" ht="30" hidden="1" customHeight="1">
      <c r="A157" s="165"/>
      <c r="B157" s="307"/>
      <c r="C157" s="261"/>
      <c r="D157" s="166"/>
      <c r="E157" s="166"/>
      <c r="F157" s="167"/>
      <c r="G157" s="168"/>
      <c r="H157" s="167"/>
      <c r="I157" s="169"/>
      <c r="J157" s="168"/>
      <c r="K157" s="167"/>
      <c r="L157" s="170"/>
      <c r="M157" s="168"/>
      <c r="N157" s="171"/>
      <c r="O157" s="170"/>
      <c r="P157" s="168"/>
      <c r="Q157" s="171"/>
      <c r="R157" s="170"/>
      <c r="S157" s="168"/>
      <c r="T157" s="171"/>
      <c r="U157" s="167"/>
      <c r="V157" s="168"/>
      <c r="W157" s="167"/>
      <c r="X157" s="167"/>
      <c r="Y157" s="167"/>
      <c r="Z157" s="167"/>
      <c r="AA157" s="172"/>
      <c r="AB157" s="172"/>
      <c r="AC157" s="2"/>
      <c r="AD157" s="2"/>
      <c r="AE157" s="2"/>
      <c r="AF157" s="2"/>
      <c r="AG157" s="2"/>
      <c r="AH157" s="2"/>
    </row>
    <row r="158" spans="1:34" ht="30" hidden="1" customHeight="1">
      <c r="A158" s="165"/>
      <c r="B158" s="307"/>
      <c r="C158" s="261"/>
      <c r="D158" s="166"/>
      <c r="E158" s="166"/>
      <c r="F158" s="167"/>
      <c r="G158" s="168"/>
      <c r="H158" s="167"/>
      <c r="I158" s="169"/>
      <c r="J158" s="168"/>
      <c r="K158" s="167"/>
      <c r="L158" s="170"/>
      <c r="M158" s="168"/>
      <c r="N158" s="171"/>
      <c r="O158" s="170"/>
      <c r="P158" s="168"/>
      <c r="Q158" s="171"/>
      <c r="R158" s="170"/>
      <c r="S158" s="168"/>
      <c r="T158" s="171"/>
      <c r="U158" s="167"/>
      <c r="V158" s="168"/>
      <c r="W158" s="167"/>
      <c r="X158" s="167"/>
      <c r="Y158" s="167"/>
      <c r="Z158" s="167"/>
      <c r="AA158" s="172"/>
      <c r="AB158" s="172"/>
      <c r="AC158" s="2"/>
      <c r="AD158" s="2"/>
      <c r="AE158" s="2"/>
      <c r="AF158" s="2"/>
      <c r="AG158" s="2"/>
      <c r="AH158" s="2"/>
    </row>
    <row r="159" spans="1:34" ht="30" hidden="1" customHeight="1">
      <c r="A159" s="165"/>
      <c r="B159" s="307"/>
      <c r="C159" s="261"/>
      <c r="D159" s="166"/>
      <c r="E159" s="166"/>
      <c r="F159" s="167"/>
      <c r="G159" s="168"/>
      <c r="H159" s="167"/>
      <c r="I159" s="169"/>
      <c r="J159" s="168"/>
      <c r="K159" s="167"/>
      <c r="L159" s="170"/>
      <c r="M159" s="168"/>
      <c r="N159" s="171"/>
      <c r="O159" s="170"/>
      <c r="P159" s="168"/>
      <c r="Q159" s="171"/>
      <c r="R159" s="170"/>
      <c r="S159" s="168"/>
      <c r="T159" s="171"/>
      <c r="U159" s="167"/>
      <c r="V159" s="168"/>
      <c r="W159" s="167"/>
      <c r="X159" s="167"/>
      <c r="Y159" s="167"/>
      <c r="Z159" s="167"/>
      <c r="AA159" s="172"/>
      <c r="AB159" s="172"/>
      <c r="AC159" s="2"/>
      <c r="AD159" s="2"/>
      <c r="AE159" s="2"/>
      <c r="AF159" s="2"/>
      <c r="AG159" s="2"/>
      <c r="AH159" s="2"/>
    </row>
    <row r="160" spans="1:34" ht="30" hidden="1" customHeight="1">
      <c r="A160" s="165"/>
      <c r="B160" s="307"/>
      <c r="C160" s="261"/>
      <c r="D160" s="166"/>
      <c r="E160" s="166"/>
      <c r="F160" s="167"/>
      <c r="G160" s="168"/>
      <c r="H160" s="167"/>
      <c r="I160" s="169"/>
      <c r="J160" s="168"/>
      <c r="K160" s="167"/>
      <c r="L160" s="170"/>
      <c r="M160" s="168"/>
      <c r="N160" s="171"/>
      <c r="O160" s="170"/>
      <c r="P160" s="168"/>
      <c r="Q160" s="171"/>
      <c r="R160" s="170"/>
      <c r="S160" s="168"/>
      <c r="T160" s="171"/>
      <c r="U160" s="167"/>
      <c r="V160" s="168"/>
      <c r="W160" s="167"/>
      <c r="X160" s="167"/>
      <c r="Y160" s="167"/>
      <c r="Z160" s="167"/>
      <c r="AA160" s="172"/>
      <c r="AB160" s="172"/>
      <c r="AC160" s="2"/>
      <c r="AD160" s="2"/>
      <c r="AE160" s="2"/>
      <c r="AF160" s="2"/>
      <c r="AG160" s="2"/>
      <c r="AH160" s="2"/>
    </row>
    <row r="161" spans="1:34" ht="30" hidden="1" customHeight="1">
      <c r="A161" s="165"/>
      <c r="B161" s="307"/>
      <c r="C161" s="261"/>
      <c r="D161" s="166"/>
      <c r="E161" s="166"/>
      <c r="F161" s="167"/>
      <c r="G161" s="168"/>
      <c r="H161" s="167"/>
      <c r="I161" s="169"/>
      <c r="J161" s="168"/>
      <c r="K161" s="167"/>
      <c r="L161" s="170"/>
      <c r="M161" s="168"/>
      <c r="N161" s="171"/>
      <c r="O161" s="170"/>
      <c r="P161" s="168"/>
      <c r="Q161" s="171"/>
      <c r="R161" s="170"/>
      <c r="S161" s="168"/>
      <c r="T161" s="171"/>
      <c r="U161" s="167"/>
      <c r="V161" s="168"/>
      <c r="W161" s="167"/>
      <c r="X161" s="167"/>
      <c r="Y161" s="167"/>
      <c r="Z161" s="167"/>
      <c r="AA161" s="172"/>
      <c r="AB161" s="172"/>
      <c r="AC161" s="2"/>
      <c r="AD161" s="2"/>
      <c r="AE161" s="2"/>
      <c r="AF161" s="2"/>
      <c r="AG161" s="2"/>
      <c r="AH161" s="2"/>
    </row>
    <row r="162" spans="1:34" ht="30" hidden="1" customHeight="1">
      <c r="A162" s="165"/>
      <c r="B162" s="307"/>
      <c r="C162" s="261"/>
      <c r="D162" s="166"/>
      <c r="E162" s="166"/>
      <c r="F162" s="167"/>
      <c r="G162" s="168"/>
      <c r="H162" s="167"/>
      <c r="I162" s="169"/>
      <c r="J162" s="168"/>
      <c r="K162" s="167"/>
      <c r="L162" s="170"/>
      <c r="M162" s="168"/>
      <c r="N162" s="171"/>
      <c r="O162" s="170"/>
      <c r="P162" s="168"/>
      <c r="Q162" s="171"/>
      <c r="R162" s="170"/>
      <c r="S162" s="168"/>
      <c r="T162" s="171"/>
      <c r="U162" s="167"/>
      <c r="V162" s="168"/>
      <c r="W162" s="167"/>
      <c r="X162" s="167"/>
      <c r="Y162" s="167"/>
      <c r="Z162" s="167"/>
      <c r="AA162" s="172"/>
      <c r="AB162" s="172"/>
      <c r="AC162" s="2"/>
      <c r="AD162" s="2"/>
      <c r="AE162" s="2"/>
      <c r="AF162" s="2"/>
      <c r="AG162" s="2"/>
      <c r="AH162" s="2"/>
    </row>
    <row r="163" spans="1:34" ht="30" hidden="1" customHeight="1">
      <c r="A163" s="165"/>
      <c r="B163" s="307"/>
      <c r="C163" s="261"/>
      <c r="D163" s="166"/>
      <c r="E163" s="166"/>
      <c r="F163" s="167"/>
      <c r="G163" s="168"/>
      <c r="H163" s="167"/>
      <c r="I163" s="169"/>
      <c r="J163" s="168"/>
      <c r="K163" s="167"/>
      <c r="L163" s="170"/>
      <c r="M163" s="168"/>
      <c r="N163" s="171"/>
      <c r="O163" s="170"/>
      <c r="P163" s="168"/>
      <c r="Q163" s="171"/>
      <c r="R163" s="170"/>
      <c r="S163" s="168"/>
      <c r="T163" s="171"/>
      <c r="U163" s="167"/>
      <c r="V163" s="168"/>
      <c r="W163" s="167"/>
      <c r="X163" s="167"/>
      <c r="Y163" s="167"/>
      <c r="Z163" s="167"/>
      <c r="AA163" s="172"/>
      <c r="AB163" s="172"/>
      <c r="AC163" s="2"/>
      <c r="AD163" s="2"/>
      <c r="AE163" s="2"/>
      <c r="AF163" s="2"/>
      <c r="AG163" s="2"/>
      <c r="AH163" s="2"/>
    </row>
    <row r="164" spans="1:34" ht="30" hidden="1" customHeight="1">
      <c r="A164" s="165"/>
      <c r="B164" s="307"/>
      <c r="C164" s="261"/>
      <c r="D164" s="166"/>
      <c r="E164" s="166"/>
      <c r="F164" s="167"/>
      <c r="G164" s="168"/>
      <c r="H164" s="167"/>
      <c r="I164" s="169"/>
      <c r="J164" s="168"/>
      <c r="K164" s="167"/>
      <c r="L164" s="170"/>
      <c r="M164" s="168"/>
      <c r="N164" s="171"/>
      <c r="O164" s="170"/>
      <c r="P164" s="168"/>
      <c r="Q164" s="171"/>
      <c r="R164" s="170"/>
      <c r="S164" s="168"/>
      <c r="T164" s="171"/>
      <c r="U164" s="167"/>
      <c r="V164" s="168"/>
      <c r="W164" s="167"/>
      <c r="X164" s="167"/>
      <c r="Y164" s="167"/>
      <c r="Z164" s="167"/>
      <c r="AA164" s="172"/>
      <c r="AB164" s="172"/>
      <c r="AC164" s="2"/>
      <c r="AD164" s="2"/>
      <c r="AE164" s="2"/>
      <c r="AF164" s="2"/>
      <c r="AG164" s="2"/>
      <c r="AH164" s="2"/>
    </row>
    <row r="165" spans="1:34" ht="30" hidden="1" customHeight="1">
      <c r="A165" s="165"/>
      <c r="B165" s="307"/>
      <c r="C165" s="261"/>
      <c r="D165" s="166"/>
      <c r="E165" s="166"/>
      <c r="F165" s="167"/>
      <c r="G165" s="168"/>
      <c r="H165" s="167"/>
      <c r="I165" s="169"/>
      <c r="J165" s="168"/>
      <c r="K165" s="167"/>
      <c r="L165" s="170"/>
      <c r="M165" s="168"/>
      <c r="N165" s="171"/>
      <c r="O165" s="170"/>
      <c r="P165" s="168"/>
      <c r="Q165" s="171"/>
      <c r="R165" s="170"/>
      <c r="S165" s="168"/>
      <c r="T165" s="171"/>
      <c r="U165" s="167"/>
      <c r="V165" s="168"/>
      <c r="W165" s="167"/>
      <c r="X165" s="167"/>
      <c r="Y165" s="167"/>
      <c r="Z165" s="167"/>
      <c r="AA165" s="172"/>
      <c r="AB165" s="172"/>
      <c r="AC165" s="2"/>
      <c r="AD165" s="2"/>
      <c r="AE165" s="2"/>
      <c r="AF165" s="2"/>
      <c r="AG165" s="2"/>
      <c r="AH165" s="2"/>
    </row>
    <row r="166" spans="1:34" ht="30" hidden="1" customHeight="1">
      <c r="A166" s="165"/>
      <c r="B166" s="307"/>
      <c r="C166" s="261"/>
      <c r="D166" s="166"/>
      <c r="E166" s="166"/>
      <c r="F166" s="167"/>
      <c r="G166" s="168"/>
      <c r="H166" s="167"/>
      <c r="I166" s="169"/>
      <c r="J166" s="168"/>
      <c r="K166" s="167"/>
      <c r="L166" s="170"/>
      <c r="M166" s="168"/>
      <c r="N166" s="171"/>
      <c r="O166" s="170"/>
      <c r="P166" s="168"/>
      <c r="Q166" s="171"/>
      <c r="R166" s="170"/>
      <c r="S166" s="168"/>
      <c r="T166" s="171"/>
      <c r="U166" s="167"/>
      <c r="V166" s="168"/>
      <c r="W166" s="167"/>
      <c r="X166" s="167"/>
      <c r="Y166" s="167"/>
      <c r="Z166" s="167"/>
      <c r="AA166" s="172"/>
      <c r="AB166" s="172"/>
      <c r="AC166" s="2"/>
      <c r="AD166" s="2"/>
      <c r="AE166" s="2"/>
      <c r="AF166" s="2"/>
      <c r="AG166" s="2"/>
      <c r="AH166" s="2"/>
    </row>
    <row r="167" spans="1:34" ht="30" hidden="1" customHeight="1">
      <c r="A167" s="165"/>
      <c r="B167" s="307"/>
      <c r="C167" s="261"/>
      <c r="D167" s="166"/>
      <c r="E167" s="166"/>
      <c r="F167" s="167"/>
      <c r="G167" s="168"/>
      <c r="H167" s="167"/>
      <c r="I167" s="169"/>
      <c r="J167" s="168"/>
      <c r="K167" s="167"/>
      <c r="L167" s="170"/>
      <c r="M167" s="168"/>
      <c r="N167" s="171"/>
      <c r="O167" s="170"/>
      <c r="P167" s="168"/>
      <c r="Q167" s="171"/>
      <c r="R167" s="170"/>
      <c r="S167" s="168"/>
      <c r="T167" s="171"/>
      <c r="U167" s="167"/>
      <c r="V167" s="168"/>
      <c r="W167" s="167"/>
      <c r="X167" s="167"/>
      <c r="Y167" s="167"/>
      <c r="Z167" s="167"/>
      <c r="AA167" s="172"/>
      <c r="AB167" s="172"/>
      <c r="AC167" s="2"/>
      <c r="AD167" s="2"/>
      <c r="AE167" s="2"/>
      <c r="AF167" s="2"/>
      <c r="AG167" s="2"/>
      <c r="AH167" s="2"/>
    </row>
    <row r="168" spans="1:34" ht="30" hidden="1" customHeight="1">
      <c r="A168" s="165"/>
      <c r="B168" s="307"/>
      <c r="C168" s="261"/>
      <c r="D168" s="166"/>
      <c r="E168" s="166"/>
      <c r="F168" s="167"/>
      <c r="G168" s="168"/>
      <c r="H168" s="167"/>
      <c r="I168" s="169"/>
      <c r="J168" s="168"/>
      <c r="K168" s="167"/>
      <c r="L168" s="170"/>
      <c r="M168" s="168"/>
      <c r="N168" s="171"/>
      <c r="O168" s="170"/>
      <c r="P168" s="168"/>
      <c r="Q168" s="171"/>
      <c r="R168" s="170"/>
      <c r="S168" s="168"/>
      <c r="T168" s="171"/>
      <c r="U168" s="167"/>
      <c r="V168" s="168"/>
      <c r="W168" s="167"/>
      <c r="X168" s="167"/>
      <c r="Y168" s="167"/>
      <c r="Z168" s="167"/>
      <c r="AA168" s="172"/>
      <c r="AB168" s="172"/>
      <c r="AC168" s="2"/>
      <c r="AD168" s="2"/>
      <c r="AE168" s="2"/>
      <c r="AF168" s="2"/>
      <c r="AG168" s="2"/>
      <c r="AH168" s="2"/>
    </row>
    <row r="169" spans="1:34" ht="30" hidden="1" customHeight="1">
      <c r="A169" s="165"/>
      <c r="B169" s="307"/>
      <c r="C169" s="261"/>
      <c r="D169" s="166"/>
      <c r="E169" s="166"/>
      <c r="F169" s="167"/>
      <c r="G169" s="168"/>
      <c r="H169" s="167"/>
      <c r="I169" s="169"/>
      <c r="J169" s="168"/>
      <c r="K169" s="167"/>
      <c r="L169" s="170"/>
      <c r="M169" s="168"/>
      <c r="N169" s="171"/>
      <c r="O169" s="170"/>
      <c r="P169" s="168"/>
      <c r="Q169" s="171"/>
      <c r="R169" s="170"/>
      <c r="S169" s="168"/>
      <c r="T169" s="171"/>
      <c r="U169" s="167"/>
      <c r="V169" s="168"/>
      <c r="W169" s="167"/>
      <c r="X169" s="167"/>
      <c r="Y169" s="167"/>
      <c r="Z169" s="167"/>
      <c r="AA169" s="172"/>
      <c r="AB169" s="172"/>
      <c r="AC169" s="2"/>
      <c r="AD169" s="2"/>
      <c r="AE169" s="2"/>
      <c r="AF169" s="2"/>
      <c r="AG169" s="2"/>
      <c r="AH169" s="2"/>
    </row>
    <row r="170" spans="1:34" ht="30" hidden="1" customHeight="1">
      <c r="A170" s="165"/>
      <c r="B170" s="307"/>
      <c r="C170" s="261"/>
      <c r="D170" s="166"/>
      <c r="E170" s="166"/>
      <c r="F170" s="167"/>
      <c r="G170" s="168"/>
      <c r="H170" s="167"/>
      <c r="I170" s="169"/>
      <c r="J170" s="168"/>
      <c r="K170" s="167"/>
      <c r="L170" s="170"/>
      <c r="M170" s="168"/>
      <c r="N170" s="171"/>
      <c r="O170" s="170"/>
      <c r="P170" s="168"/>
      <c r="Q170" s="171"/>
      <c r="R170" s="170"/>
      <c r="S170" s="168"/>
      <c r="T170" s="171"/>
      <c r="U170" s="167"/>
      <c r="V170" s="168"/>
      <c r="W170" s="167"/>
      <c r="X170" s="167"/>
      <c r="Y170" s="167"/>
      <c r="Z170" s="167"/>
      <c r="AA170" s="172"/>
      <c r="AB170" s="172"/>
      <c r="AC170" s="2"/>
      <c r="AD170" s="2"/>
      <c r="AE170" s="2"/>
      <c r="AF170" s="2"/>
      <c r="AG170" s="2"/>
      <c r="AH170" s="2"/>
    </row>
    <row r="171" spans="1:34" ht="30" hidden="1" customHeight="1">
      <c r="A171" s="165"/>
      <c r="B171" s="307"/>
      <c r="C171" s="261"/>
      <c r="D171" s="166"/>
      <c r="E171" s="166"/>
      <c r="F171" s="167"/>
      <c r="G171" s="168"/>
      <c r="H171" s="167"/>
      <c r="I171" s="169"/>
      <c r="J171" s="168"/>
      <c r="K171" s="167"/>
      <c r="L171" s="170"/>
      <c r="M171" s="168"/>
      <c r="N171" s="171"/>
      <c r="O171" s="170"/>
      <c r="P171" s="168"/>
      <c r="Q171" s="171"/>
      <c r="R171" s="170"/>
      <c r="S171" s="168"/>
      <c r="T171" s="171"/>
      <c r="U171" s="167"/>
      <c r="V171" s="168"/>
      <c r="W171" s="167"/>
      <c r="X171" s="167"/>
      <c r="Y171" s="167"/>
      <c r="Z171" s="167"/>
      <c r="AA171" s="172"/>
      <c r="AB171" s="172"/>
      <c r="AC171" s="2"/>
      <c r="AD171" s="2"/>
      <c r="AE171" s="2"/>
      <c r="AF171" s="2"/>
      <c r="AG171" s="2"/>
      <c r="AH171" s="2"/>
    </row>
    <row r="172" spans="1:34" ht="30" hidden="1" customHeight="1">
      <c r="A172" s="165"/>
      <c r="B172" s="307"/>
      <c r="C172" s="261"/>
      <c r="D172" s="166"/>
      <c r="E172" s="166"/>
      <c r="F172" s="167"/>
      <c r="G172" s="168"/>
      <c r="H172" s="167"/>
      <c r="I172" s="169"/>
      <c r="J172" s="168"/>
      <c r="K172" s="167"/>
      <c r="L172" s="170"/>
      <c r="M172" s="168"/>
      <c r="N172" s="171"/>
      <c r="O172" s="170"/>
      <c r="P172" s="168"/>
      <c r="Q172" s="171"/>
      <c r="R172" s="170"/>
      <c r="S172" s="168"/>
      <c r="T172" s="171"/>
      <c r="U172" s="167"/>
      <c r="V172" s="168"/>
      <c r="W172" s="167"/>
      <c r="X172" s="167"/>
      <c r="Y172" s="167"/>
      <c r="Z172" s="167"/>
      <c r="AA172" s="172"/>
      <c r="AB172" s="172"/>
      <c r="AC172" s="2"/>
      <c r="AD172" s="2"/>
      <c r="AE172" s="2"/>
      <c r="AF172" s="2"/>
      <c r="AG172" s="2"/>
      <c r="AH172" s="2"/>
    </row>
    <row r="173" spans="1:34" ht="30" hidden="1" customHeight="1">
      <c r="A173" s="165"/>
      <c r="B173" s="307"/>
      <c r="C173" s="261"/>
      <c r="D173" s="166"/>
      <c r="E173" s="166"/>
      <c r="F173" s="167"/>
      <c r="G173" s="168"/>
      <c r="H173" s="167"/>
      <c r="I173" s="169"/>
      <c r="J173" s="168"/>
      <c r="K173" s="167"/>
      <c r="L173" s="170"/>
      <c r="M173" s="168"/>
      <c r="N173" s="171"/>
      <c r="O173" s="170"/>
      <c r="P173" s="168"/>
      <c r="Q173" s="171"/>
      <c r="R173" s="170"/>
      <c r="S173" s="168"/>
      <c r="T173" s="171"/>
      <c r="U173" s="167"/>
      <c r="V173" s="168"/>
      <c r="W173" s="167"/>
      <c r="X173" s="167"/>
      <c r="Y173" s="167"/>
      <c r="Z173" s="167"/>
      <c r="AA173" s="172"/>
      <c r="AB173" s="172"/>
      <c r="AC173" s="2"/>
      <c r="AD173" s="2"/>
      <c r="AE173" s="2"/>
      <c r="AF173" s="2"/>
      <c r="AG173" s="2"/>
      <c r="AH173" s="2"/>
    </row>
    <row r="174" spans="1:34" ht="30" hidden="1" customHeight="1">
      <c r="A174" s="165"/>
      <c r="B174" s="307"/>
      <c r="C174" s="261"/>
      <c r="D174" s="166"/>
      <c r="E174" s="166"/>
      <c r="F174" s="167"/>
      <c r="G174" s="168"/>
      <c r="H174" s="167"/>
      <c r="I174" s="169"/>
      <c r="J174" s="168"/>
      <c r="K174" s="167"/>
      <c r="L174" s="170"/>
      <c r="M174" s="168"/>
      <c r="N174" s="171"/>
      <c r="O174" s="170"/>
      <c r="P174" s="168"/>
      <c r="Q174" s="171"/>
      <c r="R174" s="170"/>
      <c r="S174" s="168"/>
      <c r="T174" s="171"/>
      <c r="U174" s="167"/>
      <c r="V174" s="168"/>
      <c r="W174" s="167"/>
      <c r="X174" s="167"/>
      <c r="Y174" s="167"/>
      <c r="Z174" s="167"/>
      <c r="AA174" s="172"/>
      <c r="AB174" s="172"/>
      <c r="AC174" s="2"/>
      <c r="AD174" s="2"/>
      <c r="AE174" s="2"/>
      <c r="AF174" s="2"/>
      <c r="AG174" s="2"/>
      <c r="AH174" s="2"/>
    </row>
    <row r="175" spans="1:34" ht="30" hidden="1" customHeight="1">
      <c r="A175" s="165"/>
      <c r="B175" s="307"/>
      <c r="C175" s="261"/>
      <c r="D175" s="166"/>
      <c r="E175" s="166"/>
      <c r="F175" s="167"/>
      <c r="G175" s="168"/>
      <c r="H175" s="167"/>
      <c r="I175" s="169"/>
      <c r="J175" s="168"/>
      <c r="K175" s="167"/>
      <c r="L175" s="170"/>
      <c r="M175" s="168"/>
      <c r="N175" s="171"/>
      <c r="O175" s="170"/>
      <c r="P175" s="168"/>
      <c r="Q175" s="171"/>
      <c r="R175" s="170"/>
      <c r="S175" s="168"/>
      <c r="T175" s="171"/>
      <c r="U175" s="167"/>
      <c r="V175" s="168"/>
      <c r="W175" s="167"/>
      <c r="X175" s="167"/>
      <c r="Y175" s="167"/>
      <c r="Z175" s="167"/>
      <c r="AA175" s="172"/>
      <c r="AB175" s="172"/>
      <c r="AC175" s="2"/>
      <c r="AD175" s="2"/>
      <c r="AE175" s="2"/>
      <c r="AF175" s="2"/>
      <c r="AG175" s="2"/>
      <c r="AH175" s="2"/>
    </row>
    <row r="176" spans="1:34" ht="30" hidden="1" customHeight="1">
      <c r="A176" s="165"/>
      <c r="B176" s="307"/>
      <c r="C176" s="261"/>
      <c r="D176" s="166"/>
      <c r="E176" s="166"/>
      <c r="F176" s="167"/>
      <c r="G176" s="168"/>
      <c r="H176" s="167"/>
      <c r="I176" s="169"/>
      <c r="J176" s="168"/>
      <c r="K176" s="167"/>
      <c r="L176" s="170"/>
      <c r="M176" s="168"/>
      <c r="N176" s="171"/>
      <c r="O176" s="170"/>
      <c r="P176" s="168"/>
      <c r="Q176" s="171"/>
      <c r="R176" s="170"/>
      <c r="S176" s="168"/>
      <c r="T176" s="171"/>
      <c r="U176" s="167"/>
      <c r="V176" s="168"/>
      <c r="W176" s="167"/>
      <c r="X176" s="167"/>
      <c r="Y176" s="167"/>
      <c r="Z176" s="167"/>
      <c r="AA176" s="172"/>
      <c r="AB176" s="172"/>
      <c r="AC176" s="2"/>
      <c r="AD176" s="2"/>
      <c r="AE176" s="2"/>
      <c r="AF176" s="2"/>
      <c r="AG176" s="2"/>
      <c r="AH176" s="2"/>
    </row>
    <row r="177" spans="1:34" ht="30" hidden="1" customHeight="1">
      <c r="A177" s="165"/>
      <c r="B177" s="307"/>
      <c r="C177" s="261"/>
      <c r="D177" s="166"/>
      <c r="E177" s="166"/>
      <c r="F177" s="167"/>
      <c r="G177" s="168"/>
      <c r="H177" s="167"/>
      <c r="I177" s="169"/>
      <c r="J177" s="168"/>
      <c r="K177" s="167"/>
      <c r="L177" s="170"/>
      <c r="M177" s="168"/>
      <c r="N177" s="171"/>
      <c r="O177" s="170"/>
      <c r="P177" s="168"/>
      <c r="Q177" s="171"/>
      <c r="R177" s="170"/>
      <c r="S177" s="168"/>
      <c r="T177" s="171"/>
      <c r="U177" s="167"/>
      <c r="V177" s="168"/>
      <c r="W177" s="167"/>
      <c r="X177" s="167"/>
      <c r="Y177" s="167"/>
      <c r="Z177" s="167"/>
      <c r="AA177" s="172"/>
      <c r="AB177" s="172"/>
      <c r="AC177" s="2"/>
      <c r="AD177" s="2"/>
      <c r="AE177" s="2"/>
      <c r="AF177" s="2"/>
      <c r="AG177" s="2"/>
      <c r="AH177" s="2"/>
    </row>
    <row r="178" spans="1:34" ht="30" hidden="1" customHeight="1">
      <c r="A178" s="165"/>
      <c r="B178" s="307"/>
      <c r="C178" s="261"/>
      <c r="D178" s="166"/>
      <c r="E178" s="166"/>
      <c r="F178" s="167"/>
      <c r="G178" s="168"/>
      <c r="H178" s="167"/>
      <c r="I178" s="169"/>
      <c r="J178" s="168"/>
      <c r="K178" s="167"/>
      <c r="L178" s="170"/>
      <c r="M178" s="168"/>
      <c r="N178" s="171"/>
      <c r="O178" s="170"/>
      <c r="P178" s="168"/>
      <c r="Q178" s="171"/>
      <c r="R178" s="170"/>
      <c r="S178" s="168"/>
      <c r="T178" s="171"/>
      <c r="U178" s="167"/>
      <c r="V178" s="168"/>
      <c r="W178" s="167"/>
      <c r="X178" s="167"/>
      <c r="Y178" s="167"/>
      <c r="Z178" s="167"/>
      <c r="AA178" s="172"/>
      <c r="AB178" s="172"/>
      <c r="AC178" s="2"/>
      <c r="AD178" s="2"/>
      <c r="AE178" s="2"/>
      <c r="AF178" s="2"/>
      <c r="AG178" s="2"/>
      <c r="AH178" s="2"/>
    </row>
    <row r="179" spans="1:34" ht="30" hidden="1" customHeight="1">
      <c r="A179" s="165"/>
      <c r="B179" s="307"/>
      <c r="C179" s="261"/>
      <c r="D179" s="166"/>
      <c r="E179" s="166"/>
      <c r="F179" s="167"/>
      <c r="G179" s="168"/>
      <c r="H179" s="167"/>
      <c r="I179" s="169"/>
      <c r="J179" s="168"/>
      <c r="K179" s="167"/>
      <c r="L179" s="170"/>
      <c r="M179" s="168"/>
      <c r="N179" s="171"/>
      <c r="O179" s="170"/>
      <c r="P179" s="168"/>
      <c r="Q179" s="171"/>
      <c r="R179" s="170"/>
      <c r="S179" s="168"/>
      <c r="T179" s="171"/>
      <c r="U179" s="167"/>
      <c r="V179" s="168"/>
      <c r="W179" s="167"/>
      <c r="X179" s="167"/>
      <c r="Y179" s="167"/>
      <c r="Z179" s="167"/>
      <c r="AA179" s="172"/>
      <c r="AB179" s="172"/>
      <c r="AC179" s="2"/>
      <c r="AD179" s="2"/>
      <c r="AE179" s="2"/>
      <c r="AF179" s="2"/>
      <c r="AG179" s="2"/>
      <c r="AH179" s="2"/>
    </row>
    <row r="180" spans="1:34" ht="30" hidden="1" customHeight="1">
      <c r="A180" s="165"/>
      <c r="B180" s="307"/>
      <c r="C180" s="261"/>
      <c r="D180" s="166"/>
      <c r="E180" s="166"/>
      <c r="F180" s="167"/>
      <c r="G180" s="168"/>
      <c r="H180" s="167"/>
      <c r="I180" s="169"/>
      <c r="J180" s="168"/>
      <c r="K180" s="167"/>
      <c r="L180" s="170"/>
      <c r="M180" s="168"/>
      <c r="N180" s="171"/>
      <c r="O180" s="170"/>
      <c r="P180" s="168"/>
      <c r="Q180" s="171"/>
      <c r="R180" s="170"/>
      <c r="S180" s="168"/>
      <c r="T180" s="171"/>
      <c r="U180" s="167"/>
      <c r="V180" s="168"/>
      <c r="W180" s="167"/>
      <c r="X180" s="167"/>
      <c r="Y180" s="167"/>
      <c r="Z180" s="167"/>
      <c r="AA180" s="172"/>
      <c r="AB180" s="172"/>
      <c r="AC180" s="2"/>
      <c r="AD180" s="2"/>
      <c r="AE180" s="2"/>
      <c r="AF180" s="2"/>
      <c r="AG180" s="2"/>
      <c r="AH180" s="2"/>
    </row>
    <row r="181" spans="1:34" ht="30" hidden="1" customHeight="1">
      <c r="A181" s="165"/>
      <c r="B181" s="307"/>
      <c r="C181" s="261"/>
      <c r="D181" s="166"/>
      <c r="E181" s="166"/>
      <c r="F181" s="167"/>
      <c r="G181" s="168"/>
      <c r="H181" s="167"/>
      <c r="I181" s="169"/>
      <c r="J181" s="168"/>
      <c r="K181" s="167"/>
      <c r="L181" s="170"/>
      <c r="M181" s="168"/>
      <c r="N181" s="171"/>
      <c r="O181" s="170"/>
      <c r="P181" s="168"/>
      <c r="Q181" s="171"/>
      <c r="R181" s="170"/>
      <c r="S181" s="168"/>
      <c r="T181" s="171"/>
      <c r="U181" s="167"/>
      <c r="V181" s="168"/>
      <c r="W181" s="167"/>
      <c r="X181" s="167"/>
      <c r="Y181" s="167"/>
      <c r="Z181" s="167"/>
      <c r="AA181" s="172"/>
      <c r="AB181" s="172"/>
      <c r="AC181" s="2"/>
      <c r="AD181" s="2"/>
      <c r="AE181" s="2"/>
      <c r="AF181" s="2"/>
      <c r="AG181" s="2"/>
      <c r="AH181" s="2"/>
    </row>
    <row r="182" spans="1:34" ht="30" hidden="1" customHeight="1">
      <c r="A182" s="165"/>
      <c r="B182" s="307"/>
      <c r="C182" s="261"/>
      <c r="D182" s="166"/>
      <c r="E182" s="166"/>
      <c r="F182" s="167"/>
      <c r="G182" s="168"/>
      <c r="H182" s="167"/>
      <c r="I182" s="169"/>
      <c r="J182" s="168"/>
      <c r="K182" s="167"/>
      <c r="L182" s="170"/>
      <c r="M182" s="168"/>
      <c r="N182" s="171"/>
      <c r="O182" s="170"/>
      <c r="P182" s="168"/>
      <c r="Q182" s="171"/>
      <c r="R182" s="170"/>
      <c r="S182" s="168"/>
      <c r="T182" s="171"/>
      <c r="U182" s="167"/>
      <c r="V182" s="168"/>
      <c r="W182" s="167"/>
      <c r="X182" s="167"/>
      <c r="Y182" s="167"/>
      <c r="Z182" s="167"/>
      <c r="AA182" s="172"/>
      <c r="AB182" s="172"/>
      <c r="AC182" s="2"/>
      <c r="AD182" s="2"/>
      <c r="AE182" s="2"/>
      <c r="AF182" s="2"/>
      <c r="AG182" s="2"/>
      <c r="AH182" s="2"/>
    </row>
    <row r="183" spans="1:34" ht="30" hidden="1" customHeight="1">
      <c r="A183" s="165"/>
      <c r="B183" s="307"/>
      <c r="C183" s="261"/>
      <c r="D183" s="166"/>
      <c r="E183" s="166"/>
      <c r="F183" s="167"/>
      <c r="G183" s="168"/>
      <c r="H183" s="167"/>
      <c r="I183" s="169"/>
      <c r="J183" s="168"/>
      <c r="K183" s="167"/>
      <c r="L183" s="170"/>
      <c r="M183" s="168"/>
      <c r="N183" s="171"/>
      <c r="O183" s="170"/>
      <c r="P183" s="168"/>
      <c r="Q183" s="171"/>
      <c r="R183" s="170"/>
      <c r="S183" s="168"/>
      <c r="T183" s="171"/>
      <c r="U183" s="167"/>
      <c r="V183" s="168"/>
      <c r="W183" s="167"/>
      <c r="X183" s="167"/>
      <c r="Y183" s="167"/>
      <c r="Z183" s="167"/>
      <c r="AA183" s="172"/>
      <c r="AB183" s="172"/>
      <c r="AC183" s="2"/>
      <c r="AD183" s="2"/>
      <c r="AE183" s="2"/>
      <c r="AF183" s="2"/>
      <c r="AG183" s="2"/>
      <c r="AH183" s="2"/>
    </row>
    <row r="184" spans="1:34" ht="30" hidden="1" customHeight="1">
      <c r="A184" s="165"/>
      <c r="B184" s="307"/>
      <c r="C184" s="261"/>
      <c r="D184" s="166"/>
      <c r="E184" s="166"/>
      <c r="F184" s="167"/>
      <c r="G184" s="168"/>
      <c r="H184" s="167"/>
      <c r="I184" s="169"/>
      <c r="J184" s="168"/>
      <c r="K184" s="167"/>
      <c r="L184" s="170"/>
      <c r="M184" s="168"/>
      <c r="N184" s="171"/>
      <c r="O184" s="170"/>
      <c r="P184" s="168"/>
      <c r="Q184" s="171"/>
      <c r="R184" s="170"/>
      <c r="S184" s="168"/>
      <c r="T184" s="171"/>
      <c r="U184" s="167"/>
      <c r="V184" s="168"/>
      <c r="W184" s="167"/>
      <c r="X184" s="167"/>
      <c r="Y184" s="167"/>
      <c r="Z184" s="167"/>
      <c r="AA184" s="172"/>
      <c r="AB184" s="172"/>
      <c r="AC184" s="2"/>
      <c r="AD184" s="2"/>
      <c r="AE184" s="2"/>
      <c r="AF184" s="2"/>
      <c r="AG184" s="2"/>
      <c r="AH184" s="2"/>
    </row>
    <row r="185" spans="1:34" ht="30" hidden="1" customHeight="1">
      <c r="A185" s="165"/>
      <c r="B185" s="307"/>
      <c r="C185" s="261"/>
      <c r="D185" s="166"/>
      <c r="E185" s="166"/>
      <c r="F185" s="167"/>
      <c r="G185" s="168"/>
      <c r="H185" s="167"/>
      <c r="I185" s="169"/>
      <c r="J185" s="168"/>
      <c r="K185" s="167"/>
      <c r="L185" s="170"/>
      <c r="M185" s="168"/>
      <c r="N185" s="171"/>
      <c r="O185" s="170"/>
      <c r="P185" s="168"/>
      <c r="Q185" s="171"/>
      <c r="R185" s="170"/>
      <c r="S185" s="168"/>
      <c r="T185" s="171"/>
      <c r="U185" s="167"/>
      <c r="V185" s="168"/>
      <c r="W185" s="167"/>
      <c r="X185" s="167"/>
      <c r="Y185" s="167"/>
      <c r="Z185" s="167"/>
      <c r="AA185" s="172"/>
      <c r="AB185" s="172"/>
      <c r="AC185" s="2"/>
      <c r="AD185" s="2"/>
      <c r="AE185" s="2"/>
      <c r="AF185" s="2"/>
      <c r="AG185" s="2"/>
      <c r="AH185" s="2"/>
    </row>
    <row r="186" spans="1:34" ht="30" hidden="1" customHeight="1">
      <c r="A186" s="165"/>
      <c r="B186" s="307"/>
      <c r="C186" s="261"/>
      <c r="D186" s="166"/>
      <c r="E186" s="166"/>
      <c r="F186" s="167"/>
      <c r="G186" s="168"/>
      <c r="H186" s="167"/>
      <c r="I186" s="169"/>
      <c r="J186" s="168"/>
      <c r="K186" s="167"/>
      <c r="L186" s="170"/>
      <c r="M186" s="168"/>
      <c r="N186" s="171"/>
      <c r="O186" s="170"/>
      <c r="P186" s="168"/>
      <c r="Q186" s="171"/>
      <c r="R186" s="170"/>
      <c r="S186" s="168"/>
      <c r="T186" s="171"/>
      <c r="U186" s="167"/>
      <c r="V186" s="168"/>
      <c r="W186" s="167"/>
      <c r="X186" s="167"/>
      <c r="Y186" s="167"/>
      <c r="Z186" s="167"/>
      <c r="AA186" s="172"/>
      <c r="AB186" s="172"/>
      <c r="AC186" s="2"/>
      <c r="AD186" s="2"/>
      <c r="AE186" s="2"/>
      <c r="AF186" s="2"/>
      <c r="AG186" s="2"/>
      <c r="AH186" s="2"/>
    </row>
    <row r="187" spans="1:34" ht="30" hidden="1" customHeight="1">
      <c r="A187" s="165"/>
      <c r="B187" s="307"/>
      <c r="C187" s="261"/>
      <c r="D187" s="166"/>
      <c r="E187" s="166"/>
      <c r="F187" s="167"/>
      <c r="G187" s="168"/>
      <c r="H187" s="167"/>
      <c r="I187" s="169"/>
      <c r="J187" s="168"/>
      <c r="K187" s="167"/>
      <c r="L187" s="170"/>
      <c r="M187" s="168"/>
      <c r="N187" s="171"/>
      <c r="O187" s="170"/>
      <c r="P187" s="168"/>
      <c r="Q187" s="171"/>
      <c r="R187" s="170"/>
      <c r="S187" s="168"/>
      <c r="T187" s="171"/>
      <c r="U187" s="167"/>
      <c r="V187" s="168"/>
      <c r="W187" s="167"/>
      <c r="X187" s="167"/>
      <c r="Y187" s="167"/>
      <c r="Z187" s="167"/>
      <c r="AA187" s="172"/>
      <c r="AB187" s="172"/>
      <c r="AC187" s="2"/>
      <c r="AD187" s="2"/>
      <c r="AE187" s="2"/>
      <c r="AF187" s="2"/>
      <c r="AG187" s="2"/>
      <c r="AH187" s="2"/>
    </row>
    <row r="188" spans="1:34" ht="30" hidden="1" customHeight="1">
      <c r="A188" s="165"/>
      <c r="B188" s="307"/>
      <c r="C188" s="261"/>
      <c r="D188" s="166"/>
      <c r="E188" s="166"/>
      <c r="F188" s="167"/>
      <c r="G188" s="168"/>
      <c r="H188" s="167"/>
      <c r="I188" s="169"/>
      <c r="J188" s="168"/>
      <c r="K188" s="167"/>
      <c r="L188" s="170"/>
      <c r="M188" s="168"/>
      <c r="N188" s="171"/>
      <c r="O188" s="170"/>
      <c r="P188" s="168"/>
      <c r="Q188" s="171"/>
      <c r="R188" s="170"/>
      <c r="S188" s="168"/>
      <c r="T188" s="171"/>
      <c r="U188" s="167"/>
      <c r="V188" s="168"/>
      <c r="W188" s="167"/>
      <c r="X188" s="167"/>
      <c r="Y188" s="167"/>
      <c r="Z188" s="167"/>
      <c r="AA188" s="172"/>
      <c r="AB188" s="172"/>
      <c r="AC188" s="2"/>
      <c r="AD188" s="2"/>
      <c r="AE188" s="2"/>
      <c r="AF188" s="2"/>
      <c r="AG188" s="2"/>
      <c r="AH188" s="2"/>
    </row>
    <row r="189" spans="1:34" ht="30" hidden="1" customHeight="1">
      <c r="A189" s="165"/>
      <c r="B189" s="307"/>
      <c r="C189" s="261"/>
      <c r="D189" s="166"/>
      <c r="E189" s="166"/>
      <c r="F189" s="167"/>
      <c r="G189" s="168"/>
      <c r="H189" s="167"/>
      <c r="I189" s="169"/>
      <c r="J189" s="168"/>
      <c r="K189" s="167"/>
      <c r="L189" s="170"/>
      <c r="M189" s="168"/>
      <c r="N189" s="171"/>
      <c r="O189" s="170"/>
      <c r="P189" s="168"/>
      <c r="Q189" s="171"/>
      <c r="R189" s="170"/>
      <c r="S189" s="168"/>
      <c r="T189" s="171"/>
      <c r="U189" s="167"/>
      <c r="V189" s="168"/>
      <c r="W189" s="167"/>
      <c r="X189" s="167"/>
      <c r="Y189" s="167"/>
      <c r="Z189" s="167"/>
      <c r="AA189" s="172"/>
      <c r="AB189" s="172"/>
      <c r="AC189" s="2"/>
      <c r="AD189" s="2"/>
      <c r="AE189" s="2"/>
      <c r="AF189" s="2"/>
      <c r="AG189" s="2"/>
      <c r="AH189" s="2"/>
    </row>
    <row r="190" spans="1:34" ht="30" hidden="1" customHeight="1">
      <c r="A190" s="165"/>
      <c r="B190" s="307"/>
      <c r="C190" s="261"/>
      <c r="D190" s="166"/>
      <c r="E190" s="166"/>
      <c r="F190" s="167"/>
      <c r="G190" s="168"/>
      <c r="H190" s="167"/>
      <c r="I190" s="169"/>
      <c r="J190" s="168"/>
      <c r="K190" s="167"/>
      <c r="L190" s="170"/>
      <c r="M190" s="168"/>
      <c r="N190" s="171"/>
      <c r="O190" s="170"/>
      <c r="P190" s="168"/>
      <c r="Q190" s="171"/>
      <c r="R190" s="170"/>
      <c r="S190" s="168"/>
      <c r="T190" s="171"/>
      <c r="U190" s="167"/>
      <c r="V190" s="168"/>
      <c r="W190" s="167"/>
      <c r="X190" s="167"/>
      <c r="Y190" s="167"/>
      <c r="Z190" s="167"/>
      <c r="AA190" s="172"/>
      <c r="AB190" s="172"/>
      <c r="AC190" s="2"/>
      <c r="AD190" s="2"/>
      <c r="AE190" s="2"/>
      <c r="AF190" s="2"/>
      <c r="AG190" s="2"/>
      <c r="AH190" s="2"/>
    </row>
    <row r="191" spans="1:34" ht="30" hidden="1" customHeight="1">
      <c r="A191" s="165"/>
      <c r="B191" s="307"/>
      <c r="C191" s="261"/>
      <c r="D191" s="166"/>
      <c r="E191" s="166"/>
      <c r="F191" s="167"/>
      <c r="G191" s="168"/>
      <c r="H191" s="167"/>
      <c r="I191" s="169"/>
      <c r="J191" s="168"/>
      <c r="K191" s="167"/>
      <c r="L191" s="170"/>
      <c r="M191" s="168"/>
      <c r="N191" s="171"/>
      <c r="O191" s="170"/>
      <c r="P191" s="168"/>
      <c r="Q191" s="171"/>
      <c r="R191" s="170"/>
      <c r="S191" s="168"/>
      <c r="T191" s="171"/>
      <c r="U191" s="167"/>
      <c r="V191" s="168"/>
      <c r="W191" s="167"/>
      <c r="X191" s="167"/>
      <c r="Y191" s="167"/>
      <c r="Z191" s="167"/>
      <c r="AA191" s="172"/>
      <c r="AB191" s="172"/>
      <c r="AC191" s="2"/>
      <c r="AD191" s="2"/>
      <c r="AE191" s="2"/>
      <c r="AF191" s="2"/>
      <c r="AG191" s="2"/>
      <c r="AH191" s="2"/>
    </row>
    <row r="192" spans="1:34" ht="30" hidden="1" customHeight="1">
      <c r="A192" s="165"/>
      <c r="B192" s="307"/>
      <c r="C192" s="261"/>
      <c r="D192" s="166"/>
      <c r="E192" s="166"/>
      <c r="F192" s="167"/>
      <c r="G192" s="168"/>
      <c r="H192" s="167"/>
      <c r="I192" s="169"/>
      <c r="J192" s="168"/>
      <c r="K192" s="167"/>
      <c r="L192" s="170"/>
      <c r="M192" s="168"/>
      <c r="N192" s="171"/>
      <c r="O192" s="170"/>
      <c r="P192" s="168"/>
      <c r="Q192" s="171"/>
      <c r="R192" s="170"/>
      <c r="S192" s="168"/>
      <c r="T192" s="171"/>
      <c r="U192" s="167"/>
      <c r="V192" s="168"/>
      <c r="W192" s="167"/>
      <c r="X192" s="167"/>
      <c r="Y192" s="167"/>
      <c r="Z192" s="167"/>
      <c r="AA192" s="172"/>
      <c r="AB192" s="172"/>
      <c r="AC192" s="2"/>
      <c r="AD192" s="2"/>
      <c r="AE192" s="2"/>
      <c r="AF192" s="2"/>
      <c r="AG192" s="2"/>
      <c r="AH192" s="2"/>
    </row>
    <row r="193" spans="1:34" ht="30" hidden="1" customHeight="1">
      <c r="A193" s="165"/>
      <c r="B193" s="307"/>
      <c r="C193" s="261"/>
      <c r="D193" s="166"/>
      <c r="E193" s="166"/>
      <c r="F193" s="167"/>
      <c r="G193" s="168"/>
      <c r="H193" s="167"/>
      <c r="I193" s="169"/>
      <c r="J193" s="168"/>
      <c r="K193" s="167"/>
      <c r="L193" s="170"/>
      <c r="M193" s="168"/>
      <c r="N193" s="171"/>
      <c r="O193" s="170"/>
      <c r="P193" s="168"/>
      <c r="Q193" s="171"/>
      <c r="R193" s="170"/>
      <c r="S193" s="168"/>
      <c r="T193" s="171"/>
      <c r="U193" s="167"/>
      <c r="V193" s="168"/>
      <c r="W193" s="167"/>
      <c r="X193" s="167"/>
      <c r="Y193" s="167"/>
      <c r="Z193" s="167"/>
      <c r="AA193" s="172"/>
      <c r="AB193" s="172"/>
      <c r="AC193" s="2"/>
      <c r="AD193" s="2"/>
      <c r="AE193" s="2"/>
      <c r="AF193" s="2"/>
      <c r="AG193" s="2"/>
      <c r="AH193" s="2"/>
    </row>
    <row r="194" spans="1:34" ht="30" hidden="1" customHeight="1">
      <c r="A194" s="165"/>
      <c r="B194" s="307"/>
      <c r="C194" s="261"/>
      <c r="D194" s="166"/>
      <c r="E194" s="166"/>
      <c r="F194" s="167"/>
      <c r="G194" s="168"/>
      <c r="H194" s="167"/>
      <c r="I194" s="169"/>
      <c r="J194" s="168"/>
      <c r="K194" s="167"/>
      <c r="L194" s="170"/>
      <c r="M194" s="168"/>
      <c r="N194" s="171"/>
      <c r="O194" s="170"/>
      <c r="P194" s="168"/>
      <c r="Q194" s="171"/>
      <c r="R194" s="170"/>
      <c r="S194" s="168"/>
      <c r="T194" s="171"/>
      <c r="U194" s="167"/>
      <c r="V194" s="168"/>
      <c r="W194" s="167"/>
      <c r="X194" s="167"/>
      <c r="Y194" s="167"/>
      <c r="Z194" s="167"/>
      <c r="AA194" s="172"/>
      <c r="AB194" s="172"/>
      <c r="AC194" s="2"/>
      <c r="AD194" s="2"/>
      <c r="AE194" s="2"/>
      <c r="AF194" s="2"/>
      <c r="AG194" s="2"/>
      <c r="AH194" s="2"/>
    </row>
    <row r="195" spans="1:34" ht="30" hidden="1" customHeight="1">
      <c r="A195" s="165"/>
      <c r="B195" s="307"/>
      <c r="C195" s="261"/>
      <c r="D195" s="166"/>
      <c r="E195" s="166"/>
      <c r="F195" s="167"/>
      <c r="G195" s="168"/>
      <c r="H195" s="167"/>
      <c r="I195" s="169"/>
      <c r="J195" s="168"/>
      <c r="K195" s="167"/>
      <c r="L195" s="170"/>
      <c r="M195" s="168"/>
      <c r="N195" s="171"/>
      <c r="O195" s="170"/>
      <c r="P195" s="168"/>
      <c r="Q195" s="171"/>
      <c r="R195" s="170"/>
      <c r="S195" s="168"/>
      <c r="T195" s="171"/>
      <c r="U195" s="167"/>
      <c r="V195" s="168"/>
      <c r="W195" s="167"/>
      <c r="X195" s="167"/>
      <c r="Y195" s="167"/>
      <c r="Z195" s="167"/>
      <c r="AA195" s="172"/>
      <c r="AB195" s="172"/>
      <c r="AC195" s="2"/>
      <c r="AD195" s="2"/>
      <c r="AE195" s="2"/>
      <c r="AF195" s="2"/>
      <c r="AG195" s="2"/>
      <c r="AH195" s="2"/>
    </row>
    <row r="196" spans="1:34" ht="30" hidden="1" customHeight="1">
      <c r="A196" s="165"/>
      <c r="B196" s="307"/>
      <c r="C196" s="261"/>
      <c r="D196" s="166"/>
      <c r="E196" s="166"/>
      <c r="F196" s="167"/>
      <c r="G196" s="168"/>
      <c r="H196" s="167"/>
      <c r="I196" s="169"/>
      <c r="J196" s="168"/>
      <c r="K196" s="167"/>
      <c r="L196" s="170"/>
      <c r="M196" s="168"/>
      <c r="N196" s="171"/>
      <c r="O196" s="170"/>
      <c r="P196" s="168"/>
      <c r="Q196" s="171"/>
      <c r="R196" s="170"/>
      <c r="S196" s="168"/>
      <c r="T196" s="171"/>
      <c r="U196" s="167"/>
      <c r="V196" s="168"/>
      <c r="W196" s="167"/>
      <c r="X196" s="167"/>
      <c r="Y196" s="167"/>
      <c r="Z196" s="167"/>
      <c r="AA196" s="172"/>
      <c r="AB196" s="172"/>
      <c r="AC196" s="2"/>
      <c r="AD196" s="2"/>
      <c r="AE196" s="2"/>
      <c r="AF196" s="2"/>
      <c r="AG196" s="2"/>
      <c r="AH196" s="2"/>
    </row>
    <row r="197" spans="1:34" ht="30" hidden="1" customHeight="1">
      <c r="A197" s="165"/>
      <c r="B197" s="307"/>
      <c r="C197" s="261"/>
      <c r="D197" s="166"/>
      <c r="E197" s="166"/>
      <c r="F197" s="167"/>
      <c r="G197" s="168"/>
      <c r="H197" s="167"/>
      <c r="I197" s="169"/>
      <c r="J197" s="168"/>
      <c r="K197" s="167"/>
      <c r="L197" s="170"/>
      <c r="M197" s="168"/>
      <c r="N197" s="171"/>
      <c r="O197" s="170"/>
      <c r="P197" s="168"/>
      <c r="Q197" s="171"/>
      <c r="R197" s="170"/>
      <c r="S197" s="168"/>
      <c r="T197" s="171"/>
      <c r="U197" s="167"/>
      <c r="V197" s="168"/>
      <c r="W197" s="167"/>
      <c r="X197" s="167"/>
      <c r="Y197" s="167"/>
      <c r="Z197" s="167"/>
      <c r="AA197" s="172"/>
      <c r="AB197" s="172"/>
      <c r="AC197" s="2"/>
      <c r="AD197" s="2"/>
      <c r="AE197" s="2"/>
      <c r="AF197" s="2"/>
      <c r="AG197" s="2"/>
      <c r="AH197" s="2"/>
    </row>
    <row r="198" spans="1:34" ht="30" hidden="1" customHeight="1">
      <c r="A198" s="165"/>
      <c r="B198" s="307"/>
      <c r="C198" s="261"/>
      <c r="D198" s="166"/>
      <c r="E198" s="166"/>
      <c r="F198" s="167"/>
      <c r="G198" s="168"/>
      <c r="H198" s="167"/>
      <c r="I198" s="169"/>
      <c r="J198" s="168"/>
      <c r="K198" s="167"/>
      <c r="L198" s="170"/>
      <c r="M198" s="168"/>
      <c r="N198" s="171"/>
      <c r="O198" s="170"/>
      <c r="P198" s="168"/>
      <c r="Q198" s="171"/>
      <c r="R198" s="170"/>
      <c r="S198" s="168"/>
      <c r="T198" s="171"/>
      <c r="U198" s="167"/>
      <c r="V198" s="168"/>
      <c r="W198" s="167"/>
      <c r="X198" s="167"/>
      <c r="Y198" s="167"/>
      <c r="Z198" s="167"/>
      <c r="AA198" s="172"/>
      <c r="AB198" s="172"/>
      <c r="AC198" s="2"/>
      <c r="AD198" s="2"/>
      <c r="AE198" s="2"/>
      <c r="AF198" s="2"/>
      <c r="AG198" s="2"/>
      <c r="AH198" s="2"/>
    </row>
    <row r="199" spans="1:34" ht="30" hidden="1" customHeight="1">
      <c r="A199" s="165"/>
      <c r="B199" s="307"/>
      <c r="C199" s="261"/>
      <c r="D199" s="166"/>
      <c r="E199" s="166"/>
      <c r="F199" s="167"/>
      <c r="G199" s="168"/>
      <c r="H199" s="167"/>
      <c r="I199" s="169"/>
      <c r="J199" s="168"/>
      <c r="K199" s="167"/>
      <c r="L199" s="170"/>
      <c r="M199" s="168"/>
      <c r="N199" s="171"/>
      <c r="O199" s="170"/>
      <c r="P199" s="168"/>
      <c r="Q199" s="171"/>
      <c r="R199" s="170"/>
      <c r="S199" s="168"/>
      <c r="T199" s="171"/>
      <c r="U199" s="167"/>
      <c r="V199" s="168"/>
      <c r="W199" s="167"/>
      <c r="X199" s="167"/>
      <c r="Y199" s="167"/>
      <c r="Z199" s="167"/>
      <c r="AA199" s="172"/>
      <c r="AB199" s="172"/>
      <c r="AC199" s="2"/>
      <c r="AD199" s="2"/>
      <c r="AE199" s="2"/>
      <c r="AF199" s="2"/>
      <c r="AG199" s="2"/>
      <c r="AH199" s="2"/>
    </row>
    <row r="200" spans="1:34" ht="30" hidden="1" customHeight="1">
      <c r="A200" s="165"/>
      <c r="B200" s="307"/>
      <c r="C200" s="261"/>
      <c r="D200" s="166"/>
      <c r="E200" s="166"/>
      <c r="F200" s="167"/>
      <c r="G200" s="168"/>
      <c r="H200" s="167"/>
      <c r="I200" s="169"/>
      <c r="J200" s="168"/>
      <c r="K200" s="167"/>
      <c r="L200" s="170"/>
      <c r="M200" s="168"/>
      <c r="N200" s="171"/>
      <c r="O200" s="170"/>
      <c r="P200" s="168"/>
      <c r="Q200" s="171"/>
      <c r="R200" s="170"/>
      <c r="S200" s="168"/>
      <c r="T200" s="171"/>
      <c r="U200" s="167"/>
      <c r="V200" s="168"/>
      <c r="W200" s="167"/>
      <c r="X200" s="167"/>
      <c r="Y200" s="167"/>
      <c r="Z200" s="167"/>
      <c r="AA200" s="172"/>
      <c r="AB200" s="172"/>
      <c r="AC200" s="2"/>
      <c r="AD200" s="2"/>
      <c r="AE200" s="2"/>
      <c r="AF200" s="2"/>
      <c r="AG200" s="2"/>
      <c r="AH200" s="2"/>
    </row>
    <row r="201" spans="1:34" ht="30" hidden="1" customHeight="1">
      <c r="A201" s="165"/>
      <c r="B201" s="307"/>
      <c r="C201" s="261"/>
      <c r="D201" s="166"/>
      <c r="E201" s="166"/>
      <c r="F201" s="167"/>
      <c r="G201" s="168"/>
      <c r="H201" s="167"/>
      <c r="I201" s="169"/>
      <c r="J201" s="168"/>
      <c r="K201" s="167"/>
      <c r="L201" s="170"/>
      <c r="M201" s="168"/>
      <c r="N201" s="171"/>
      <c r="O201" s="170"/>
      <c r="P201" s="168"/>
      <c r="Q201" s="171"/>
      <c r="R201" s="170"/>
      <c r="S201" s="168"/>
      <c r="T201" s="171"/>
      <c r="U201" s="167"/>
      <c r="V201" s="168"/>
      <c r="W201" s="167"/>
      <c r="X201" s="167"/>
      <c r="Y201" s="167"/>
      <c r="Z201" s="167"/>
      <c r="AA201" s="172"/>
      <c r="AB201" s="172"/>
      <c r="AC201" s="2"/>
      <c r="AD201" s="2"/>
      <c r="AE201" s="2"/>
      <c r="AF201" s="2"/>
      <c r="AG201" s="2"/>
      <c r="AH201" s="2"/>
    </row>
    <row r="202" spans="1:34" ht="30" hidden="1" customHeight="1">
      <c r="A202" s="165"/>
      <c r="B202" s="307"/>
      <c r="C202" s="261"/>
      <c r="D202" s="166"/>
      <c r="E202" s="166"/>
      <c r="F202" s="167"/>
      <c r="G202" s="168"/>
      <c r="H202" s="167"/>
      <c r="I202" s="169"/>
      <c r="J202" s="168"/>
      <c r="K202" s="167"/>
      <c r="L202" s="170"/>
      <c r="M202" s="168"/>
      <c r="N202" s="171"/>
      <c r="O202" s="170"/>
      <c r="P202" s="168"/>
      <c r="Q202" s="171"/>
      <c r="R202" s="170"/>
      <c r="S202" s="168"/>
      <c r="T202" s="171"/>
      <c r="U202" s="167"/>
      <c r="V202" s="168"/>
      <c r="W202" s="167"/>
      <c r="X202" s="167"/>
      <c r="Y202" s="167"/>
      <c r="Z202" s="167"/>
      <c r="AA202" s="172"/>
      <c r="AB202" s="172"/>
      <c r="AC202" s="2"/>
      <c r="AD202" s="2"/>
      <c r="AE202" s="2"/>
      <c r="AF202" s="2"/>
      <c r="AG202" s="2"/>
      <c r="AH202" s="2"/>
    </row>
    <row r="203" spans="1:34" ht="30" hidden="1" customHeight="1">
      <c r="A203" s="165"/>
      <c r="B203" s="307"/>
      <c r="C203" s="261"/>
      <c r="D203" s="166"/>
      <c r="E203" s="166"/>
      <c r="F203" s="167"/>
      <c r="G203" s="168"/>
      <c r="H203" s="167"/>
      <c r="I203" s="169"/>
      <c r="J203" s="168"/>
      <c r="K203" s="167"/>
      <c r="L203" s="170"/>
      <c r="M203" s="168"/>
      <c r="N203" s="171"/>
      <c r="O203" s="170"/>
      <c r="P203" s="168"/>
      <c r="Q203" s="171"/>
      <c r="R203" s="170"/>
      <c r="S203" s="168"/>
      <c r="T203" s="171"/>
      <c r="U203" s="167"/>
      <c r="V203" s="168"/>
      <c r="W203" s="167"/>
      <c r="X203" s="167"/>
      <c r="Y203" s="167"/>
      <c r="Z203" s="167"/>
      <c r="AA203" s="172"/>
      <c r="AB203" s="172"/>
      <c r="AC203" s="2"/>
      <c r="AD203" s="2"/>
      <c r="AE203" s="2"/>
      <c r="AF203" s="2"/>
      <c r="AG203" s="2"/>
      <c r="AH203" s="2"/>
    </row>
    <row r="204" spans="1:34" ht="30" hidden="1" customHeight="1">
      <c r="A204" s="165"/>
      <c r="B204" s="307"/>
      <c r="C204" s="261"/>
      <c r="D204" s="166"/>
      <c r="E204" s="166"/>
      <c r="F204" s="167"/>
      <c r="G204" s="168"/>
      <c r="H204" s="167"/>
      <c r="I204" s="169"/>
      <c r="J204" s="168"/>
      <c r="K204" s="167"/>
      <c r="L204" s="170"/>
      <c r="M204" s="168"/>
      <c r="N204" s="171"/>
      <c r="O204" s="170"/>
      <c r="P204" s="168"/>
      <c r="Q204" s="171"/>
      <c r="R204" s="170"/>
      <c r="S204" s="168"/>
      <c r="T204" s="171"/>
      <c r="U204" s="167"/>
      <c r="V204" s="168"/>
      <c r="W204" s="167"/>
      <c r="X204" s="167"/>
      <c r="Y204" s="167"/>
      <c r="Z204" s="167"/>
      <c r="AA204" s="172"/>
      <c r="AB204" s="172"/>
      <c r="AC204" s="2"/>
      <c r="AD204" s="2"/>
      <c r="AE204" s="2"/>
      <c r="AF204" s="2"/>
      <c r="AG204" s="2"/>
      <c r="AH204" s="2"/>
    </row>
    <row r="205" spans="1:34" ht="30" hidden="1" customHeight="1">
      <c r="A205" s="165"/>
      <c r="B205" s="307"/>
      <c r="C205" s="261"/>
      <c r="D205" s="166"/>
      <c r="E205" s="166"/>
      <c r="F205" s="167"/>
      <c r="G205" s="168"/>
      <c r="H205" s="167"/>
      <c r="I205" s="169"/>
      <c r="J205" s="168"/>
      <c r="K205" s="167"/>
      <c r="L205" s="170"/>
      <c r="M205" s="168"/>
      <c r="N205" s="171"/>
      <c r="O205" s="170"/>
      <c r="P205" s="168"/>
      <c r="Q205" s="171"/>
      <c r="R205" s="170"/>
      <c r="S205" s="168"/>
      <c r="T205" s="171"/>
      <c r="U205" s="167"/>
      <c r="V205" s="168"/>
      <c r="W205" s="167"/>
      <c r="X205" s="167"/>
      <c r="Y205" s="167"/>
      <c r="Z205" s="167"/>
      <c r="AA205" s="172"/>
      <c r="AB205" s="172"/>
      <c r="AC205" s="2"/>
      <c r="AD205" s="2"/>
      <c r="AE205" s="2"/>
      <c r="AF205" s="2"/>
      <c r="AG205" s="2"/>
      <c r="AH205" s="2"/>
    </row>
    <row r="206" spans="1:34" ht="30" hidden="1" customHeight="1">
      <c r="A206" s="165"/>
      <c r="B206" s="307"/>
      <c r="C206" s="261"/>
      <c r="D206" s="166"/>
      <c r="E206" s="166"/>
      <c r="F206" s="167"/>
      <c r="G206" s="168"/>
      <c r="H206" s="167"/>
      <c r="I206" s="169"/>
      <c r="J206" s="168"/>
      <c r="K206" s="167"/>
      <c r="L206" s="170"/>
      <c r="M206" s="168"/>
      <c r="N206" s="171"/>
      <c r="O206" s="170"/>
      <c r="P206" s="168"/>
      <c r="Q206" s="171"/>
      <c r="R206" s="170"/>
      <c r="S206" s="168"/>
      <c r="T206" s="171"/>
      <c r="U206" s="167"/>
      <c r="V206" s="168"/>
      <c r="W206" s="167"/>
      <c r="X206" s="167"/>
      <c r="Y206" s="167"/>
      <c r="Z206" s="167"/>
      <c r="AA206" s="172"/>
      <c r="AB206" s="172"/>
      <c r="AC206" s="2"/>
      <c r="AD206" s="2"/>
      <c r="AE206" s="2"/>
      <c r="AF206" s="2"/>
      <c r="AG206" s="2"/>
      <c r="AH206" s="2"/>
    </row>
    <row r="207" spans="1:34" ht="30" hidden="1" customHeight="1">
      <c r="A207" s="165"/>
      <c r="B207" s="307"/>
      <c r="C207" s="261"/>
      <c r="D207" s="166"/>
      <c r="E207" s="166"/>
      <c r="F207" s="167"/>
      <c r="G207" s="168"/>
      <c r="H207" s="167"/>
      <c r="I207" s="169"/>
      <c r="J207" s="168"/>
      <c r="K207" s="167"/>
      <c r="L207" s="170"/>
      <c r="M207" s="168"/>
      <c r="N207" s="171"/>
      <c r="O207" s="170"/>
      <c r="P207" s="168"/>
      <c r="Q207" s="171"/>
      <c r="R207" s="170"/>
      <c r="S207" s="168"/>
      <c r="T207" s="171"/>
      <c r="U207" s="167"/>
      <c r="V207" s="168"/>
      <c r="W207" s="167"/>
      <c r="X207" s="167"/>
      <c r="Y207" s="167"/>
      <c r="Z207" s="167"/>
      <c r="AA207" s="172"/>
      <c r="AB207" s="172"/>
      <c r="AC207" s="2"/>
      <c r="AD207" s="2"/>
      <c r="AE207" s="2"/>
      <c r="AF207" s="2"/>
      <c r="AG207" s="2"/>
      <c r="AH207" s="2"/>
    </row>
    <row r="208" spans="1:34" ht="30" hidden="1" customHeight="1">
      <c r="A208" s="165"/>
      <c r="B208" s="307"/>
      <c r="C208" s="261"/>
      <c r="D208" s="166"/>
      <c r="E208" s="166"/>
      <c r="F208" s="167"/>
      <c r="G208" s="168"/>
      <c r="H208" s="167"/>
      <c r="I208" s="169"/>
      <c r="J208" s="168"/>
      <c r="K208" s="167"/>
      <c r="L208" s="170"/>
      <c r="M208" s="168"/>
      <c r="N208" s="171"/>
      <c r="O208" s="170"/>
      <c r="P208" s="168"/>
      <c r="Q208" s="171"/>
      <c r="R208" s="170"/>
      <c r="S208" s="168"/>
      <c r="T208" s="171"/>
      <c r="U208" s="167"/>
      <c r="V208" s="168"/>
      <c r="W208" s="167"/>
      <c r="X208" s="167"/>
      <c r="Y208" s="167"/>
      <c r="Z208" s="167"/>
      <c r="AA208" s="172"/>
      <c r="AB208" s="172"/>
      <c r="AC208" s="2"/>
      <c r="AD208" s="2"/>
      <c r="AE208" s="2"/>
      <c r="AF208" s="2"/>
      <c r="AG208" s="2"/>
      <c r="AH208" s="2"/>
    </row>
    <row r="209" spans="1:34" ht="30" hidden="1" customHeight="1">
      <c r="A209" s="165"/>
      <c r="B209" s="307"/>
      <c r="C209" s="261"/>
      <c r="D209" s="166"/>
      <c r="E209" s="166"/>
      <c r="F209" s="167"/>
      <c r="G209" s="168"/>
      <c r="H209" s="167"/>
      <c r="I209" s="169"/>
      <c r="J209" s="168"/>
      <c r="K209" s="167"/>
      <c r="L209" s="170"/>
      <c r="M209" s="168"/>
      <c r="N209" s="171"/>
      <c r="O209" s="170"/>
      <c r="P209" s="168"/>
      <c r="Q209" s="171"/>
      <c r="R209" s="170"/>
      <c r="S209" s="168"/>
      <c r="T209" s="171"/>
      <c r="U209" s="167"/>
      <c r="V209" s="168"/>
      <c r="W209" s="167"/>
      <c r="X209" s="167"/>
      <c r="Y209" s="167"/>
      <c r="Z209" s="167"/>
      <c r="AA209" s="172"/>
      <c r="AB209" s="172"/>
      <c r="AC209" s="2"/>
      <c r="AD209" s="2"/>
      <c r="AE209" s="2"/>
      <c r="AF209" s="2"/>
      <c r="AG209" s="2"/>
      <c r="AH209" s="2"/>
    </row>
    <row r="210" spans="1:34" ht="30" hidden="1" customHeight="1">
      <c r="A210" s="165"/>
      <c r="B210" s="307"/>
      <c r="C210" s="261"/>
      <c r="D210" s="166"/>
      <c r="E210" s="166"/>
      <c r="F210" s="167"/>
      <c r="G210" s="168"/>
      <c r="H210" s="167"/>
      <c r="I210" s="169"/>
      <c r="J210" s="168"/>
      <c r="K210" s="167"/>
      <c r="L210" s="170"/>
      <c r="M210" s="168"/>
      <c r="N210" s="171"/>
      <c r="O210" s="170"/>
      <c r="P210" s="168"/>
      <c r="Q210" s="171"/>
      <c r="R210" s="170"/>
      <c r="S210" s="168"/>
      <c r="T210" s="171"/>
      <c r="U210" s="167"/>
      <c r="V210" s="168"/>
      <c r="W210" s="167"/>
      <c r="X210" s="167"/>
      <c r="Y210" s="167"/>
      <c r="Z210" s="167"/>
      <c r="AA210" s="172"/>
      <c r="AB210" s="172"/>
      <c r="AC210" s="2"/>
      <c r="AD210" s="2"/>
      <c r="AE210" s="2"/>
      <c r="AF210" s="2"/>
      <c r="AG210" s="2"/>
      <c r="AH210" s="2"/>
    </row>
    <row r="211" spans="1:34" ht="30" hidden="1" customHeight="1">
      <c r="A211" s="165"/>
      <c r="B211" s="307"/>
      <c r="C211" s="261"/>
      <c r="D211" s="166"/>
      <c r="E211" s="166"/>
      <c r="F211" s="167"/>
      <c r="G211" s="168"/>
      <c r="H211" s="167"/>
      <c r="I211" s="169"/>
      <c r="J211" s="168"/>
      <c r="K211" s="167"/>
      <c r="L211" s="170"/>
      <c r="M211" s="168"/>
      <c r="N211" s="171"/>
      <c r="O211" s="170"/>
      <c r="P211" s="168"/>
      <c r="Q211" s="171"/>
      <c r="R211" s="170"/>
      <c r="S211" s="168"/>
      <c r="T211" s="171"/>
      <c r="U211" s="167"/>
      <c r="V211" s="168"/>
      <c r="W211" s="167"/>
      <c r="X211" s="167"/>
      <c r="Y211" s="167"/>
      <c r="Z211" s="167"/>
      <c r="AA211" s="172"/>
      <c r="AB211" s="172"/>
      <c r="AC211" s="2"/>
      <c r="AD211" s="2"/>
      <c r="AE211" s="2"/>
      <c r="AF211" s="2"/>
      <c r="AG211" s="2"/>
      <c r="AH211" s="2"/>
    </row>
    <row r="212" spans="1:34" ht="30" hidden="1" customHeight="1">
      <c r="A212" s="165"/>
      <c r="B212" s="307"/>
      <c r="C212" s="261"/>
      <c r="D212" s="166"/>
      <c r="E212" s="166"/>
      <c r="F212" s="167"/>
      <c r="G212" s="168"/>
      <c r="H212" s="167"/>
      <c r="I212" s="169"/>
      <c r="J212" s="168"/>
      <c r="K212" s="167"/>
      <c r="L212" s="170"/>
      <c r="M212" s="168"/>
      <c r="N212" s="171"/>
      <c r="O212" s="170"/>
      <c r="P212" s="168"/>
      <c r="Q212" s="171"/>
      <c r="R212" s="170"/>
      <c r="S212" s="168"/>
      <c r="T212" s="171"/>
      <c r="U212" s="167"/>
      <c r="V212" s="168"/>
      <c r="W212" s="167"/>
      <c r="X212" s="167"/>
      <c r="Y212" s="167"/>
      <c r="Z212" s="167"/>
      <c r="AA212" s="172"/>
      <c r="AB212" s="172"/>
      <c r="AC212" s="2"/>
      <c r="AD212" s="2"/>
      <c r="AE212" s="2"/>
      <c r="AF212" s="2"/>
      <c r="AG212" s="2"/>
      <c r="AH212" s="2"/>
    </row>
    <row r="213" spans="1:34" ht="30" hidden="1" customHeight="1">
      <c r="A213" s="165"/>
      <c r="B213" s="307"/>
      <c r="C213" s="261"/>
      <c r="D213" s="166"/>
      <c r="E213" s="166"/>
      <c r="F213" s="167"/>
      <c r="G213" s="168"/>
      <c r="H213" s="167"/>
      <c r="I213" s="169"/>
      <c r="J213" s="168"/>
      <c r="K213" s="167"/>
      <c r="L213" s="170"/>
      <c r="M213" s="168"/>
      <c r="N213" s="171"/>
      <c r="O213" s="170"/>
      <c r="P213" s="168"/>
      <c r="Q213" s="171"/>
      <c r="R213" s="170"/>
      <c r="S213" s="168"/>
      <c r="T213" s="171"/>
      <c r="U213" s="167"/>
      <c r="V213" s="168"/>
      <c r="W213" s="167"/>
      <c r="X213" s="167"/>
      <c r="Y213" s="167"/>
      <c r="Z213" s="167"/>
      <c r="AA213" s="172"/>
      <c r="AB213" s="172"/>
      <c r="AC213" s="2"/>
      <c r="AD213" s="2"/>
      <c r="AE213" s="2"/>
      <c r="AF213" s="2"/>
      <c r="AG213" s="2"/>
      <c r="AH213" s="2"/>
    </row>
    <row r="214" spans="1:34" ht="30" hidden="1" customHeight="1">
      <c r="A214" s="165"/>
      <c r="B214" s="307"/>
      <c r="C214" s="261"/>
      <c r="D214" s="166"/>
      <c r="E214" s="166"/>
      <c r="F214" s="167"/>
      <c r="G214" s="168"/>
      <c r="H214" s="167"/>
      <c r="I214" s="169"/>
      <c r="J214" s="168"/>
      <c r="K214" s="167"/>
      <c r="L214" s="170"/>
      <c r="M214" s="168"/>
      <c r="N214" s="171"/>
      <c r="O214" s="170"/>
      <c r="P214" s="168"/>
      <c r="Q214" s="171"/>
      <c r="R214" s="170"/>
      <c r="S214" s="168"/>
      <c r="T214" s="171"/>
      <c r="U214" s="167"/>
      <c r="V214" s="168"/>
      <c r="W214" s="167"/>
      <c r="X214" s="167"/>
      <c r="Y214" s="167"/>
      <c r="Z214" s="167"/>
      <c r="AA214" s="172"/>
      <c r="AB214" s="172"/>
      <c r="AC214" s="2"/>
      <c r="AD214" s="2"/>
      <c r="AE214" s="2"/>
      <c r="AF214" s="2"/>
      <c r="AG214" s="2"/>
      <c r="AH214" s="2"/>
    </row>
    <row r="215" spans="1:34" ht="30" hidden="1" customHeight="1">
      <c r="A215" s="165"/>
      <c r="B215" s="307"/>
      <c r="C215" s="261"/>
      <c r="D215" s="166"/>
      <c r="E215" s="166"/>
      <c r="F215" s="167"/>
      <c r="G215" s="168"/>
      <c r="H215" s="167"/>
      <c r="I215" s="169"/>
      <c r="J215" s="168"/>
      <c r="K215" s="167"/>
      <c r="L215" s="170"/>
      <c r="M215" s="168"/>
      <c r="N215" s="171"/>
      <c r="O215" s="170"/>
      <c r="P215" s="168"/>
      <c r="Q215" s="171"/>
      <c r="R215" s="170"/>
      <c r="S215" s="168"/>
      <c r="T215" s="171"/>
      <c r="U215" s="167"/>
      <c r="V215" s="168"/>
      <c r="W215" s="167"/>
      <c r="X215" s="167"/>
      <c r="Y215" s="167"/>
      <c r="Z215" s="167"/>
      <c r="AA215" s="172"/>
      <c r="AB215" s="172"/>
      <c r="AC215" s="2"/>
      <c r="AD215" s="2"/>
      <c r="AE215" s="2"/>
      <c r="AF215" s="2"/>
      <c r="AG215" s="2"/>
      <c r="AH215" s="2"/>
    </row>
    <row r="216" spans="1:34" ht="30" hidden="1" customHeight="1">
      <c r="A216" s="165"/>
      <c r="B216" s="307"/>
      <c r="C216" s="261"/>
      <c r="D216" s="166"/>
      <c r="E216" s="166"/>
      <c r="F216" s="167"/>
      <c r="G216" s="168"/>
      <c r="H216" s="167"/>
      <c r="I216" s="169"/>
      <c r="J216" s="168"/>
      <c r="K216" s="167"/>
      <c r="L216" s="170"/>
      <c r="M216" s="168"/>
      <c r="N216" s="171"/>
      <c r="O216" s="170"/>
      <c r="P216" s="168"/>
      <c r="Q216" s="171"/>
      <c r="R216" s="170"/>
      <c r="S216" s="168"/>
      <c r="T216" s="171"/>
      <c r="U216" s="167"/>
      <c r="V216" s="168"/>
      <c r="W216" s="167"/>
      <c r="X216" s="167"/>
      <c r="Y216" s="167"/>
      <c r="Z216" s="167"/>
      <c r="AA216" s="172"/>
      <c r="AB216" s="172"/>
      <c r="AC216" s="2"/>
      <c r="AD216" s="2"/>
      <c r="AE216" s="2"/>
      <c r="AF216" s="2"/>
      <c r="AG216" s="2"/>
      <c r="AH216" s="2"/>
    </row>
    <row r="217" spans="1:34" ht="30" hidden="1" customHeight="1">
      <c r="A217" s="165"/>
      <c r="B217" s="307"/>
      <c r="C217" s="261"/>
      <c r="D217" s="166"/>
      <c r="E217" s="166"/>
      <c r="F217" s="167"/>
      <c r="G217" s="168"/>
      <c r="H217" s="167"/>
      <c r="I217" s="169"/>
      <c r="J217" s="168"/>
      <c r="K217" s="167"/>
      <c r="L217" s="170"/>
      <c r="M217" s="168"/>
      <c r="N217" s="171"/>
      <c r="O217" s="170"/>
      <c r="P217" s="168"/>
      <c r="Q217" s="171"/>
      <c r="R217" s="170"/>
      <c r="S217" s="168"/>
      <c r="T217" s="171"/>
      <c r="U217" s="167"/>
      <c r="V217" s="168"/>
      <c r="W217" s="167"/>
      <c r="X217" s="167"/>
      <c r="Y217" s="167"/>
      <c r="Z217" s="167"/>
      <c r="AA217" s="172"/>
      <c r="AB217" s="172"/>
      <c r="AC217" s="2"/>
      <c r="AD217" s="2"/>
      <c r="AE217" s="2"/>
      <c r="AF217" s="2"/>
      <c r="AG217" s="2"/>
      <c r="AH217" s="2"/>
    </row>
    <row r="218" spans="1:34" ht="30" hidden="1" customHeight="1">
      <c r="A218" s="165"/>
      <c r="B218" s="307"/>
      <c r="C218" s="261"/>
      <c r="D218" s="166"/>
      <c r="E218" s="166"/>
      <c r="F218" s="167"/>
      <c r="G218" s="168"/>
      <c r="H218" s="167"/>
      <c r="I218" s="169"/>
      <c r="J218" s="168"/>
      <c r="K218" s="167"/>
      <c r="L218" s="170"/>
      <c r="M218" s="168"/>
      <c r="N218" s="171"/>
      <c r="O218" s="170"/>
      <c r="P218" s="168"/>
      <c r="Q218" s="171"/>
      <c r="R218" s="170"/>
      <c r="S218" s="168"/>
      <c r="T218" s="171"/>
      <c r="U218" s="167"/>
      <c r="V218" s="168"/>
      <c r="W218" s="167"/>
      <c r="X218" s="167"/>
      <c r="Y218" s="167"/>
      <c r="Z218" s="167"/>
      <c r="AA218" s="172"/>
      <c r="AB218" s="172"/>
      <c r="AC218" s="2"/>
      <c r="AD218" s="2"/>
      <c r="AE218" s="2"/>
      <c r="AF218" s="2"/>
      <c r="AG218" s="2"/>
      <c r="AH218" s="2"/>
    </row>
    <row r="219" spans="1:34" ht="30" hidden="1" customHeight="1">
      <c r="A219" s="165"/>
      <c r="B219" s="307"/>
      <c r="C219" s="261"/>
      <c r="D219" s="166"/>
      <c r="E219" s="166"/>
      <c r="F219" s="167"/>
      <c r="G219" s="168"/>
      <c r="H219" s="167"/>
      <c r="I219" s="169"/>
      <c r="J219" s="168"/>
      <c r="K219" s="167"/>
      <c r="L219" s="170"/>
      <c r="M219" s="168"/>
      <c r="N219" s="171"/>
      <c r="O219" s="170"/>
      <c r="P219" s="168"/>
      <c r="Q219" s="171"/>
      <c r="R219" s="170"/>
      <c r="S219" s="168"/>
      <c r="T219" s="171"/>
      <c r="U219" s="167"/>
      <c r="V219" s="168"/>
      <c r="W219" s="167"/>
      <c r="X219" s="167"/>
      <c r="Y219" s="167"/>
      <c r="Z219" s="167"/>
      <c r="AA219" s="172"/>
      <c r="AB219" s="172"/>
      <c r="AC219" s="2"/>
      <c r="AD219" s="2"/>
      <c r="AE219" s="2"/>
      <c r="AF219" s="2"/>
      <c r="AG219" s="2"/>
      <c r="AH219" s="2"/>
    </row>
    <row r="220" spans="1:34" ht="30" hidden="1" customHeight="1">
      <c r="A220" s="165"/>
      <c r="B220" s="307"/>
      <c r="C220" s="261"/>
      <c r="D220" s="166"/>
      <c r="E220" s="166"/>
      <c r="F220" s="167"/>
      <c r="G220" s="168"/>
      <c r="H220" s="167"/>
      <c r="I220" s="169"/>
      <c r="J220" s="168"/>
      <c r="K220" s="167"/>
      <c r="L220" s="170"/>
      <c r="M220" s="168"/>
      <c r="N220" s="171"/>
      <c r="O220" s="170"/>
      <c r="P220" s="168"/>
      <c r="Q220" s="171"/>
      <c r="R220" s="170"/>
      <c r="S220" s="168"/>
      <c r="T220" s="171"/>
      <c r="U220" s="167"/>
      <c r="V220" s="168"/>
      <c r="W220" s="167"/>
      <c r="X220" s="167"/>
      <c r="Y220" s="167"/>
      <c r="Z220" s="167"/>
      <c r="AA220" s="172"/>
      <c r="AB220" s="172"/>
      <c r="AC220" s="2"/>
      <c r="AD220" s="2"/>
      <c r="AE220" s="2"/>
      <c r="AF220" s="2"/>
      <c r="AG220" s="2"/>
      <c r="AH220" s="2"/>
    </row>
    <row r="221" spans="1:34" ht="30" hidden="1" customHeight="1">
      <c r="A221" s="165"/>
      <c r="B221" s="307"/>
      <c r="C221" s="261"/>
      <c r="D221" s="166"/>
      <c r="E221" s="166"/>
      <c r="F221" s="167"/>
      <c r="G221" s="168"/>
      <c r="H221" s="167"/>
      <c r="I221" s="169"/>
      <c r="J221" s="168"/>
      <c r="K221" s="167"/>
      <c r="L221" s="170"/>
      <c r="M221" s="168"/>
      <c r="N221" s="171"/>
      <c r="O221" s="170"/>
      <c r="P221" s="168"/>
      <c r="Q221" s="171"/>
      <c r="R221" s="170"/>
      <c r="S221" s="168"/>
      <c r="T221" s="171"/>
      <c r="U221" s="167"/>
      <c r="V221" s="168"/>
      <c r="W221" s="167"/>
      <c r="X221" s="167"/>
      <c r="Y221" s="167"/>
      <c r="Z221" s="167"/>
      <c r="AA221" s="172"/>
      <c r="AB221" s="172"/>
      <c r="AC221" s="2"/>
      <c r="AD221" s="2"/>
      <c r="AE221" s="2"/>
      <c r="AF221" s="2"/>
      <c r="AG221" s="2"/>
      <c r="AH221" s="2"/>
    </row>
    <row r="222" spans="1:34" ht="30" hidden="1" customHeight="1">
      <c r="A222" s="165"/>
      <c r="B222" s="307"/>
      <c r="C222" s="261"/>
      <c r="D222" s="166"/>
      <c r="E222" s="166"/>
      <c r="F222" s="167"/>
      <c r="G222" s="168"/>
      <c r="H222" s="167"/>
      <c r="I222" s="169"/>
      <c r="J222" s="168"/>
      <c r="K222" s="167"/>
      <c r="L222" s="170"/>
      <c r="M222" s="168"/>
      <c r="N222" s="171"/>
      <c r="O222" s="170"/>
      <c r="P222" s="168"/>
      <c r="Q222" s="171"/>
      <c r="R222" s="170"/>
      <c r="S222" s="168"/>
      <c r="T222" s="171"/>
      <c r="U222" s="167"/>
      <c r="V222" s="168"/>
      <c r="W222" s="167"/>
      <c r="X222" s="167"/>
      <c r="Y222" s="167"/>
      <c r="Z222" s="167"/>
      <c r="AA222" s="172"/>
      <c r="AB222" s="172"/>
      <c r="AC222" s="2"/>
      <c r="AD222" s="2"/>
      <c r="AE222" s="2"/>
      <c r="AF222" s="2"/>
      <c r="AG222" s="2"/>
      <c r="AH222" s="2"/>
    </row>
    <row r="223" spans="1:34" ht="30" hidden="1" customHeight="1">
      <c r="A223" s="165"/>
      <c r="B223" s="307"/>
      <c r="C223" s="261"/>
      <c r="D223" s="166"/>
      <c r="E223" s="166"/>
      <c r="F223" s="167"/>
      <c r="G223" s="168"/>
      <c r="H223" s="167"/>
      <c r="I223" s="169"/>
      <c r="J223" s="168"/>
      <c r="K223" s="167"/>
      <c r="L223" s="170"/>
      <c r="M223" s="168"/>
      <c r="N223" s="171"/>
      <c r="O223" s="170"/>
      <c r="P223" s="168"/>
      <c r="Q223" s="171"/>
      <c r="R223" s="170"/>
      <c r="S223" s="168"/>
      <c r="T223" s="171"/>
      <c r="U223" s="167"/>
      <c r="V223" s="168"/>
      <c r="W223" s="167"/>
      <c r="X223" s="167"/>
      <c r="Y223" s="167"/>
      <c r="Z223" s="167"/>
      <c r="AA223" s="172"/>
      <c r="AB223" s="172"/>
      <c r="AC223" s="2"/>
      <c r="AD223" s="2"/>
      <c r="AE223" s="2"/>
      <c r="AF223" s="2"/>
      <c r="AG223" s="2"/>
      <c r="AH223" s="2"/>
    </row>
    <row r="224" spans="1:34" ht="30" hidden="1" customHeight="1">
      <c r="A224" s="165"/>
      <c r="B224" s="307"/>
      <c r="C224" s="261"/>
      <c r="D224" s="166"/>
      <c r="E224" s="166"/>
      <c r="F224" s="167"/>
      <c r="G224" s="168"/>
      <c r="H224" s="167"/>
      <c r="I224" s="169"/>
      <c r="J224" s="168"/>
      <c r="K224" s="167"/>
      <c r="L224" s="170"/>
      <c r="M224" s="168"/>
      <c r="N224" s="171"/>
      <c r="O224" s="170"/>
      <c r="P224" s="168"/>
      <c r="Q224" s="171"/>
      <c r="R224" s="170"/>
      <c r="S224" s="168"/>
      <c r="T224" s="171"/>
      <c r="U224" s="167"/>
      <c r="V224" s="168"/>
      <c r="W224" s="167"/>
      <c r="X224" s="167"/>
      <c r="Y224" s="167"/>
      <c r="Z224" s="167"/>
      <c r="AA224" s="172"/>
      <c r="AB224" s="172"/>
      <c r="AC224" s="2"/>
      <c r="AD224" s="2"/>
      <c r="AE224" s="2"/>
      <c r="AF224" s="2"/>
      <c r="AG224" s="2"/>
      <c r="AH224" s="2"/>
    </row>
    <row r="225" spans="1:34" ht="30" hidden="1" customHeight="1">
      <c r="A225" s="165"/>
      <c r="B225" s="307"/>
      <c r="C225" s="261"/>
      <c r="D225" s="166"/>
      <c r="E225" s="166"/>
      <c r="F225" s="167"/>
      <c r="G225" s="168"/>
      <c r="H225" s="167"/>
      <c r="I225" s="169"/>
      <c r="J225" s="168"/>
      <c r="K225" s="167"/>
      <c r="L225" s="170"/>
      <c r="M225" s="168"/>
      <c r="N225" s="171"/>
      <c r="O225" s="170"/>
      <c r="P225" s="168"/>
      <c r="Q225" s="171"/>
      <c r="R225" s="170"/>
      <c r="S225" s="168"/>
      <c r="T225" s="171"/>
      <c r="U225" s="167"/>
      <c r="V225" s="168"/>
      <c r="W225" s="167"/>
      <c r="X225" s="167"/>
      <c r="Y225" s="167"/>
      <c r="Z225" s="167"/>
      <c r="AA225" s="172"/>
      <c r="AB225" s="172"/>
      <c r="AC225" s="2"/>
      <c r="AD225" s="2"/>
      <c r="AE225" s="2"/>
      <c r="AF225" s="2"/>
      <c r="AG225" s="2"/>
      <c r="AH225" s="2"/>
    </row>
    <row r="226" spans="1:34" ht="30" hidden="1" customHeight="1">
      <c r="A226" s="165"/>
      <c r="B226" s="307"/>
      <c r="C226" s="261"/>
      <c r="D226" s="166"/>
      <c r="E226" s="166"/>
      <c r="F226" s="167"/>
      <c r="G226" s="168"/>
      <c r="H226" s="167"/>
      <c r="I226" s="169"/>
      <c r="J226" s="168"/>
      <c r="K226" s="167"/>
      <c r="L226" s="170"/>
      <c r="M226" s="168"/>
      <c r="N226" s="171"/>
      <c r="O226" s="170"/>
      <c r="P226" s="168"/>
      <c r="Q226" s="171"/>
      <c r="R226" s="170"/>
      <c r="S226" s="168"/>
      <c r="T226" s="171"/>
      <c r="U226" s="167"/>
      <c r="V226" s="168"/>
      <c r="W226" s="167"/>
      <c r="X226" s="167"/>
      <c r="Y226" s="167"/>
      <c r="Z226" s="167"/>
      <c r="AA226" s="172"/>
      <c r="AB226" s="172"/>
      <c r="AC226" s="2"/>
      <c r="AD226" s="2"/>
      <c r="AE226" s="2"/>
      <c r="AF226" s="2"/>
      <c r="AG226" s="2"/>
      <c r="AH226" s="2"/>
    </row>
    <row r="227" spans="1:34" ht="30" hidden="1" customHeight="1">
      <c r="A227" s="165"/>
      <c r="B227" s="307"/>
      <c r="C227" s="261"/>
      <c r="D227" s="166"/>
      <c r="E227" s="166"/>
      <c r="F227" s="167"/>
      <c r="G227" s="168"/>
      <c r="H227" s="167"/>
      <c r="I227" s="169"/>
      <c r="J227" s="168"/>
      <c r="K227" s="167"/>
      <c r="L227" s="170"/>
      <c r="M227" s="168"/>
      <c r="N227" s="171"/>
      <c r="O227" s="170"/>
      <c r="P227" s="168"/>
      <c r="Q227" s="171"/>
      <c r="R227" s="170"/>
      <c r="S227" s="168"/>
      <c r="T227" s="171"/>
      <c r="U227" s="167"/>
      <c r="V227" s="168"/>
      <c r="W227" s="167"/>
      <c r="X227" s="167"/>
      <c r="Y227" s="167"/>
      <c r="Z227" s="167"/>
      <c r="AA227" s="172"/>
      <c r="AB227" s="172"/>
      <c r="AC227" s="2"/>
      <c r="AD227" s="2"/>
      <c r="AE227" s="2"/>
      <c r="AF227" s="2"/>
      <c r="AG227" s="2"/>
      <c r="AH227" s="2"/>
    </row>
    <row r="228" spans="1:34" ht="30" hidden="1" customHeight="1">
      <c r="A228" s="165"/>
      <c r="B228" s="307"/>
      <c r="C228" s="261"/>
      <c r="D228" s="166"/>
      <c r="E228" s="166"/>
      <c r="F228" s="167"/>
      <c r="G228" s="168"/>
      <c r="H228" s="167"/>
      <c r="I228" s="169"/>
      <c r="J228" s="168"/>
      <c r="K228" s="167"/>
      <c r="L228" s="170"/>
      <c r="M228" s="168"/>
      <c r="N228" s="171"/>
      <c r="O228" s="170"/>
      <c r="P228" s="168"/>
      <c r="Q228" s="171"/>
      <c r="R228" s="170"/>
      <c r="S228" s="168"/>
      <c r="T228" s="171"/>
      <c r="U228" s="167"/>
      <c r="V228" s="168"/>
      <c r="W228" s="167"/>
      <c r="X228" s="167"/>
      <c r="Y228" s="167"/>
      <c r="Z228" s="167"/>
      <c r="AA228" s="172"/>
      <c r="AB228" s="172"/>
      <c r="AC228" s="2"/>
      <c r="AD228" s="2"/>
      <c r="AE228" s="2"/>
      <c r="AF228" s="2"/>
      <c r="AG228" s="2"/>
      <c r="AH228" s="2"/>
    </row>
    <row r="229" spans="1:34" ht="30" hidden="1" customHeight="1">
      <c r="A229" s="165"/>
      <c r="B229" s="307"/>
      <c r="C229" s="261"/>
      <c r="D229" s="166"/>
      <c r="E229" s="166"/>
      <c r="F229" s="167"/>
      <c r="G229" s="168"/>
      <c r="H229" s="167"/>
      <c r="I229" s="169"/>
      <c r="J229" s="168"/>
      <c r="K229" s="167"/>
      <c r="L229" s="170"/>
      <c r="M229" s="168"/>
      <c r="N229" s="171"/>
      <c r="O229" s="170"/>
      <c r="P229" s="168"/>
      <c r="Q229" s="171"/>
      <c r="R229" s="170"/>
      <c r="S229" s="168"/>
      <c r="T229" s="171"/>
      <c r="U229" s="167"/>
      <c r="V229" s="168"/>
      <c r="W229" s="167"/>
      <c r="X229" s="167"/>
      <c r="Y229" s="167"/>
      <c r="Z229" s="167"/>
      <c r="AA229" s="172"/>
      <c r="AB229" s="172"/>
      <c r="AC229" s="2"/>
      <c r="AD229" s="2"/>
      <c r="AE229" s="2"/>
      <c r="AF229" s="2"/>
      <c r="AG229" s="2"/>
      <c r="AH229" s="2"/>
    </row>
    <row r="230" spans="1:34" ht="30" hidden="1" customHeight="1">
      <c r="A230" s="165"/>
      <c r="B230" s="307"/>
      <c r="C230" s="261"/>
      <c r="D230" s="166"/>
      <c r="E230" s="166"/>
      <c r="F230" s="167"/>
      <c r="G230" s="168"/>
      <c r="H230" s="167"/>
      <c r="I230" s="169"/>
      <c r="J230" s="168"/>
      <c r="K230" s="167"/>
      <c r="L230" s="170"/>
      <c r="M230" s="168"/>
      <c r="N230" s="171"/>
      <c r="O230" s="170"/>
      <c r="P230" s="168"/>
      <c r="Q230" s="171"/>
      <c r="R230" s="170"/>
      <c r="S230" s="168"/>
      <c r="T230" s="171"/>
      <c r="U230" s="167"/>
      <c r="V230" s="168"/>
      <c r="W230" s="167"/>
      <c r="X230" s="167"/>
      <c r="Y230" s="167"/>
      <c r="Z230" s="167"/>
      <c r="AA230" s="172"/>
      <c r="AB230" s="172"/>
      <c r="AC230" s="2"/>
      <c r="AD230" s="2"/>
      <c r="AE230" s="2"/>
      <c r="AF230" s="2"/>
      <c r="AG230" s="2"/>
      <c r="AH230" s="2"/>
    </row>
    <row r="231" spans="1:34" ht="30" hidden="1" customHeight="1">
      <c r="A231" s="165"/>
      <c r="B231" s="307"/>
      <c r="C231" s="261"/>
      <c r="D231" s="166"/>
      <c r="E231" s="166"/>
      <c r="F231" s="167"/>
      <c r="G231" s="168"/>
      <c r="H231" s="167"/>
      <c r="I231" s="169"/>
      <c r="J231" s="168"/>
      <c r="K231" s="167"/>
      <c r="L231" s="170"/>
      <c r="M231" s="168"/>
      <c r="N231" s="171"/>
      <c r="O231" s="170"/>
      <c r="P231" s="168"/>
      <c r="Q231" s="171"/>
      <c r="R231" s="170"/>
      <c r="S231" s="168"/>
      <c r="T231" s="171"/>
      <c r="U231" s="167"/>
      <c r="V231" s="168"/>
      <c r="W231" s="167"/>
      <c r="X231" s="167"/>
      <c r="Y231" s="167"/>
      <c r="Z231" s="167"/>
      <c r="AA231" s="172"/>
      <c r="AB231" s="172"/>
      <c r="AC231" s="2"/>
      <c r="AD231" s="2"/>
      <c r="AE231" s="2"/>
      <c r="AF231" s="2"/>
      <c r="AG231" s="2"/>
      <c r="AH231" s="2"/>
    </row>
    <row r="232" spans="1:34" ht="30" hidden="1" customHeight="1">
      <c r="A232" s="165"/>
      <c r="B232" s="307"/>
      <c r="C232" s="261"/>
      <c r="D232" s="166"/>
      <c r="E232" s="166"/>
      <c r="F232" s="167"/>
      <c r="G232" s="168"/>
      <c r="H232" s="167"/>
      <c r="I232" s="169"/>
      <c r="J232" s="168"/>
      <c r="K232" s="167"/>
      <c r="L232" s="170"/>
      <c r="M232" s="168"/>
      <c r="N232" s="171"/>
      <c r="O232" s="170"/>
      <c r="P232" s="168"/>
      <c r="Q232" s="171"/>
      <c r="R232" s="170"/>
      <c r="S232" s="168"/>
      <c r="T232" s="171"/>
      <c r="U232" s="167"/>
      <c r="V232" s="168"/>
      <c r="W232" s="167"/>
      <c r="X232" s="167"/>
      <c r="Y232" s="167"/>
      <c r="Z232" s="167"/>
      <c r="AA232" s="172"/>
      <c r="AB232" s="172"/>
      <c r="AC232" s="2"/>
      <c r="AD232" s="2"/>
      <c r="AE232" s="2"/>
      <c r="AF232" s="2"/>
      <c r="AG232" s="2"/>
      <c r="AH232" s="2"/>
    </row>
    <row r="233" spans="1:34" ht="30" hidden="1" customHeight="1">
      <c r="A233" s="165"/>
      <c r="B233" s="307"/>
      <c r="C233" s="261"/>
      <c r="D233" s="166"/>
      <c r="E233" s="166"/>
      <c r="F233" s="167"/>
      <c r="G233" s="168"/>
      <c r="H233" s="167"/>
      <c r="I233" s="169"/>
      <c r="J233" s="168"/>
      <c r="K233" s="167"/>
      <c r="L233" s="170"/>
      <c r="M233" s="168"/>
      <c r="N233" s="171"/>
      <c r="O233" s="170"/>
      <c r="P233" s="168"/>
      <c r="Q233" s="171"/>
      <c r="R233" s="170"/>
      <c r="S233" s="168"/>
      <c r="T233" s="171"/>
      <c r="U233" s="167"/>
      <c r="V233" s="168"/>
      <c r="W233" s="167"/>
      <c r="X233" s="167"/>
      <c r="Y233" s="167"/>
      <c r="Z233" s="167"/>
      <c r="AA233" s="172"/>
      <c r="AB233" s="172"/>
      <c r="AC233" s="2"/>
      <c r="AD233" s="2"/>
      <c r="AE233" s="2"/>
      <c r="AF233" s="2"/>
      <c r="AG233" s="2"/>
      <c r="AH233" s="2"/>
    </row>
    <row r="234" spans="1:34" ht="30" hidden="1" customHeight="1">
      <c r="A234" s="165"/>
      <c r="B234" s="307"/>
      <c r="C234" s="261"/>
      <c r="D234" s="166"/>
      <c r="E234" s="166"/>
      <c r="F234" s="167"/>
      <c r="G234" s="168"/>
      <c r="H234" s="167"/>
      <c r="I234" s="169"/>
      <c r="J234" s="168"/>
      <c r="K234" s="167"/>
      <c r="L234" s="170"/>
      <c r="M234" s="168"/>
      <c r="N234" s="171"/>
      <c r="O234" s="170"/>
      <c r="P234" s="168"/>
      <c r="Q234" s="171"/>
      <c r="R234" s="170"/>
      <c r="S234" s="168"/>
      <c r="T234" s="171"/>
      <c r="U234" s="167"/>
      <c r="V234" s="168"/>
      <c r="W234" s="167"/>
      <c r="X234" s="167"/>
      <c r="Y234" s="167"/>
      <c r="Z234" s="167"/>
      <c r="AA234" s="172"/>
      <c r="AB234" s="172"/>
      <c r="AC234" s="2"/>
      <c r="AD234" s="2"/>
      <c r="AE234" s="2"/>
      <c r="AF234" s="2"/>
      <c r="AG234" s="2"/>
      <c r="AH234" s="2"/>
    </row>
    <row r="235" spans="1:34" ht="30" hidden="1" customHeight="1">
      <c r="A235" s="165"/>
      <c r="B235" s="307"/>
      <c r="C235" s="261"/>
      <c r="D235" s="166"/>
      <c r="E235" s="166"/>
      <c r="F235" s="167"/>
      <c r="G235" s="168"/>
      <c r="H235" s="167"/>
      <c r="I235" s="169"/>
      <c r="J235" s="168"/>
      <c r="K235" s="167"/>
      <c r="L235" s="170"/>
      <c r="M235" s="168"/>
      <c r="N235" s="171"/>
      <c r="O235" s="170"/>
      <c r="P235" s="168"/>
      <c r="Q235" s="171"/>
      <c r="R235" s="170"/>
      <c r="S235" s="168"/>
      <c r="T235" s="171"/>
      <c r="U235" s="167"/>
      <c r="V235" s="168"/>
      <c r="W235" s="167"/>
      <c r="X235" s="167"/>
      <c r="Y235" s="167"/>
      <c r="Z235" s="167"/>
      <c r="AA235" s="172"/>
      <c r="AB235" s="172"/>
      <c r="AC235" s="2"/>
      <c r="AD235" s="2"/>
      <c r="AE235" s="2"/>
      <c r="AF235" s="2"/>
      <c r="AG235" s="2"/>
      <c r="AH235" s="2"/>
    </row>
    <row r="236" spans="1:34" ht="30" hidden="1" customHeight="1">
      <c r="A236" s="165"/>
      <c r="B236" s="307"/>
      <c r="C236" s="261"/>
      <c r="D236" s="166"/>
      <c r="E236" s="166"/>
      <c r="F236" s="167"/>
      <c r="G236" s="168"/>
      <c r="H236" s="167"/>
      <c r="I236" s="169"/>
      <c r="J236" s="168"/>
      <c r="K236" s="167"/>
      <c r="L236" s="170"/>
      <c r="M236" s="168"/>
      <c r="N236" s="171"/>
      <c r="O236" s="170"/>
      <c r="P236" s="168"/>
      <c r="Q236" s="171"/>
      <c r="R236" s="170"/>
      <c r="S236" s="168"/>
      <c r="T236" s="171"/>
      <c r="U236" s="167"/>
      <c r="V236" s="168"/>
      <c r="W236" s="167"/>
      <c r="X236" s="167"/>
      <c r="Y236" s="167"/>
      <c r="Z236" s="167"/>
      <c r="AA236" s="172"/>
      <c r="AB236" s="172"/>
      <c r="AC236" s="2"/>
      <c r="AD236" s="2"/>
      <c r="AE236" s="2"/>
      <c r="AF236" s="2"/>
      <c r="AG236" s="2"/>
      <c r="AH236" s="2"/>
    </row>
    <row r="237" spans="1:34" ht="30" hidden="1" customHeight="1">
      <c r="A237" s="165"/>
      <c r="B237" s="307"/>
      <c r="C237" s="261"/>
      <c r="D237" s="166"/>
      <c r="E237" s="166"/>
      <c r="F237" s="167"/>
      <c r="G237" s="168"/>
      <c r="H237" s="167"/>
      <c r="I237" s="169"/>
      <c r="J237" s="168"/>
      <c r="K237" s="167"/>
      <c r="L237" s="170"/>
      <c r="M237" s="168"/>
      <c r="N237" s="171"/>
      <c r="O237" s="170"/>
      <c r="P237" s="168"/>
      <c r="Q237" s="171"/>
      <c r="R237" s="170"/>
      <c r="S237" s="168"/>
      <c r="T237" s="171"/>
      <c r="U237" s="167"/>
      <c r="V237" s="168"/>
      <c r="W237" s="167"/>
      <c r="X237" s="167"/>
      <c r="Y237" s="167"/>
      <c r="Z237" s="167"/>
      <c r="AA237" s="172"/>
      <c r="AB237" s="172"/>
      <c r="AC237" s="2"/>
      <c r="AD237" s="2"/>
      <c r="AE237" s="2"/>
      <c r="AF237" s="2"/>
      <c r="AG237" s="2"/>
      <c r="AH237" s="2"/>
    </row>
    <row r="238" spans="1:34" ht="30" hidden="1" customHeight="1">
      <c r="A238" s="165"/>
      <c r="B238" s="307"/>
      <c r="C238" s="261"/>
      <c r="D238" s="166"/>
      <c r="E238" s="166"/>
      <c r="F238" s="167"/>
      <c r="G238" s="168"/>
      <c r="H238" s="167"/>
      <c r="I238" s="169"/>
      <c r="J238" s="168"/>
      <c r="K238" s="167"/>
      <c r="L238" s="170"/>
      <c r="M238" s="168"/>
      <c r="N238" s="171"/>
      <c r="O238" s="170"/>
      <c r="P238" s="168"/>
      <c r="Q238" s="171"/>
      <c r="R238" s="170"/>
      <c r="S238" s="168"/>
      <c r="T238" s="171"/>
      <c r="U238" s="167"/>
      <c r="V238" s="168"/>
      <c r="W238" s="167"/>
      <c r="X238" s="167"/>
      <c r="Y238" s="167"/>
      <c r="Z238" s="167"/>
      <c r="AA238" s="172"/>
      <c r="AB238" s="172"/>
      <c r="AC238" s="2"/>
      <c r="AD238" s="2"/>
      <c r="AE238" s="2"/>
      <c r="AF238" s="2"/>
      <c r="AG238" s="2"/>
      <c r="AH238" s="2"/>
    </row>
    <row r="239" spans="1:34" ht="30" hidden="1" customHeight="1">
      <c r="A239" s="165"/>
      <c r="B239" s="307"/>
      <c r="C239" s="261"/>
      <c r="D239" s="166"/>
      <c r="E239" s="166"/>
      <c r="F239" s="167"/>
      <c r="G239" s="168"/>
      <c r="H239" s="167"/>
      <c r="I239" s="169"/>
      <c r="J239" s="168"/>
      <c r="K239" s="167"/>
      <c r="L239" s="170"/>
      <c r="M239" s="168"/>
      <c r="N239" s="171"/>
      <c r="O239" s="170"/>
      <c r="P239" s="168"/>
      <c r="Q239" s="171"/>
      <c r="R239" s="170"/>
      <c r="S239" s="168"/>
      <c r="T239" s="171"/>
      <c r="U239" s="167"/>
      <c r="V239" s="168"/>
      <c r="W239" s="167"/>
      <c r="X239" s="167"/>
      <c r="Y239" s="167"/>
      <c r="Z239" s="167"/>
      <c r="AA239" s="172"/>
      <c r="AB239" s="172"/>
      <c r="AC239" s="2"/>
      <c r="AD239" s="2"/>
      <c r="AE239" s="2"/>
      <c r="AF239" s="2"/>
      <c r="AG239" s="2"/>
      <c r="AH239" s="2"/>
    </row>
    <row r="240" spans="1:34" ht="30" hidden="1" customHeight="1">
      <c r="A240" s="165"/>
      <c r="B240" s="307"/>
      <c r="C240" s="261"/>
      <c r="D240" s="166"/>
      <c r="E240" s="166"/>
      <c r="F240" s="167"/>
      <c r="G240" s="168"/>
      <c r="H240" s="167"/>
      <c r="I240" s="169"/>
      <c r="J240" s="168"/>
      <c r="K240" s="167"/>
      <c r="L240" s="170"/>
      <c r="M240" s="168"/>
      <c r="N240" s="171"/>
      <c r="O240" s="170"/>
      <c r="P240" s="168"/>
      <c r="Q240" s="171"/>
      <c r="R240" s="170"/>
      <c r="S240" s="168"/>
      <c r="T240" s="171"/>
      <c r="U240" s="167"/>
      <c r="V240" s="168"/>
      <c r="W240" s="167"/>
      <c r="X240" s="167"/>
      <c r="Y240" s="167"/>
      <c r="Z240" s="167"/>
      <c r="AA240" s="172"/>
      <c r="AB240" s="172"/>
      <c r="AC240" s="2"/>
      <c r="AD240" s="2"/>
      <c r="AE240" s="2"/>
      <c r="AF240" s="2"/>
      <c r="AG240" s="2"/>
      <c r="AH240" s="2"/>
    </row>
    <row r="241" spans="1:34" ht="30" hidden="1" customHeight="1">
      <c r="A241" s="165"/>
      <c r="B241" s="307"/>
      <c r="C241" s="261"/>
      <c r="D241" s="166"/>
      <c r="E241" s="166"/>
      <c r="F241" s="167"/>
      <c r="G241" s="168"/>
      <c r="H241" s="167"/>
      <c r="I241" s="169"/>
      <c r="J241" s="168"/>
      <c r="K241" s="167"/>
      <c r="L241" s="170"/>
      <c r="M241" s="168"/>
      <c r="N241" s="171"/>
      <c r="O241" s="170"/>
      <c r="P241" s="168"/>
      <c r="Q241" s="171"/>
      <c r="R241" s="170"/>
      <c r="S241" s="168"/>
      <c r="T241" s="171"/>
      <c r="U241" s="167"/>
      <c r="V241" s="168"/>
      <c r="W241" s="167"/>
      <c r="X241" s="167"/>
      <c r="Y241" s="167"/>
      <c r="Z241" s="167"/>
      <c r="AA241" s="172"/>
      <c r="AB241" s="172"/>
      <c r="AC241" s="2"/>
      <c r="AD241" s="2"/>
      <c r="AE241" s="2"/>
      <c r="AF241" s="2"/>
      <c r="AG241" s="2"/>
      <c r="AH241" s="2"/>
    </row>
    <row r="242" spans="1:34" ht="30" hidden="1" customHeight="1">
      <c r="A242" s="165"/>
      <c r="B242" s="307"/>
      <c r="C242" s="261"/>
      <c r="D242" s="166"/>
      <c r="E242" s="166"/>
      <c r="F242" s="167"/>
      <c r="G242" s="168"/>
      <c r="H242" s="167"/>
      <c r="I242" s="169"/>
      <c r="J242" s="168"/>
      <c r="K242" s="167"/>
      <c r="L242" s="170"/>
      <c r="M242" s="168"/>
      <c r="N242" s="171"/>
      <c r="O242" s="170"/>
      <c r="P242" s="168"/>
      <c r="Q242" s="171"/>
      <c r="R242" s="170"/>
      <c r="S242" s="168"/>
      <c r="T242" s="171"/>
      <c r="U242" s="167"/>
      <c r="V242" s="168"/>
      <c r="W242" s="167"/>
      <c r="X242" s="167"/>
      <c r="Y242" s="167"/>
      <c r="Z242" s="167"/>
      <c r="AA242" s="172"/>
      <c r="AB242" s="172"/>
      <c r="AC242" s="2"/>
      <c r="AD242" s="2"/>
      <c r="AE242" s="2"/>
      <c r="AF242" s="2"/>
      <c r="AG242" s="2"/>
      <c r="AH242" s="2"/>
    </row>
    <row r="243" spans="1:34" ht="30" hidden="1" customHeight="1">
      <c r="A243" s="165"/>
      <c r="B243" s="307"/>
      <c r="C243" s="261"/>
      <c r="D243" s="166"/>
      <c r="E243" s="166"/>
      <c r="F243" s="167"/>
      <c r="G243" s="168"/>
      <c r="H243" s="167"/>
      <c r="I243" s="169"/>
      <c r="J243" s="168"/>
      <c r="K243" s="167"/>
      <c r="L243" s="170"/>
      <c r="M243" s="168"/>
      <c r="N243" s="171"/>
      <c r="O243" s="170"/>
      <c r="P243" s="168"/>
      <c r="Q243" s="171"/>
      <c r="R243" s="170"/>
      <c r="S243" s="168"/>
      <c r="T243" s="171"/>
      <c r="U243" s="167"/>
      <c r="V243" s="168"/>
      <c r="W243" s="167"/>
      <c r="X243" s="167"/>
      <c r="Y243" s="167"/>
      <c r="Z243" s="167"/>
      <c r="AA243" s="172"/>
      <c r="AB243" s="172"/>
      <c r="AC243" s="2"/>
      <c r="AD243" s="2"/>
      <c r="AE243" s="2"/>
      <c r="AF243" s="2"/>
      <c r="AG243" s="2"/>
      <c r="AH243" s="2"/>
    </row>
    <row r="244" spans="1:34" ht="30" hidden="1" customHeight="1">
      <c r="A244" s="165"/>
      <c r="B244" s="307"/>
      <c r="C244" s="261"/>
      <c r="D244" s="166"/>
      <c r="E244" s="166"/>
      <c r="F244" s="167"/>
      <c r="G244" s="168"/>
      <c r="H244" s="167"/>
      <c r="I244" s="169"/>
      <c r="J244" s="168"/>
      <c r="K244" s="167"/>
      <c r="L244" s="170"/>
      <c r="M244" s="168"/>
      <c r="N244" s="171"/>
      <c r="O244" s="170"/>
      <c r="P244" s="168"/>
      <c r="Q244" s="171"/>
      <c r="R244" s="170"/>
      <c r="S244" s="168"/>
      <c r="T244" s="171"/>
      <c r="U244" s="167"/>
      <c r="V244" s="168"/>
      <c r="W244" s="167"/>
      <c r="X244" s="167"/>
      <c r="Y244" s="167"/>
      <c r="Z244" s="167"/>
      <c r="AA244" s="172"/>
      <c r="AB244" s="172"/>
      <c r="AC244" s="2"/>
      <c r="AD244" s="2"/>
      <c r="AE244" s="2"/>
      <c r="AF244" s="2"/>
      <c r="AG244" s="2"/>
      <c r="AH244" s="2"/>
    </row>
    <row r="245" spans="1:34" ht="30" hidden="1" customHeight="1">
      <c r="A245" s="165"/>
      <c r="B245" s="307"/>
      <c r="C245" s="261"/>
      <c r="D245" s="166"/>
      <c r="E245" s="166"/>
      <c r="F245" s="167"/>
      <c r="G245" s="168"/>
      <c r="H245" s="167"/>
      <c r="I245" s="169"/>
      <c r="J245" s="168"/>
      <c r="K245" s="167"/>
      <c r="L245" s="170"/>
      <c r="M245" s="168"/>
      <c r="N245" s="171"/>
      <c r="O245" s="170"/>
      <c r="P245" s="168"/>
      <c r="Q245" s="171"/>
      <c r="R245" s="170"/>
      <c r="S245" s="168"/>
      <c r="T245" s="171"/>
      <c r="U245" s="167"/>
      <c r="V245" s="168"/>
      <c r="W245" s="167"/>
      <c r="X245" s="167"/>
      <c r="Y245" s="167"/>
      <c r="Z245" s="167"/>
      <c r="AA245" s="172"/>
      <c r="AB245" s="172"/>
      <c r="AC245" s="2"/>
      <c r="AD245" s="2"/>
      <c r="AE245" s="2"/>
      <c r="AF245" s="2"/>
      <c r="AG245" s="2"/>
      <c r="AH245" s="2"/>
    </row>
    <row r="246" spans="1:34" ht="30" hidden="1" customHeight="1">
      <c r="A246" s="165"/>
      <c r="B246" s="307"/>
      <c r="C246" s="261"/>
      <c r="D246" s="166"/>
      <c r="E246" s="166"/>
      <c r="F246" s="167"/>
      <c r="G246" s="168"/>
      <c r="H246" s="167"/>
      <c r="I246" s="169"/>
      <c r="J246" s="168"/>
      <c r="K246" s="167"/>
      <c r="L246" s="170"/>
      <c r="M246" s="168"/>
      <c r="N246" s="171"/>
      <c r="O246" s="170"/>
      <c r="P246" s="168"/>
      <c r="Q246" s="171"/>
      <c r="R246" s="170"/>
      <c r="S246" s="168"/>
      <c r="T246" s="171"/>
      <c r="U246" s="167"/>
      <c r="V246" s="168"/>
      <c r="W246" s="167"/>
      <c r="X246" s="167"/>
      <c r="Y246" s="167"/>
      <c r="Z246" s="167"/>
      <c r="AA246" s="172"/>
      <c r="AB246" s="172"/>
      <c r="AC246" s="2"/>
      <c r="AD246" s="2"/>
      <c r="AE246" s="2"/>
      <c r="AF246" s="2"/>
      <c r="AG246" s="2"/>
      <c r="AH246" s="2"/>
    </row>
    <row r="247" spans="1:34" ht="30" hidden="1" customHeight="1">
      <c r="A247" s="165"/>
      <c r="B247" s="307"/>
      <c r="C247" s="261"/>
      <c r="D247" s="166"/>
      <c r="E247" s="166"/>
      <c r="F247" s="167"/>
      <c r="G247" s="168"/>
      <c r="H247" s="167"/>
      <c r="I247" s="169"/>
      <c r="J247" s="168"/>
      <c r="K247" s="167"/>
      <c r="L247" s="170"/>
      <c r="M247" s="168"/>
      <c r="N247" s="171"/>
      <c r="O247" s="170"/>
      <c r="P247" s="168"/>
      <c r="Q247" s="171"/>
      <c r="R247" s="170"/>
      <c r="S247" s="168"/>
      <c r="T247" s="171"/>
      <c r="U247" s="167"/>
      <c r="V247" s="168"/>
      <c r="W247" s="167"/>
      <c r="X247" s="167"/>
      <c r="Y247" s="167"/>
      <c r="Z247" s="167"/>
      <c r="AA247" s="172"/>
      <c r="AB247" s="172"/>
      <c r="AC247" s="2"/>
      <c r="AD247" s="2"/>
      <c r="AE247" s="2"/>
      <c r="AF247" s="2"/>
      <c r="AG247" s="2"/>
      <c r="AH247" s="2"/>
    </row>
    <row r="248" spans="1:34" ht="30" hidden="1" customHeight="1">
      <c r="A248" s="173"/>
      <c r="B248" s="2"/>
      <c r="C248" s="2"/>
      <c r="D248" s="174"/>
      <c r="E248" s="174"/>
      <c r="F248" s="2"/>
      <c r="G248" s="2"/>
      <c r="H248" s="2"/>
      <c r="I248" s="175"/>
      <c r="J248" s="91"/>
      <c r="K248" s="176"/>
      <c r="L248" s="96"/>
      <c r="M248" s="177"/>
      <c r="N248" s="96"/>
      <c r="O248" s="96"/>
      <c r="P248" s="96"/>
      <c r="Q248" s="96"/>
      <c r="R248" s="96"/>
      <c r="S248" s="177"/>
      <c r="T248" s="96"/>
      <c r="U248" s="2"/>
      <c r="V248" s="2"/>
      <c r="W248" s="2"/>
      <c r="X248" s="2"/>
      <c r="Y248" s="2"/>
      <c r="Z248" s="2"/>
      <c r="AA248" s="2"/>
      <c r="AB248" s="178"/>
      <c r="AC248" s="2"/>
      <c r="AD248" s="2"/>
      <c r="AE248" s="2"/>
      <c r="AF248" s="2"/>
      <c r="AG248" s="2"/>
      <c r="AH248" s="2"/>
    </row>
    <row r="249" spans="1:34" ht="30" hidden="1" customHeight="1">
      <c r="A249" s="173"/>
      <c r="B249" s="2"/>
      <c r="C249" s="2"/>
      <c r="D249" s="174"/>
      <c r="E249" s="174"/>
      <c r="F249" s="2"/>
      <c r="G249" s="2"/>
      <c r="H249" s="2"/>
      <c r="I249" s="175"/>
      <c r="J249" s="91"/>
      <c r="K249" s="176"/>
      <c r="L249" s="96"/>
      <c r="M249" s="177"/>
      <c r="N249" s="96"/>
      <c r="O249" s="96"/>
      <c r="P249" s="96"/>
      <c r="Q249" s="96"/>
      <c r="R249" s="96"/>
      <c r="S249" s="177"/>
      <c r="T249" s="96"/>
      <c r="U249" s="2"/>
      <c r="V249" s="2"/>
      <c r="W249" s="2"/>
      <c r="X249" s="2"/>
      <c r="Y249" s="2"/>
      <c r="Z249" s="2"/>
      <c r="AA249" s="2"/>
      <c r="AB249" s="178"/>
      <c r="AC249" s="2"/>
      <c r="AD249" s="2"/>
      <c r="AE249" s="2"/>
      <c r="AF249" s="2"/>
      <c r="AG249" s="2"/>
      <c r="AH249" s="2"/>
    </row>
    <row r="250" spans="1:34" ht="30" hidden="1" customHeight="1">
      <c r="A250" s="173"/>
      <c r="B250" s="2"/>
      <c r="C250" s="2"/>
      <c r="D250" s="174"/>
      <c r="E250" s="174"/>
      <c r="F250" s="2"/>
      <c r="G250" s="2"/>
      <c r="H250" s="2"/>
      <c r="I250" s="175"/>
      <c r="J250" s="91"/>
      <c r="K250" s="176"/>
      <c r="L250" s="96"/>
      <c r="M250" s="177"/>
      <c r="N250" s="96"/>
      <c r="O250" s="96"/>
      <c r="P250" s="96"/>
      <c r="Q250" s="96"/>
      <c r="R250" s="96"/>
      <c r="S250" s="177"/>
      <c r="T250" s="96"/>
      <c r="U250" s="2"/>
      <c r="V250" s="2"/>
      <c r="W250" s="2"/>
      <c r="X250" s="2"/>
      <c r="Y250" s="2"/>
      <c r="Z250" s="2"/>
      <c r="AA250" s="2"/>
      <c r="AB250" s="178"/>
      <c r="AC250" s="2"/>
      <c r="AD250" s="2"/>
      <c r="AE250" s="2"/>
      <c r="AF250" s="2"/>
      <c r="AG250" s="2"/>
      <c r="AH250" s="2"/>
    </row>
    <row r="251" spans="1:34" ht="30" hidden="1" customHeight="1">
      <c r="A251" s="173"/>
      <c r="B251" s="2"/>
      <c r="C251" s="2"/>
      <c r="D251" s="174"/>
      <c r="E251" s="174"/>
      <c r="F251" s="2"/>
      <c r="G251" s="2"/>
      <c r="H251" s="2"/>
      <c r="I251" s="175"/>
      <c r="J251" s="91"/>
      <c r="K251" s="176"/>
      <c r="L251" s="96"/>
      <c r="M251" s="177"/>
      <c r="N251" s="96"/>
      <c r="O251" s="96"/>
      <c r="P251" s="96"/>
      <c r="Q251" s="96"/>
      <c r="R251" s="96"/>
      <c r="S251" s="177"/>
      <c r="T251" s="96"/>
      <c r="U251" s="2"/>
      <c r="V251" s="2"/>
      <c r="W251" s="2"/>
      <c r="X251" s="2"/>
      <c r="Y251" s="2"/>
      <c r="Z251" s="2"/>
      <c r="AA251" s="2"/>
      <c r="AB251" s="178"/>
      <c r="AC251" s="2"/>
      <c r="AD251" s="2"/>
      <c r="AE251" s="2"/>
      <c r="AF251" s="2"/>
      <c r="AG251" s="2"/>
      <c r="AH251" s="2"/>
    </row>
    <row r="252" spans="1:34" ht="30" hidden="1" customHeight="1">
      <c r="A252" s="173"/>
      <c r="B252" s="2"/>
      <c r="C252" s="2"/>
      <c r="D252" s="174"/>
      <c r="E252" s="174"/>
      <c r="F252" s="2"/>
      <c r="G252" s="2"/>
      <c r="H252" s="2"/>
      <c r="I252" s="175"/>
      <c r="J252" s="91"/>
      <c r="K252" s="176"/>
      <c r="L252" s="96"/>
      <c r="M252" s="177"/>
      <c r="N252" s="96"/>
      <c r="O252" s="96"/>
      <c r="P252" s="96"/>
      <c r="Q252" s="96"/>
      <c r="R252" s="96"/>
      <c r="S252" s="177"/>
      <c r="T252" s="96"/>
      <c r="U252" s="2"/>
      <c r="V252" s="2"/>
      <c r="W252" s="2"/>
      <c r="X252" s="2"/>
      <c r="Y252" s="2"/>
      <c r="Z252" s="2"/>
      <c r="AA252" s="2"/>
      <c r="AB252" s="178"/>
      <c r="AC252" s="2"/>
      <c r="AD252" s="2"/>
      <c r="AE252" s="2"/>
      <c r="AF252" s="2"/>
      <c r="AG252" s="2"/>
      <c r="AH252" s="2"/>
    </row>
    <row r="253" spans="1:34" ht="30" hidden="1" customHeight="1">
      <c r="A253" s="173"/>
      <c r="B253" s="2"/>
      <c r="C253" s="2"/>
      <c r="D253" s="174"/>
      <c r="E253" s="174"/>
      <c r="F253" s="2"/>
      <c r="G253" s="2"/>
      <c r="H253" s="2"/>
      <c r="I253" s="175"/>
      <c r="J253" s="91"/>
      <c r="K253" s="176"/>
      <c r="L253" s="96"/>
      <c r="M253" s="177"/>
      <c r="N253" s="96"/>
      <c r="O253" s="96"/>
      <c r="P253" s="96"/>
      <c r="Q253" s="96"/>
      <c r="R253" s="96"/>
      <c r="S253" s="177"/>
      <c r="T253" s="96"/>
      <c r="U253" s="2"/>
      <c r="V253" s="2"/>
      <c r="W253" s="2"/>
      <c r="X253" s="2"/>
      <c r="Y253" s="2"/>
      <c r="Z253" s="2"/>
      <c r="AA253" s="2"/>
      <c r="AB253" s="178"/>
      <c r="AC253" s="2"/>
      <c r="AD253" s="2"/>
      <c r="AE253" s="2"/>
      <c r="AF253" s="2"/>
      <c r="AG253" s="2"/>
      <c r="AH253" s="2"/>
    </row>
    <row r="254" spans="1:34" ht="30" hidden="1" customHeight="1">
      <c r="A254" s="173"/>
      <c r="B254" s="2"/>
      <c r="C254" s="2"/>
      <c r="D254" s="174"/>
      <c r="E254" s="174"/>
      <c r="F254" s="2"/>
      <c r="G254" s="2"/>
      <c r="H254" s="2"/>
      <c r="I254" s="175"/>
      <c r="J254" s="91"/>
      <c r="K254" s="176"/>
      <c r="L254" s="96"/>
      <c r="M254" s="177"/>
      <c r="N254" s="96"/>
      <c r="O254" s="96"/>
      <c r="P254" s="96"/>
      <c r="Q254" s="96"/>
      <c r="R254" s="96"/>
      <c r="S254" s="177"/>
      <c r="T254" s="96"/>
      <c r="U254" s="2"/>
      <c r="V254" s="2"/>
      <c r="W254" s="2"/>
      <c r="X254" s="2"/>
      <c r="Y254" s="2"/>
      <c r="Z254" s="2"/>
      <c r="AA254" s="2"/>
      <c r="AB254" s="178"/>
      <c r="AC254" s="2"/>
      <c r="AD254" s="2"/>
      <c r="AE254" s="2"/>
      <c r="AF254" s="2"/>
      <c r="AG254" s="2"/>
      <c r="AH254" s="2"/>
    </row>
    <row r="255" spans="1:34" ht="30" hidden="1" customHeight="1">
      <c r="A255" s="173"/>
      <c r="B255" s="2"/>
      <c r="C255" s="2"/>
      <c r="D255" s="174"/>
      <c r="E255" s="174"/>
      <c r="F255" s="2"/>
      <c r="G255" s="2"/>
      <c r="H255" s="2"/>
      <c r="I255" s="175"/>
      <c r="J255" s="91"/>
      <c r="K255" s="176"/>
      <c r="L255" s="96"/>
      <c r="M255" s="177"/>
      <c r="N255" s="96"/>
      <c r="O255" s="96"/>
      <c r="P255" s="96"/>
      <c r="Q255" s="96"/>
      <c r="R255" s="96"/>
      <c r="S255" s="177"/>
      <c r="T255" s="96"/>
      <c r="U255" s="2"/>
      <c r="V255" s="2"/>
      <c r="W255" s="2"/>
      <c r="X255" s="2"/>
      <c r="Y255" s="2"/>
      <c r="Z255" s="2"/>
      <c r="AA255" s="2"/>
      <c r="AB255" s="178"/>
      <c r="AC255" s="2"/>
      <c r="AD255" s="2"/>
      <c r="AE255" s="2"/>
      <c r="AF255" s="2"/>
      <c r="AG255" s="2"/>
      <c r="AH255" s="2"/>
    </row>
    <row r="256" spans="1:34" ht="30" hidden="1" customHeight="1">
      <c r="A256" s="173"/>
      <c r="B256" s="2"/>
      <c r="C256" s="2"/>
      <c r="D256" s="174"/>
      <c r="E256" s="174"/>
      <c r="F256" s="2"/>
      <c r="G256" s="2"/>
      <c r="H256" s="2"/>
      <c r="I256" s="175"/>
      <c r="J256" s="91"/>
      <c r="K256" s="176"/>
      <c r="L256" s="96"/>
      <c r="M256" s="177"/>
      <c r="N256" s="96"/>
      <c r="O256" s="96"/>
      <c r="P256" s="96"/>
      <c r="Q256" s="96"/>
      <c r="R256" s="96"/>
      <c r="S256" s="177"/>
      <c r="T256" s="96"/>
      <c r="U256" s="2"/>
      <c r="V256" s="2"/>
      <c r="W256" s="2"/>
      <c r="X256" s="2"/>
      <c r="Y256" s="2"/>
      <c r="Z256" s="2"/>
      <c r="AA256" s="2"/>
      <c r="AB256" s="178"/>
      <c r="AC256" s="2"/>
      <c r="AD256" s="2"/>
      <c r="AE256" s="2"/>
      <c r="AF256" s="2"/>
      <c r="AG256" s="2"/>
      <c r="AH256" s="2"/>
    </row>
    <row r="257" spans="1:34"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row>
    <row r="258" spans="1:34"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row>
    <row r="259" spans="1:34"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row>
    <row r="260" spans="1:34"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row>
    <row r="261" spans="1:34"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row>
    <row r="262" spans="1:34"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row>
    <row r="263" spans="1:34"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row>
    <row r="264" spans="1:34"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row>
    <row r="265" spans="1:34"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row>
    <row r="266" spans="1:34"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row>
    <row r="267" spans="1:34"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row>
    <row r="268" spans="1:34"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row>
    <row r="269" spans="1:34"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row>
    <row r="270" spans="1:34"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row>
    <row r="271" spans="1:34"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row>
    <row r="272" spans="1:34"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row>
    <row r="273" spans="1:34"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row>
    <row r="274" spans="1:34"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row>
    <row r="275" spans="1:34"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row>
    <row r="276" spans="1:34"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row>
    <row r="277" spans="1:34"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row>
    <row r="278" spans="1:34"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row>
    <row r="279" spans="1:34"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row>
    <row r="280" spans="1:34"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row>
    <row r="281" spans="1:34"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row>
    <row r="282" spans="1:34"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row>
    <row r="283" spans="1:34"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row>
    <row r="284" spans="1:34"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row>
    <row r="285" spans="1:34"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row>
    <row r="286" spans="1:34"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row>
    <row r="287" spans="1:34"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row>
    <row r="288" spans="1:34"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row>
    <row r="289" spans="1:34"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row>
    <row r="290" spans="1:34"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row>
    <row r="291" spans="1:34"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row>
    <row r="292" spans="1:34"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row>
    <row r="293" spans="1:34"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row>
    <row r="294" spans="1:34"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row>
    <row r="295" spans="1:34"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row>
    <row r="296" spans="1:34"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row>
    <row r="297" spans="1:34"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row>
    <row r="298" spans="1:34"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row>
    <row r="299" spans="1:34"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row>
    <row r="300" spans="1:34"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row>
    <row r="301" spans="1:34"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row>
    <row r="302" spans="1:34"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row>
    <row r="303" spans="1:34"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row>
    <row r="304" spans="1:34"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row>
    <row r="305" spans="1:34"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row>
    <row r="306" spans="1:34"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row>
    <row r="307" spans="1:34"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row>
    <row r="308" spans="1:34"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row>
    <row r="309" spans="1:34"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row>
    <row r="310" spans="1:34"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row>
    <row r="311" spans="1:34"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row>
    <row r="312" spans="1:34"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row>
    <row r="313" spans="1:34"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row>
    <row r="314" spans="1:34"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row>
    <row r="315" spans="1:34"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row>
    <row r="316" spans="1:34"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row>
    <row r="317" spans="1:34"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row>
    <row r="318" spans="1:34"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row>
    <row r="319" spans="1:34"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row>
    <row r="320" spans="1:34"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row>
    <row r="321" spans="1:34"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row>
    <row r="322" spans="1:34"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row>
    <row r="323" spans="1:34"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row>
    <row r="324" spans="1:34"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row>
    <row r="325" spans="1:34"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row>
    <row r="326" spans="1:34"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row>
    <row r="327" spans="1:34"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row>
    <row r="328" spans="1:34"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row>
    <row r="329" spans="1:34"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row>
    <row r="330" spans="1:34"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row>
    <row r="331" spans="1:34"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row>
    <row r="332" spans="1:34"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row>
    <row r="333" spans="1:34"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row>
    <row r="334" spans="1:34"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row>
    <row r="335" spans="1:34"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row>
    <row r="336" spans="1:34"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row>
    <row r="337" spans="1:34"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row>
    <row r="338" spans="1:34"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row>
    <row r="339" spans="1:34"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row>
    <row r="340" spans="1:34"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row>
    <row r="341" spans="1:34"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row>
    <row r="342" spans="1:34"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row>
    <row r="343" spans="1:34"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row>
    <row r="344" spans="1:34"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row>
    <row r="345" spans="1:34"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row>
    <row r="346" spans="1:34"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row>
    <row r="347" spans="1:34"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row>
    <row r="348" spans="1:34"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row>
    <row r="349" spans="1:34"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row>
    <row r="350" spans="1:34"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row>
    <row r="351" spans="1:34"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row>
    <row r="352" spans="1:34"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row>
    <row r="353" spans="1:34"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row>
    <row r="354" spans="1:34"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row>
    <row r="355" spans="1:34"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row>
    <row r="356" spans="1:34"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row>
    <row r="357" spans="1:34"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row>
    <row r="358" spans="1:34"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row>
    <row r="359" spans="1:34"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row>
    <row r="360" spans="1:34"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row>
    <row r="361" spans="1:34"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row>
    <row r="362" spans="1:34"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row>
    <row r="363" spans="1:34"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row>
    <row r="364" spans="1:34"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row>
    <row r="365" spans="1:34"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row>
    <row r="366" spans="1:34"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row>
    <row r="367" spans="1:34"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row>
    <row r="368" spans="1:34"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row>
    <row r="369" spans="1:34"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row>
    <row r="370" spans="1:34"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row>
    <row r="371" spans="1:34"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row>
    <row r="372" spans="1:34"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row>
    <row r="373" spans="1:34"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row>
    <row r="374" spans="1:34"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row>
    <row r="375" spans="1:34"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row>
    <row r="376" spans="1:34"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row>
    <row r="377" spans="1:34"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row>
    <row r="378" spans="1:34"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row>
    <row r="379" spans="1:34"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row>
    <row r="380" spans="1:34"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row>
    <row r="381" spans="1:34"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row>
    <row r="382" spans="1:34"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row>
    <row r="383" spans="1:34"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row>
    <row r="384" spans="1:34"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row>
    <row r="385" spans="1:34"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row>
    <row r="386" spans="1:34"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row>
    <row r="387" spans="1:34"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row>
    <row r="388" spans="1:34"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row>
    <row r="389" spans="1:34"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row>
    <row r="390" spans="1:34"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row>
    <row r="391" spans="1:34"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row>
    <row r="392" spans="1:34"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row>
    <row r="393" spans="1:34"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row>
    <row r="394" spans="1:34"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row>
    <row r="395" spans="1:34"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row>
    <row r="396" spans="1:34"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row>
    <row r="397" spans="1:34"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row>
    <row r="398" spans="1:34"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row>
    <row r="399" spans="1:34"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row>
    <row r="400" spans="1:34"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row>
    <row r="401" spans="1:34"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row>
    <row r="402" spans="1:34"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row>
    <row r="403" spans="1:34"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row>
    <row r="404" spans="1:34"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row>
    <row r="405" spans="1:34"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row>
    <row r="406" spans="1:34"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row>
    <row r="407" spans="1:34"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row>
    <row r="408" spans="1:34"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row>
    <row r="409" spans="1:34"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row>
    <row r="410" spans="1:34"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row>
    <row r="411" spans="1:34"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row>
    <row r="412" spans="1:34"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row>
    <row r="413" spans="1:34"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row>
    <row r="414" spans="1:34"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row>
    <row r="415" spans="1:34"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row>
    <row r="416" spans="1:34"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row>
    <row r="417" spans="1:34"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row>
    <row r="418" spans="1:34"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row>
    <row r="419" spans="1:34"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row>
    <row r="420" spans="1:34"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row>
    <row r="421" spans="1:34"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row>
    <row r="422" spans="1:34"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row>
    <row r="423" spans="1:34"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row>
    <row r="424" spans="1:34"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row>
    <row r="425" spans="1:34"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row>
    <row r="426" spans="1:34"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row>
    <row r="427" spans="1:34"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row>
    <row r="428" spans="1:34"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row>
    <row r="429" spans="1:34"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row>
    <row r="430" spans="1:34"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row>
    <row r="431" spans="1:34"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row>
    <row r="432" spans="1:34"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row>
    <row r="433" spans="1:34"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row>
    <row r="434" spans="1:34"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row>
    <row r="435" spans="1:34"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row>
    <row r="436" spans="1:34"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row>
    <row r="437" spans="1:34"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row>
    <row r="438" spans="1:34"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row>
    <row r="439" spans="1:34"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row>
    <row r="440" spans="1:34"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row>
    <row r="441" spans="1:34"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row>
    <row r="442" spans="1:34"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row>
    <row r="443" spans="1:34"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row>
    <row r="444" spans="1:34"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row>
    <row r="445" spans="1:34"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row>
    <row r="446" spans="1:34"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row>
    <row r="447" spans="1:34"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row>
    <row r="448" spans="1:34"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row>
    <row r="449" spans="1:34"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row>
    <row r="450" spans="1:34"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row>
    <row r="451" spans="1:34"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row>
    <row r="452" spans="1:34"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row>
    <row r="453" spans="1:34"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row>
    <row r="454" spans="1:34"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row>
    <row r="455" spans="1:34"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row>
    <row r="456" spans="1:34"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row>
    <row r="457" spans="1:34"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row>
    <row r="458" spans="1:34"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row>
    <row r="459" spans="1:34"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row>
    <row r="460" spans="1:34"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row>
    <row r="461" spans="1:34"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row>
    <row r="462" spans="1:34"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row>
    <row r="463" spans="1:34"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row>
    <row r="464" spans="1:34"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row>
    <row r="465" spans="1:34"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row>
    <row r="466" spans="1:34"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row>
    <row r="467" spans="1:34"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row>
    <row r="468" spans="1:34"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row>
    <row r="469" spans="1:34"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row>
    <row r="470" spans="1:34"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row>
    <row r="471" spans="1:34"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row>
    <row r="472" spans="1:34"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row>
    <row r="473" spans="1:34"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row>
    <row r="474" spans="1:34"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row>
    <row r="475" spans="1:34"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row>
    <row r="476" spans="1:34"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row>
    <row r="477" spans="1:34"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row>
    <row r="478" spans="1:34"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row>
    <row r="479" spans="1:34"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row>
    <row r="480" spans="1:34"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row>
    <row r="481" spans="1:34"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row>
    <row r="482" spans="1:34"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row>
    <row r="483" spans="1:34"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row>
    <row r="484" spans="1:34"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row>
    <row r="485" spans="1:34"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row>
    <row r="486" spans="1:34"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row>
    <row r="487" spans="1:34"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row>
    <row r="488" spans="1:34"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row>
    <row r="489" spans="1:34"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row>
    <row r="490" spans="1:34"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row>
    <row r="491" spans="1:34"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row>
    <row r="492" spans="1:34"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row>
    <row r="493" spans="1:34"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row>
    <row r="494" spans="1:34"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row>
    <row r="495" spans="1:34"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row>
    <row r="496" spans="1:34"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row>
    <row r="497" spans="1:34"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row>
    <row r="498" spans="1:34"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row>
    <row r="499" spans="1:34"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row>
    <row r="500" spans="1:34"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row>
    <row r="501" spans="1:34"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row>
    <row r="502" spans="1:34"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row>
    <row r="503" spans="1:34"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row>
    <row r="504" spans="1:34"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row>
    <row r="505" spans="1:34"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row>
    <row r="506" spans="1:34"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row>
    <row r="507" spans="1:34"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row>
    <row r="508" spans="1:34"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row>
    <row r="509" spans="1:34"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row>
    <row r="510" spans="1:34"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row>
    <row r="511" spans="1:34"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row>
    <row r="512" spans="1:34"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row>
    <row r="513" spans="1:34"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row>
    <row r="514" spans="1:34"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row>
    <row r="515" spans="1:34"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row>
    <row r="516" spans="1:34"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row>
    <row r="517" spans="1:34"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row>
    <row r="518" spans="1:34"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row>
    <row r="519" spans="1:34"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row>
    <row r="520" spans="1:34"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row>
    <row r="521" spans="1:34"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row>
    <row r="522" spans="1:34"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row>
    <row r="523" spans="1:34"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row>
    <row r="524" spans="1:34"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row>
    <row r="525" spans="1:34"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row>
    <row r="526" spans="1:34"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row>
    <row r="527" spans="1:34"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row>
    <row r="528" spans="1:34"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row>
    <row r="529" spans="1:34"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row>
    <row r="530" spans="1:34"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row>
    <row r="531" spans="1:34"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row>
    <row r="532" spans="1:34"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row>
    <row r="533" spans="1:34"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row>
    <row r="534" spans="1:34"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row>
    <row r="535" spans="1:34"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row>
    <row r="536" spans="1:34"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row>
    <row r="537" spans="1:34"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row>
    <row r="538" spans="1:34"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row>
    <row r="539" spans="1:34"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row>
    <row r="540" spans="1:34"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row>
    <row r="541" spans="1:34"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row>
    <row r="542" spans="1:34"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row>
    <row r="543" spans="1:34"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row>
    <row r="544" spans="1:34"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row>
    <row r="545" spans="1:34"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row>
    <row r="546" spans="1:34"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row>
    <row r="547" spans="1:34"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row>
    <row r="548" spans="1:34"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row>
    <row r="549" spans="1:34"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row>
    <row r="550" spans="1:34"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row>
    <row r="551" spans="1:34"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row>
    <row r="552" spans="1:34"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row>
    <row r="553" spans="1:34"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row>
    <row r="554" spans="1:34"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row>
    <row r="555" spans="1:34"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row>
    <row r="556" spans="1:34"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row>
    <row r="557" spans="1:34"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row>
    <row r="558" spans="1:34"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row>
    <row r="559" spans="1:34"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row>
    <row r="560" spans="1:34"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row>
    <row r="561" spans="1:34"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row>
    <row r="562" spans="1:34"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row>
    <row r="563" spans="1:34"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row>
    <row r="564" spans="1:34"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row>
    <row r="565" spans="1:34"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row>
    <row r="566" spans="1:34"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row>
    <row r="567" spans="1:34"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row>
    <row r="568" spans="1:34"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row>
    <row r="569" spans="1:34"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row>
    <row r="570" spans="1:34"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row>
    <row r="571" spans="1:34"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row>
    <row r="572" spans="1:34"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row>
    <row r="573" spans="1:34"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row>
    <row r="574" spans="1:34"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row>
    <row r="575" spans="1:34"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row>
    <row r="576" spans="1:34"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row>
    <row r="577" spans="1:34"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row>
    <row r="578" spans="1:34"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row>
    <row r="579" spans="1:34"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row>
    <row r="580" spans="1:34"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row>
    <row r="581" spans="1:34"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row>
    <row r="582" spans="1:34"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row>
    <row r="583" spans="1:34"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row>
    <row r="584" spans="1:34"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row>
    <row r="585" spans="1:34"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row>
    <row r="586" spans="1:34"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row>
    <row r="587" spans="1:34"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row>
    <row r="588" spans="1:34"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row>
    <row r="589" spans="1:34"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row>
    <row r="590" spans="1:34"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row>
    <row r="591" spans="1:34"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row>
    <row r="592" spans="1:34"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row>
    <row r="593" spans="1:34"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row>
    <row r="594" spans="1:34"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row>
    <row r="595" spans="1:34"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row>
    <row r="596" spans="1:34"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row>
    <row r="597" spans="1:34"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row>
    <row r="598" spans="1:34"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row>
    <row r="599" spans="1:34"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row>
    <row r="600" spans="1:34"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row>
    <row r="601" spans="1:34"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row>
    <row r="602" spans="1:34"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row>
    <row r="603" spans="1:34"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row>
    <row r="604" spans="1:34"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row>
    <row r="605" spans="1:34"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row>
    <row r="606" spans="1:34"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row>
    <row r="607" spans="1:34"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row>
    <row r="608" spans="1:34"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row>
    <row r="609" spans="1:34"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row>
    <row r="610" spans="1:34"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row>
    <row r="611" spans="1:34"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row>
    <row r="612" spans="1:34"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row>
    <row r="613" spans="1:34"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row>
    <row r="614" spans="1:34"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row>
    <row r="615" spans="1:34"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row>
    <row r="616" spans="1:34"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row>
    <row r="617" spans="1:34"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row>
    <row r="618" spans="1:34"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row>
    <row r="619" spans="1:34"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row>
    <row r="620" spans="1:34"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row>
    <row r="621" spans="1:34"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row>
    <row r="622" spans="1:34"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row>
    <row r="623" spans="1:34"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row>
    <row r="624" spans="1:34"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row>
    <row r="625" spans="1:34"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row>
    <row r="626" spans="1:34"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row>
    <row r="627" spans="1:34"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row>
    <row r="628" spans="1:34"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row>
    <row r="629" spans="1:34"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row>
    <row r="630" spans="1:34"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row>
    <row r="631" spans="1:34"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row>
    <row r="632" spans="1:34"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row>
    <row r="633" spans="1:34"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row>
    <row r="634" spans="1:34"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row>
    <row r="635" spans="1:34"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row>
    <row r="636" spans="1:34"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row>
    <row r="637" spans="1:34"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row>
    <row r="638" spans="1:34"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row>
    <row r="639" spans="1:34"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row>
    <row r="640" spans="1:34"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row>
    <row r="641" spans="1:34"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row>
    <row r="642" spans="1:34"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row>
    <row r="643" spans="1:34"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row>
    <row r="644" spans="1:34"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row>
    <row r="645" spans="1:34"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row>
    <row r="646" spans="1:34"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row>
    <row r="647" spans="1:34"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row>
    <row r="648" spans="1:34"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row>
    <row r="649" spans="1:34"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row>
    <row r="650" spans="1:34"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row>
    <row r="651" spans="1:34"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row>
    <row r="652" spans="1:34"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row>
    <row r="653" spans="1:34"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row>
    <row r="654" spans="1:34"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row>
    <row r="655" spans="1:34"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row>
    <row r="656" spans="1:34"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row>
    <row r="657" spans="1:34"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row>
    <row r="658" spans="1:34"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row>
    <row r="659" spans="1:34"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row>
    <row r="660" spans="1:34"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row>
    <row r="661" spans="1:34"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row>
    <row r="662" spans="1:34"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row>
    <row r="663" spans="1:34"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row>
    <row r="664" spans="1:34"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row>
    <row r="665" spans="1:34"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row>
    <row r="666" spans="1:34"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row>
    <row r="667" spans="1:34"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row>
    <row r="668" spans="1:34"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row>
    <row r="669" spans="1:34"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row>
    <row r="670" spans="1:34"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row>
    <row r="671" spans="1:34"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row>
    <row r="672" spans="1:34"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row>
    <row r="673" spans="1:34"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row>
    <row r="674" spans="1:34"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row>
    <row r="675" spans="1:34"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row>
    <row r="676" spans="1:34"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row>
    <row r="677" spans="1:34"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row>
    <row r="678" spans="1:34"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row>
    <row r="679" spans="1:34"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row>
    <row r="680" spans="1:34"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row>
    <row r="681" spans="1:34"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row>
    <row r="682" spans="1:34"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row>
    <row r="683" spans="1:34"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row>
    <row r="684" spans="1:34"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row>
    <row r="685" spans="1:34"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row>
    <row r="686" spans="1:34"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row>
    <row r="687" spans="1:34"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row>
    <row r="688" spans="1:34"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row>
    <row r="689" spans="1:34"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row>
    <row r="690" spans="1:34"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row>
    <row r="691" spans="1:34"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row>
    <row r="692" spans="1:34"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row>
    <row r="693" spans="1:34"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row>
    <row r="694" spans="1:34"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row>
    <row r="695" spans="1:34"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row>
    <row r="696" spans="1:34"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row>
    <row r="697" spans="1:34"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row>
    <row r="698" spans="1:34"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row>
    <row r="699" spans="1:34"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row>
    <row r="700" spans="1:34"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row>
    <row r="701" spans="1:34"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row>
    <row r="702" spans="1:34"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row>
    <row r="703" spans="1:34"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row>
    <row r="704" spans="1:34"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row>
    <row r="705" spans="1:34"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row>
    <row r="706" spans="1:34"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row>
    <row r="707" spans="1:34"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row>
    <row r="708" spans="1:34"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row>
    <row r="709" spans="1:34"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row>
    <row r="710" spans="1:34"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row>
    <row r="711" spans="1:34"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row>
    <row r="712" spans="1:34"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row>
    <row r="713" spans="1:34"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row>
    <row r="714" spans="1:34"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row>
    <row r="715" spans="1:34"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row>
    <row r="716" spans="1:34"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row>
    <row r="717" spans="1:34"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row>
    <row r="718" spans="1:34"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row>
    <row r="719" spans="1:34"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row>
    <row r="720" spans="1:34"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row>
    <row r="721" spans="1:34"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row>
    <row r="722" spans="1:34"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row>
    <row r="723" spans="1:34"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row>
    <row r="724" spans="1:34"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row>
    <row r="725" spans="1:34"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row>
    <row r="726" spans="1:34"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row>
    <row r="727" spans="1:34"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row>
    <row r="728" spans="1:34"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row>
    <row r="729" spans="1:34"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row>
    <row r="730" spans="1:34"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row>
    <row r="731" spans="1:34"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row>
    <row r="732" spans="1:34"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row>
    <row r="733" spans="1:34"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row>
    <row r="734" spans="1:34"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row>
    <row r="735" spans="1:34"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row>
    <row r="736" spans="1:34"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row>
    <row r="737" spans="1:34"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row>
    <row r="738" spans="1:34"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row>
    <row r="739" spans="1:34"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row>
    <row r="740" spans="1:34"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row>
    <row r="741" spans="1:34"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row>
    <row r="742" spans="1:34"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row>
    <row r="743" spans="1:34"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row>
    <row r="744" spans="1:34"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row>
    <row r="745" spans="1:34"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row>
    <row r="746" spans="1:34"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row>
    <row r="747" spans="1:34"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row>
    <row r="748" spans="1:34"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row>
    <row r="749" spans="1:34"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row>
    <row r="750" spans="1:34"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row>
    <row r="751" spans="1:34"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row>
    <row r="752" spans="1:34"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row>
    <row r="753" spans="1:34"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row>
    <row r="754" spans="1:34"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row>
    <row r="755" spans="1:34"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row>
    <row r="756" spans="1:34"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row>
    <row r="757" spans="1:34"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row>
    <row r="758" spans="1:34"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row>
    <row r="759" spans="1:34"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row>
    <row r="760" spans="1:34"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row>
    <row r="761" spans="1:34"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row>
    <row r="762" spans="1:34"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row>
    <row r="763" spans="1:34"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row>
    <row r="764" spans="1:34"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row>
    <row r="765" spans="1:34"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row>
    <row r="766" spans="1:34"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row>
    <row r="767" spans="1:34"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row>
    <row r="768" spans="1:34"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row>
    <row r="769" spans="1:34"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row>
    <row r="770" spans="1:34"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row>
    <row r="771" spans="1:34"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row>
    <row r="772" spans="1:34"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row>
    <row r="773" spans="1:34"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row>
    <row r="774" spans="1:34"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row>
    <row r="775" spans="1:34"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row>
    <row r="776" spans="1:34"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row>
    <row r="777" spans="1:34"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row>
    <row r="778" spans="1:34"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row>
    <row r="779" spans="1:34"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row>
    <row r="780" spans="1:34"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row>
    <row r="781" spans="1:34"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row>
    <row r="782" spans="1:34"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row>
    <row r="783" spans="1:34"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row>
    <row r="784" spans="1:34"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row>
    <row r="785" spans="1:34"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row>
    <row r="786" spans="1:34"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row>
    <row r="787" spans="1:34"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row>
    <row r="788" spans="1:34"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row>
    <row r="789" spans="1:34"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row>
    <row r="790" spans="1:34"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row>
    <row r="791" spans="1:34"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row>
    <row r="792" spans="1:34"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row>
    <row r="793" spans="1:34"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row>
    <row r="794" spans="1:34"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row>
    <row r="795" spans="1:34"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row>
    <row r="796" spans="1:34"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row>
    <row r="797" spans="1:34"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row>
    <row r="798" spans="1:34"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row>
    <row r="799" spans="1:34"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row>
    <row r="800" spans="1:34"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row>
    <row r="801" spans="1:34"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row>
    <row r="802" spans="1:34"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row>
    <row r="803" spans="1:34"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row>
    <row r="804" spans="1:34"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row>
    <row r="805" spans="1:34"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row>
    <row r="806" spans="1:34"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row>
    <row r="807" spans="1:34"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row>
    <row r="808" spans="1:34"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row>
    <row r="809" spans="1:34"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row>
    <row r="810" spans="1:34"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row>
    <row r="811" spans="1:34"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row>
    <row r="812" spans="1:34"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row>
    <row r="813" spans="1:34"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row>
    <row r="814" spans="1:34"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row>
    <row r="815" spans="1:34"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row>
    <row r="816" spans="1:34"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row>
    <row r="817" spans="1:34"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row>
    <row r="818" spans="1:34"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row>
    <row r="819" spans="1:34"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row>
    <row r="820" spans="1:34"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row>
    <row r="821" spans="1:34"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row>
    <row r="822" spans="1:34"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row>
    <row r="823" spans="1:34"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row>
    <row r="824" spans="1:34"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row>
    <row r="825" spans="1:34"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row>
    <row r="826" spans="1:34"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row>
    <row r="827" spans="1:34"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row>
    <row r="828" spans="1:34"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row>
    <row r="829" spans="1:34"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row>
    <row r="830" spans="1:34"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row>
    <row r="831" spans="1:34"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row>
    <row r="832" spans="1:34"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row>
    <row r="833" spans="1:34"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row>
    <row r="834" spans="1:34"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row>
    <row r="835" spans="1:34"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row>
    <row r="836" spans="1:34"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row>
    <row r="837" spans="1:34"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row>
    <row r="838" spans="1:34"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row>
    <row r="839" spans="1:34"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row>
    <row r="840" spans="1:34"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row>
    <row r="841" spans="1:34"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row>
    <row r="842" spans="1:34"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row>
    <row r="843" spans="1:34"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row>
    <row r="844" spans="1:34"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row>
    <row r="845" spans="1:34"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row>
    <row r="846" spans="1:34"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row>
    <row r="847" spans="1:34"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row>
    <row r="848" spans="1:34"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row>
    <row r="849" spans="1:34"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row>
    <row r="850" spans="1:34"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row>
    <row r="851" spans="1:34"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row>
    <row r="852" spans="1:34"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row>
    <row r="853" spans="1:34"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row>
    <row r="854" spans="1:34"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row>
    <row r="855" spans="1:34"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row>
    <row r="856" spans="1:34"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row>
    <row r="857" spans="1:34"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row>
    <row r="858" spans="1:34"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row>
    <row r="859" spans="1:34"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row>
    <row r="860" spans="1:34"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row>
    <row r="861" spans="1:34"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row>
    <row r="862" spans="1:34"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row>
    <row r="863" spans="1:34"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row>
    <row r="864" spans="1:34"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row>
    <row r="865" spans="1:34"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row>
    <row r="866" spans="1:34"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row>
    <row r="867" spans="1:34"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row>
    <row r="868" spans="1:34"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row>
    <row r="869" spans="1:34"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row>
    <row r="870" spans="1:34"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row>
    <row r="871" spans="1:34"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row>
    <row r="872" spans="1:34"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row>
    <row r="873" spans="1:34"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row>
    <row r="874" spans="1:34"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row>
    <row r="875" spans="1:34"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row>
    <row r="876" spans="1:34"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row>
    <row r="877" spans="1:34"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row>
    <row r="878" spans="1:34"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row>
    <row r="879" spans="1:34"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row>
    <row r="880" spans="1:34"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row>
    <row r="881" spans="1:34"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row>
    <row r="882" spans="1:34"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row>
    <row r="883" spans="1:34"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row>
    <row r="884" spans="1:34"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row>
    <row r="885" spans="1:34"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row>
    <row r="886" spans="1:34"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row>
    <row r="887" spans="1:34"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row>
    <row r="888" spans="1:34"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row>
    <row r="889" spans="1:34"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row>
    <row r="890" spans="1:34"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row>
    <row r="891" spans="1:34"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row>
    <row r="892" spans="1:34"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row>
    <row r="893" spans="1:34"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row>
    <row r="894" spans="1:34"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row>
    <row r="895" spans="1:34"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row>
    <row r="896" spans="1:34"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row>
    <row r="897" spans="1:34"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row>
    <row r="898" spans="1:34"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row>
    <row r="899" spans="1:34"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row>
    <row r="900" spans="1:34"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row>
    <row r="901" spans="1:34"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row>
    <row r="902" spans="1:34"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row>
    <row r="903" spans="1:34"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row>
    <row r="904" spans="1:34"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row>
    <row r="905" spans="1:34"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row>
    <row r="906" spans="1:34"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row>
    <row r="907" spans="1:34"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row>
    <row r="908" spans="1:34"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row>
    <row r="909" spans="1:34"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row>
    <row r="910" spans="1:34"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row>
    <row r="911" spans="1:34"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row>
    <row r="912" spans="1:34"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row>
    <row r="913" spans="1:34"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row>
    <row r="914" spans="1:34"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row>
    <row r="915" spans="1:34"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row>
    <row r="916" spans="1:34"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row>
    <row r="917" spans="1:34"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row>
    <row r="918" spans="1:34"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row>
    <row r="919" spans="1:34"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row>
    <row r="920" spans="1:34"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row>
    <row r="921" spans="1:34"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row>
    <row r="922" spans="1:34"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row>
    <row r="923" spans="1:34"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row>
    <row r="924" spans="1:34"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row>
    <row r="925" spans="1:34"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row>
    <row r="926" spans="1:34"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row>
    <row r="927" spans="1:34"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row>
    <row r="928" spans="1:34"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row>
    <row r="929" spans="1:34"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row>
    <row r="930" spans="1:34"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row>
    <row r="931" spans="1:34"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row>
    <row r="932" spans="1:34"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row>
    <row r="933" spans="1:34"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row>
    <row r="934" spans="1:34"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row>
    <row r="935" spans="1:34"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row>
    <row r="936" spans="1:34"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row>
    <row r="937" spans="1:34"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row>
    <row r="938" spans="1:34"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row>
    <row r="939" spans="1:34"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row>
    <row r="940" spans="1:34"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row>
    <row r="941" spans="1:34"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row>
    <row r="942" spans="1:34"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row>
    <row r="943" spans="1:34"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row>
    <row r="944" spans="1:34"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row>
    <row r="945" spans="1:34"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row>
    <row r="946" spans="1:34"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row>
    <row r="947" spans="1:34"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row>
    <row r="948" spans="1:34"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row>
    <row r="949" spans="1:34"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row>
    <row r="950" spans="1:34"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row>
    <row r="951" spans="1:34"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row>
    <row r="952" spans="1:34"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row>
    <row r="953" spans="1:34"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row>
    <row r="954" spans="1:34"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row>
    <row r="955" spans="1:34"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row>
    <row r="956" spans="1:34"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row>
    <row r="957" spans="1:34"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row>
    <row r="958" spans="1:34"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row>
    <row r="959" spans="1:34"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row>
    <row r="960" spans="1:34"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row>
    <row r="961" spans="1:34"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row>
    <row r="962" spans="1:34"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row>
    <row r="963" spans="1:34"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row>
    <row r="964" spans="1:34"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row>
    <row r="965" spans="1:34"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row>
    <row r="966" spans="1:34"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row>
    <row r="967" spans="1:34"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row>
    <row r="968" spans="1:34"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row>
    <row r="969" spans="1:34"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row>
    <row r="970" spans="1:34"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row>
    <row r="971" spans="1:34"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row>
    <row r="972" spans="1:34"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row>
    <row r="973" spans="1:34"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row>
    <row r="974" spans="1:34"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row>
    <row r="975" spans="1:34"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row>
    <row r="976" spans="1:34"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row>
    <row r="977" spans="1:34"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row>
    <row r="978" spans="1:34"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row>
    <row r="979" spans="1:34"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row>
    <row r="980" spans="1:34"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row>
    <row r="981" spans="1:34"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row>
    <row r="982" spans="1:34"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row>
    <row r="983" spans="1:34"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row>
    <row r="984" spans="1:34"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row>
    <row r="985" spans="1:34"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row>
    <row r="986" spans="1:34"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row>
    <row r="987" spans="1:34"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row>
    <row r="988" spans="1:34"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row>
    <row r="989" spans="1:34"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row>
    <row r="990" spans="1:34"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row>
    <row r="991" spans="1:34"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row>
    <row r="992" spans="1:34"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row>
    <row r="993" spans="1:34"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row>
    <row r="994" spans="1:34"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row>
    <row r="995" spans="1:34"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row>
    <row r="996" spans="1:34"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row>
    <row r="997" spans="1:34"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row>
    <row r="998" spans="1:34"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row>
    <row r="999" spans="1:34"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row>
    <row r="1000" spans="1:34"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row>
  </sheetData>
  <mergeCells count="260">
    <mergeCell ref="AB1:AB14"/>
    <mergeCell ref="AA2:AA3"/>
    <mergeCell ref="F1:H1"/>
    <mergeCell ref="I1:K1"/>
    <mergeCell ref="L1:N1"/>
    <mergeCell ref="O1:Q1"/>
    <mergeCell ref="R1:T1"/>
    <mergeCell ref="U1:W1"/>
    <mergeCell ref="A4:AA4"/>
    <mergeCell ref="D1:E3"/>
    <mergeCell ref="F5:H5"/>
    <mergeCell ref="I5:K5"/>
    <mergeCell ref="L5:N5"/>
    <mergeCell ref="O5:Q5"/>
    <mergeCell ref="R5:T5"/>
    <mergeCell ref="U5:W5"/>
    <mergeCell ref="A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29:C29"/>
    <mergeCell ref="B30:C30"/>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B46:C46"/>
    <mergeCell ref="B54:C54"/>
    <mergeCell ref="B55:C55"/>
    <mergeCell ref="A56:C56"/>
    <mergeCell ref="D56:AA56"/>
    <mergeCell ref="A57:AB57"/>
    <mergeCell ref="B47:C47"/>
    <mergeCell ref="B48:C48"/>
    <mergeCell ref="B49:C49"/>
    <mergeCell ref="B50:C50"/>
    <mergeCell ref="B51:C51"/>
    <mergeCell ref="B52:C52"/>
    <mergeCell ref="B53:C53"/>
    <mergeCell ref="B58:C58"/>
    <mergeCell ref="B59:C59"/>
    <mergeCell ref="B60:C60"/>
    <mergeCell ref="B61:C61"/>
    <mergeCell ref="B62:C62"/>
    <mergeCell ref="B63:C63"/>
    <mergeCell ref="B64:C64"/>
    <mergeCell ref="B65:C65"/>
    <mergeCell ref="B66:C66"/>
    <mergeCell ref="B67:C67"/>
    <mergeCell ref="B68:C68"/>
    <mergeCell ref="B69:C69"/>
    <mergeCell ref="B70:C70"/>
    <mergeCell ref="B71:C71"/>
    <mergeCell ref="B72:C72"/>
    <mergeCell ref="B73:C73"/>
    <mergeCell ref="B74:C74"/>
    <mergeCell ref="B75:C75"/>
    <mergeCell ref="B76:C76"/>
    <mergeCell ref="B77:C77"/>
    <mergeCell ref="B78:C78"/>
    <mergeCell ref="B79:C79"/>
    <mergeCell ref="B80:C80"/>
    <mergeCell ref="B81:C81"/>
    <mergeCell ref="B82:C82"/>
    <mergeCell ref="B83:C83"/>
    <mergeCell ref="B84:C84"/>
    <mergeCell ref="B85:C85"/>
    <mergeCell ref="B86:C86"/>
    <mergeCell ref="B87:C87"/>
    <mergeCell ref="B88:C88"/>
    <mergeCell ref="B89:C89"/>
    <mergeCell ref="B90:C90"/>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05:C105"/>
    <mergeCell ref="B106:C106"/>
    <mergeCell ref="B107:C107"/>
    <mergeCell ref="B108:C108"/>
    <mergeCell ref="B109:C109"/>
    <mergeCell ref="B110:C110"/>
    <mergeCell ref="B111:C111"/>
    <mergeCell ref="B112:C112"/>
    <mergeCell ref="B113:C113"/>
    <mergeCell ref="B114:C114"/>
    <mergeCell ref="B115:C115"/>
    <mergeCell ref="B116:C116"/>
    <mergeCell ref="B117:C117"/>
    <mergeCell ref="B118:C118"/>
    <mergeCell ref="B119:C119"/>
    <mergeCell ref="B120:C120"/>
    <mergeCell ref="B121:C121"/>
    <mergeCell ref="B122:C122"/>
    <mergeCell ref="B123:C123"/>
    <mergeCell ref="B124:C124"/>
    <mergeCell ref="B125:C125"/>
    <mergeCell ref="B126:C126"/>
    <mergeCell ref="B127:C127"/>
    <mergeCell ref="B128:C128"/>
    <mergeCell ref="B129:C129"/>
    <mergeCell ref="B130:C130"/>
    <mergeCell ref="B131:C131"/>
    <mergeCell ref="B132:C132"/>
    <mergeCell ref="B133:C133"/>
    <mergeCell ref="B134:C134"/>
    <mergeCell ref="B135:C135"/>
    <mergeCell ref="B136:C136"/>
    <mergeCell ref="B137:C137"/>
    <mergeCell ref="B138:C138"/>
    <mergeCell ref="B139:C139"/>
    <mergeCell ref="B140:C140"/>
    <mergeCell ref="B141:C141"/>
    <mergeCell ref="B142:C142"/>
    <mergeCell ref="B143:C143"/>
    <mergeCell ref="B144:C144"/>
    <mergeCell ref="B145:C145"/>
    <mergeCell ref="B146:C146"/>
    <mergeCell ref="B147:C147"/>
    <mergeCell ref="B148:C148"/>
    <mergeCell ref="B149:C149"/>
    <mergeCell ref="B150:C150"/>
    <mergeCell ref="B151:C151"/>
    <mergeCell ref="B152:C152"/>
    <mergeCell ref="B153:C153"/>
    <mergeCell ref="B154:C154"/>
    <mergeCell ref="B155:C155"/>
    <mergeCell ref="B156:C156"/>
    <mergeCell ref="B157:C157"/>
    <mergeCell ref="B158:C158"/>
    <mergeCell ref="B159:C159"/>
    <mergeCell ref="B160:C160"/>
    <mergeCell ref="B161:C161"/>
    <mergeCell ref="B162:C162"/>
    <mergeCell ref="B163:C163"/>
    <mergeCell ref="B164:C164"/>
    <mergeCell ref="B165:C165"/>
    <mergeCell ref="B166:C166"/>
    <mergeCell ref="B167:C167"/>
    <mergeCell ref="B168:C168"/>
    <mergeCell ref="B169:C169"/>
    <mergeCell ref="B170:C170"/>
    <mergeCell ref="B171:C171"/>
    <mergeCell ref="B172:C172"/>
    <mergeCell ref="B173:C173"/>
    <mergeCell ref="B174:C174"/>
    <mergeCell ref="B175:C175"/>
    <mergeCell ref="B176:C176"/>
    <mergeCell ref="B226:C226"/>
    <mergeCell ref="B227:C227"/>
    <mergeCell ref="B228:C228"/>
    <mergeCell ref="B229:C229"/>
    <mergeCell ref="B230:C230"/>
    <mergeCell ref="B231:C231"/>
    <mergeCell ref="B232:C232"/>
    <mergeCell ref="B177:C177"/>
    <mergeCell ref="B178:C178"/>
    <mergeCell ref="B179:C179"/>
    <mergeCell ref="B180:C180"/>
    <mergeCell ref="B181:C181"/>
    <mergeCell ref="B182:C182"/>
    <mergeCell ref="B183:C183"/>
    <mergeCell ref="B184:C184"/>
    <mergeCell ref="B185:C185"/>
    <mergeCell ref="B186:C186"/>
    <mergeCell ref="B187:C187"/>
    <mergeCell ref="B188:C188"/>
    <mergeCell ref="B189:C189"/>
    <mergeCell ref="B190:C190"/>
    <mergeCell ref="B191:C191"/>
    <mergeCell ref="B240:C240"/>
    <mergeCell ref="B241:C241"/>
    <mergeCell ref="B242:C242"/>
    <mergeCell ref="B243:C243"/>
    <mergeCell ref="B244:C244"/>
    <mergeCell ref="B245:C245"/>
    <mergeCell ref="B246:C246"/>
    <mergeCell ref="B247:C247"/>
    <mergeCell ref="B233:C233"/>
    <mergeCell ref="B234:C234"/>
    <mergeCell ref="B235:C235"/>
    <mergeCell ref="B236:C236"/>
    <mergeCell ref="B237:C237"/>
    <mergeCell ref="B238:C238"/>
    <mergeCell ref="B239:C239"/>
    <mergeCell ref="B192:C192"/>
    <mergeCell ref="B193:C193"/>
    <mergeCell ref="B194:C194"/>
    <mergeCell ref="B195:C195"/>
    <mergeCell ref="B196:C196"/>
    <mergeCell ref="B197:C197"/>
    <mergeCell ref="B198:C198"/>
    <mergeCell ref="B199:C199"/>
    <mergeCell ref="B200:C200"/>
    <mergeCell ref="B201:C201"/>
    <mergeCell ref="B202:C202"/>
    <mergeCell ref="B203:C203"/>
    <mergeCell ref="B204:C204"/>
    <mergeCell ref="B205:C205"/>
    <mergeCell ref="B206:C206"/>
    <mergeCell ref="B207:C207"/>
    <mergeCell ref="B208:C208"/>
    <mergeCell ref="B209:C209"/>
    <mergeCell ref="B219:C219"/>
    <mergeCell ref="B220:C220"/>
    <mergeCell ref="B221:C221"/>
    <mergeCell ref="B222:C222"/>
    <mergeCell ref="B223:C223"/>
    <mergeCell ref="B224:C224"/>
    <mergeCell ref="B225:C225"/>
    <mergeCell ref="B210:C210"/>
    <mergeCell ref="B211:C211"/>
    <mergeCell ref="B212:C212"/>
    <mergeCell ref="B213:C213"/>
    <mergeCell ref="B214:C214"/>
    <mergeCell ref="B215:C215"/>
    <mergeCell ref="B216:C216"/>
    <mergeCell ref="B217:C217"/>
    <mergeCell ref="B218:C218"/>
  </mergeCells>
  <conditionalFormatting sqref="B6:C18">
    <cfRule type="cellIs" dxfId="136" priority="1" operator="equal">
      <formula>"perdido"</formula>
    </cfRule>
  </conditionalFormatting>
  <conditionalFormatting sqref="B6:C18">
    <cfRule type="cellIs" dxfId="135" priority="2" operator="equal">
      <formula>"empatado"</formula>
    </cfRule>
  </conditionalFormatting>
  <conditionalFormatting sqref="B6:C18">
    <cfRule type="cellIs" dxfId="134" priority="3" operator="equal">
      <formula>"ganado"</formula>
    </cfRule>
  </conditionalFormatting>
  <conditionalFormatting sqref="B6:C18">
    <cfRule type="cellIs" dxfId="133" priority="4" stopIfTrue="1" operator="equal">
      <formula>"won"</formula>
    </cfRule>
  </conditionalFormatting>
  <conditionalFormatting sqref="B6:C18">
    <cfRule type="cellIs" dxfId="132" priority="5" stopIfTrue="1" operator="equal">
      <formula>"lost"</formula>
    </cfRule>
  </conditionalFormatting>
  <conditionalFormatting sqref="B6:C18">
    <cfRule type="cellIs" dxfId="131" priority="6" stopIfTrue="1" operator="equal">
      <formula>"tied"</formula>
    </cfRule>
  </conditionalFormatting>
  <conditionalFormatting sqref="B19:C31">
    <cfRule type="cellIs" dxfId="130" priority="7" operator="equal">
      <formula>"perdido"</formula>
    </cfRule>
  </conditionalFormatting>
  <conditionalFormatting sqref="B19:C31">
    <cfRule type="cellIs" dxfId="129" priority="8" operator="equal">
      <formula>"empatado"</formula>
    </cfRule>
  </conditionalFormatting>
  <conditionalFormatting sqref="B19:C31">
    <cfRule type="cellIs" dxfId="128" priority="9" operator="equal">
      <formula>"ganado"</formula>
    </cfRule>
  </conditionalFormatting>
  <conditionalFormatting sqref="B19:C31">
    <cfRule type="cellIs" dxfId="127" priority="10" stopIfTrue="1" operator="equal">
      <formula>"won"</formula>
    </cfRule>
  </conditionalFormatting>
  <conditionalFormatting sqref="B19:C31">
    <cfRule type="cellIs" dxfId="126" priority="11" stopIfTrue="1" operator="equal">
      <formula>"lost"</formula>
    </cfRule>
  </conditionalFormatting>
  <conditionalFormatting sqref="B19:C31">
    <cfRule type="cellIs" dxfId="125" priority="12" stopIfTrue="1" operator="equal">
      <formula>"tied"</formula>
    </cfRule>
  </conditionalFormatting>
  <conditionalFormatting sqref="B32:C44">
    <cfRule type="cellIs" dxfId="124" priority="13" operator="equal">
      <formula>"perdido"</formula>
    </cfRule>
  </conditionalFormatting>
  <conditionalFormatting sqref="B32:C44">
    <cfRule type="cellIs" dxfId="123" priority="14" operator="equal">
      <formula>"empatado"</formula>
    </cfRule>
  </conditionalFormatting>
  <conditionalFormatting sqref="B32:C44">
    <cfRule type="cellIs" dxfId="122" priority="15" operator="equal">
      <formula>"ganado"</formula>
    </cfRule>
  </conditionalFormatting>
  <conditionalFormatting sqref="B32:C44">
    <cfRule type="cellIs" dxfId="121" priority="16" stopIfTrue="1" operator="equal">
      <formula>"won"</formula>
    </cfRule>
  </conditionalFormatting>
  <conditionalFormatting sqref="B32:C44">
    <cfRule type="cellIs" dxfId="120" priority="17" stopIfTrue="1" operator="equal">
      <formula>"lost"</formula>
    </cfRule>
  </conditionalFormatting>
  <conditionalFormatting sqref="B32:C44">
    <cfRule type="cellIs" dxfId="119" priority="18" stopIfTrue="1" operator="equal">
      <formula>"tied"</formula>
    </cfRule>
  </conditionalFormatting>
  <conditionalFormatting sqref="B45:C55">
    <cfRule type="cellIs" dxfId="118" priority="19" operator="equal">
      <formula>"perdido"</formula>
    </cfRule>
  </conditionalFormatting>
  <conditionalFormatting sqref="B45:C55">
    <cfRule type="cellIs" dxfId="117" priority="20" operator="equal">
      <formula>"empatado"</formula>
    </cfRule>
  </conditionalFormatting>
  <conditionalFormatting sqref="B45:C55">
    <cfRule type="cellIs" dxfId="116" priority="21" operator="equal">
      <formula>"ganado"</formula>
    </cfRule>
  </conditionalFormatting>
  <conditionalFormatting sqref="B45:C55">
    <cfRule type="cellIs" dxfId="115" priority="22" stopIfTrue="1" operator="equal">
      <formula>"won"</formula>
    </cfRule>
  </conditionalFormatting>
  <conditionalFormatting sqref="B45:C55">
    <cfRule type="cellIs" dxfId="114" priority="23" stopIfTrue="1" operator="equal">
      <formula>"lost"</formula>
    </cfRule>
  </conditionalFormatting>
  <conditionalFormatting sqref="B45:C55">
    <cfRule type="cellIs" dxfId="113" priority="24" stopIfTrue="1" operator="equal">
      <formula>"tied"</formula>
    </cfRule>
  </conditionalFormatting>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2">
        <x14:dataValidation type="list" allowBlank="1" showErrorMessage="1">
          <x14:formula1>
            <xm:f>Roster!$AI$69:$AI$71</xm:f>
          </x14:formula1>
          <xm:sqref>X6:X55</xm:sqref>
        </x14:dataValidation>
        <x14:dataValidation type="list" allowBlank="1" showErrorMessage="1">
          <x14:formula1>
            <xm:f>Roster!$BM$2:$BM$33</xm:f>
          </x14:formula1>
          <xm:sqref>E6:E55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000"/>
  <sheetViews>
    <sheetView workbookViewId="0">
      <selection activeCell="L19" sqref="L19:V19"/>
    </sheetView>
  </sheetViews>
  <sheetFormatPr defaultColWidth="14.42578125" defaultRowHeight="15" customHeight="1"/>
  <cols>
    <col min="1" max="1" width="2.85546875" customWidth="1"/>
    <col min="2" max="2" width="20" customWidth="1"/>
    <col min="3" max="37" width="5" customWidth="1"/>
    <col min="38" max="38" width="2.85546875" customWidth="1"/>
  </cols>
  <sheetData>
    <row r="1" spans="1:38" ht="24.75" customHeight="1">
      <c r="A1" s="287" t="str">
        <f>IF(Roster!J24="English","DEAD &amp; RETIRED PLAYERS",(IF(Roster!J24="Español","MUERTOS Y JUGADORES RETIRADOS",(IF(Roster!J24="Deutsch","TOTE &amp; PENSIONIERTE SPIELER",(IF(Roster!J24="Français","JOUEURS MORTS ET RETRAITÉS")))))))</f>
        <v>DEAD &amp; RETIRED PLAYERS</v>
      </c>
      <c r="B1" s="233"/>
      <c r="C1" s="233"/>
      <c r="D1" s="233"/>
      <c r="E1" s="233"/>
      <c r="F1" s="233"/>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c r="AF1" s="233"/>
      <c r="AG1" s="233"/>
      <c r="AH1" s="233"/>
      <c r="AI1" s="233"/>
      <c r="AJ1" s="233"/>
      <c r="AK1" s="234"/>
      <c r="AL1" s="32"/>
    </row>
    <row r="2" spans="1:38" ht="22.5" customHeight="1">
      <c r="A2" s="28" t="s">
        <v>62</v>
      </c>
      <c r="B2" s="28" t="str">
        <f>IF(Roster!J24="English","PLAYER NAME",(IF(Roster!J24="Español","NOMBRE JUGADOR",(IF(Roster!J24="Deutsch","NAME",(IF(Roster!J24="Français","NOM DU JOUEUR")))))))</f>
        <v>PLAYER NAME</v>
      </c>
      <c r="C2" s="287" t="str">
        <f>IF(Roster!J24="English","TYPE",(IF(Roster!J24="Español","TIPO",(IF(Roster!J24="Deutsch","POSITION",(IF(Roster!J24="Français","POSTE")))))))</f>
        <v>TYPE</v>
      </c>
      <c r="D2" s="233"/>
      <c r="E2" s="233"/>
      <c r="F2" s="234"/>
      <c r="G2" s="28" t="str">
        <f>IF(Roster!J24="English","MA",(IF(Roster!J24="Español","MO",(IF(Roster!J24="Deutsch","BE",(IF(Roster!J24="Français","M")))))))</f>
        <v>MA</v>
      </c>
      <c r="H2" s="28" t="str">
        <f>IF(Roster!J24="English","ST",(IF(Roster!J24="Español","FU",(IF(Roster!J24="Deutsch","ST",(IF(Roster!J24="Français","F")))))))</f>
        <v>ST</v>
      </c>
      <c r="I2" s="28" t="str">
        <f>IF(Roster!J24="English","AG",(IF(Roster!J24="Español","AG",(IF(Roster!J24="Deutsch","GE",(IF(Roster!J24="Français","AG")))))))</f>
        <v>AG</v>
      </c>
      <c r="J2" s="28" t="str">
        <f>IF(Roster!J24="English","PA",(IF(Roster!J24="Español","PA",(IF(Roster!J24="Deutsch","WG",(IF(Roster!J24="Français","CP")))))))</f>
        <v>PA</v>
      </c>
      <c r="K2" s="28" t="str">
        <f>IF(Roster!J24="English","AV",(IF(Roster!J24="Español","AR",(IF(Roster!J24="Deutsch","RW",(IF(Roster!J24="Français","AR")))))))</f>
        <v>AV</v>
      </c>
      <c r="L2" s="287" t="str">
        <f>IF(Roster!J24="English","SKILLS",(IF(Roster!J24="Español","HABILIDADES",(IF(Roster!J24="Deutsch","FERTIGKEITEN",(IF(Roster!J24="Français","COMPÉTENCES")))))))</f>
        <v>SKILLS</v>
      </c>
      <c r="M2" s="233"/>
      <c r="N2" s="233"/>
      <c r="O2" s="233"/>
      <c r="P2" s="233"/>
      <c r="Q2" s="233"/>
      <c r="R2" s="233"/>
      <c r="S2" s="233"/>
      <c r="T2" s="233"/>
      <c r="U2" s="233"/>
      <c r="V2" s="234"/>
      <c r="W2" s="30" t="str">
        <f>IF(Roster!J24="English","SPE",(IF(Roster!J24="Español","ESP",(IF(Roster!J24="Deutsch","SPE",(IF(Roster!J24="Français","SPE")))))))</f>
        <v>SPE</v>
      </c>
      <c r="X2" s="28" t="str">
        <f>IF(Roster!J24="English","CP",(IF(Roster!J24="Español","CP",(IF(Roster!J24="Deutsch","GP",(IF(Roster!J24="Français","REU")))))))</f>
        <v>CP</v>
      </c>
      <c r="Y2" s="28" t="str">
        <f>IF(Roster!J24="English","TD",(IF(Roster!J24="Español","TD",(IF(Roster!J24="Deutsch","TD",(IF(Roster!J24="Français","TD")))))))</f>
        <v>TD</v>
      </c>
      <c r="Z2" s="28" t="str">
        <f>IF(Roster!J24="English","DEF",(IF(Roster!J24="Español","DES",(IF(Roster!J24="Deutsch","AB",(IF(Roster!J24="Français","DET")))))))</f>
        <v>DEF</v>
      </c>
      <c r="AA2" s="28" t="str">
        <f>IF(Roster!J24="English","INT",(IF(Roster!J24="Español","INT",(IF(Roster!J24="Deutsch","INT",(IF(Roster!J24="Français","INT")))))))</f>
        <v>INT</v>
      </c>
      <c r="AB2" s="28" t="str">
        <f>IF(Roster!J24="English","BH",(IF(Roster!J24="Español","HL",(IF(Roster!J24="Deutsch","SV",(IF(Roster!J24="Français","COM")))))))</f>
        <v>BH</v>
      </c>
      <c r="AC2" s="28" t="str">
        <f>IF(Roster!J24="English","SI",(IF(Roster!J24="Español","HG",(IF(Roster!J24="Deutsch","BV",(IF(Roster!J24="Français","BS")))))))</f>
        <v>SI</v>
      </c>
      <c r="AD2" s="28" t="str">
        <f>IF(Roster!J24="English","KILL",(IF(Roster!J24="Español","RIP",(IF(Roster!J24="Deutsch","TOT",(IF(Roster!J24="Français","MORT")))))))</f>
        <v>KILL</v>
      </c>
      <c r="AE2" s="28" t="str">
        <f>IF(Roster!J24="English","MVP",(IF(Roster!J24="Español","MVP",(IF(Roster!J24="Deutsch","SDT",(IF(Roster!J24="Français","JdM")))))))</f>
        <v>MVP</v>
      </c>
      <c r="AF2" s="259" t="str">
        <f>IF(Roster!J24="English","Total SPP",(IF(Roster!J24="Español","SPP Totales",(IF(Roster!J24="Deutsch","Gesamte SPP",(IF(Roster!J24="Français","Total PSP")))))))</f>
        <v>Total SPP</v>
      </c>
      <c r="AG2" s="234"/>
      <c r="AH2" s="259" t="str">
        <f>IF(Roster!J24="English","Unspent SPP",(IF(Roster!J24="Español","SPP Sin gastar",(IF(Roster!J24="Deutsch","Verfügb. SPP",(IF(Roster!J24="Français","PSP restant")))))))</f>
        <v>Unspent SPP</v>
      </c>
      <c r="AI2" s="234"/>
      <c r="AJ2" s="287" t="str">
        <f>IF(Roster!J24="English","COST",(IF(Roster!J24="Español","PRECIO",(IF(Roster!J24="Deutsch","WERT",(IF(Roster!J24="Français","VALEUR")))))))</f>
        <v>COST</v>
      </c>
      <c r="AK2" s="234"/>
      <c r="AL2" s="304"/>
    </row>
    <row r="3" spans="1:38" ht="22.5" customHeight="1">
      <c r="A3" s="28">
        <v>1</v>
      </c>
      <c r="B3" s="49" t="s">
        <v>119</v>
      </c>
      <c r="C3" s="246" t="s">
        <v>113</v>
      </c>
      <c r="D3" s="233"/>
      <c r="E3" s="233"/>
      <c r="F3" s="234"/>
      <c r="G3" s="38"/>
      <c r="H3" s="38"/>
      <c r="I3" s="38"/>
      <c r="J3" s="38"/>
      <c r="K3" s="38"/>
      <c r="L3" s="257"/>
      <c r="M3" s="233"/>
      <c r="N3" s="233"/>
      <c r="O3" s="233"/>
      <c r="P3" s="233"/>
      <c r="Q3" s="233"/>
      <c r="R3" s="233"/>
      <c r="S3" s="233"/>
      <c r="T3" s="233"/>
      <c r="U3" s="233"/>
      <c r="V3" s="234"/>
      <c r="W3" s="39"/>
      <c r="X3" s="40"/>
      <c r="Y3" s="40"/>
      <c r="Z3" s="40"/>
      <c r="AA3" s="41"/>
      <c r="AB3" s="41"/>
      <c r="AC3" s="41">
        <v>1</v>
      </c>
      <c r="AD3" s="41"/>
      <c r="AE3" s="41"/>
      <c r="AF3" s="255">
        <v>2</v>
      </c>
      <c r="AG3" s="234"/>
      <c r="AH3" s="255">
        <v>2</v>
      </c>
      <c r="AI3" s="234"/>
      <c r="AJ3" s="336">
        <v>40000</v>
      </c>
      <c r="AK3" s="234"/>
      <c r="AL3" s="228"/>
    </row>
    <row r="4" spans="1:38" ht="22.5" customHeight="1">
      <c r="A4" s="28">
        <v>2</v>
      </c>
      <c r="B4" s="49"/>
      <c r="C4" s="246"/>
      <c r="D4" s="233"/>
      <c r="E4" s="233"/>
      <c r="F4" s="234"/>
      <c r="G4" s="38"/>
      <c r="H4" s="38"/>
      <c r="I4" s="38"/>
      <c r="J4" s="38"/>
      <c r="K4" s="38"/>
      <c r="L4" s="257"/>
      <c r="M4" s="233"/>
      <c r="N4" s="233"/>
      <c r="O4" s="233"/>
      <c r="P4" s="233"/>
      <c r="Q4" s="233"/>
      <c r="R4" s="233"/>
      <c r="S4" s="233"/>
      <c r="T4" s="233"/>
      <c r="U4" s="233"/>
      <c r="V4" s="234"/>
      <c r="W4" s="39"/>
      <c r="X4" s="40"/>
      <c r="Y4" s="40"/>
      <c r="Z4" s="40"/>
      <c r="AA4" s="41"/>
      <c r="AB4" s="41"/>
      <c r="AC4" s="41"/>
      <c r="AD4" s="41"/>
      <c r="AE4" s="41"/>
      <c r="AF4" s="255"/>
      <c r="AG4" s="234"/>
      <c r="AH4" s="255"/>
      <c r="AI4" s="234"/>
      <c r="AJ4" s="255"/>
      <c r="AK4" s="234"/>
      <c r="AL4" s="228"/>
    </row>
    <row r="5" spans="1:38" ht="22.5" customHeight="1">
      <c r="A5" s="28">
        <v>3</v>
      </c>
      <c r="B5" s="49"/>
      <c r="C5" s="246"/>
      <c r="D5" s="233"/>
      <c r="E5" s="233"/>
      <c r="F5" s="234"/>
      <c r="G5" s="38"/>
      <c r="H5" s="38"/>
      <c r="I5" s="38"/>
      <c r="J5" s="38"/>
      <c r="K5" s="38"/>
      <c r="L5" s="257"/>
      <c r="M5" s="233"/>
      <c r="N5" s="233"/>
      <c r="O5" s="233"/>
      <c r="P5" s="233"/>
      <c r="Q5" s="233"/>
      <c r="R5" s="233"/>
      <c r="S5" s="233"/>
      <c r="T5" s="233"/>
      <c r="U5" s="233"/>
      <c r="V5" s="234"/>
      <c r="W5" s="39"/>
      <c r="X5" s="40"/>
      <c r="Y5" s="40"/>
      <c r="Z5" s="40"/>
      <c r="AA5" s="41"/>
      <c r="AB5" s="41"/>
      <c r="AC5" s="41"/>
      <c r="AD5" s="41"/>
      <c r="AE5" s="41"/>
      <c r="AF5" s="255"/>
      <c r="AG5" s="234"/>
      <c r="AH5" s="255"/>
      <c r="AI5" s="234"/>
      <c r="AJ5" s="255"/>
      <c r="AK5" s="234"/>
      <c r="AL5" s="228"/>
    </row>
    <row r="6" spans="1:38" ht="22.5" customHeight="1">
      <c r="A6" s="28">
        <v>4</v>
      </c>
      <c r="B6" s="49"/>
      <c r="C6" s="246"/>
      <c r="D6" s="233"/>
      <c r="E6" s="233"/>
      <c r="F6" s="234"/>
      <c r="G6" s="38"/>
      <c r="H6" s="38"/>
      <c r="I6" s="38"/>
      <c r="J6" s="38"/>
      <c r="K6" s="38"/>
      <c r="L6" s="257"/>
      <c r="M6" s="233"/>
      <c r="N6" s="233"/>
      <c r="O6" s="233"/>
      <c r="P6" s="233"/>
      <c r="Q6" s="233"/>
      <c r="R6" s="233"/>
      <c r="S6" s="233"/>
      <c r="T6" s="233"/>
      <c r="U6" s="233"/>
      <c r="V6" s="234"/>
      <c r="W6" s="39"/>
      <c r="X6" s="40"/>
      <c r="Y6" s="40"/>
      <c r="Z6" s="40"/>
      <c r="AA6" s="41"/>
      <c r="AB6" s="41"/>
      <c r="AC6" s="41"/>
      <c r="AD6" s="41"/>
      <c r="AE6" s="41"/>
      <c r="AF6" s="255"/>
      <c r="AG6" s="234"/>
      <c r="AH6" s="255"/>
      <c r="AI6" s="234"/>
      <c r="AJ6" s="255"/>
      <c r="AK6" s="234"/>
      <c r="AL6" s="228"/>
    </row>
    <row r="7" spans="1:38" ht="22.5" customHeight="1">
      <c r="A7" s="28">
        <v>5</v>
      </c>
      <c r="B7" s="49"/>
      <c r="C7" s="246"/>
      <c r="D7" s="233"/>
      <c r="E7" s="233"/>
      <c r="F7" s="234"/>
      <c r="G7" s="38"/>
      <c r="H7" s="38"/>
      <c r="I7" s="38"/>
      <c r="J7" s="38"/>
      <c r="K7" s="38"/>
      <c r="L7" s="257"/>
      <c r="M7" s="233"/>
      <c r="N7" s="233"/>
      <c r="O7" s="233"/>
      <c r="P7" s="233"/>
      <c r="Q7" s="233"/>
      <c r="R7" s="233"/>
      <c r="S7" s="233"/>
      <c r="T7" s="233"/>
      <c r="U7" s="233"/>
      <c r="V7" s="234"/>
      <c r="W7" s="39"/>
      <c r="X7" s="40"/>
      <c r="Y7" s="40"/>
      <c r="Z7" s="40"/>
      <c r="AA7" s="41"/>
      <c r="AB7" s="41"/>
      <c r="AC7" s="41"/>
      <c r="AD7" s="41"/>
      <c r="AE7" s="41"/>
      <c r="AF7" s="255"/>
      <c r="AG7" s="234"/>
      <c r="AH7" s="255"/>
      <c r="AI7" s="234"/>
      <c r="AJ7" s="255"/>
      <c r="AK7" s="234"/>
      <c r="AL7" s="228"/>
    </row>
    <row r="8" spans="1:38" ht="22.5" customHeight="1">
      <c r="A8" s="28">
        <v>6</v>
      </c>
      <c r="B8" s="49"/>
      <c r="C8" s="246"/>
      <c r="D8" s="233"/>
      <c r="E8" s="233"/>
      <c r="F8" s="234"/>
      <c r="G8" s="38"/>
      <c r="H8" s="38"/>
      <c r="I8" s="38"/>
      <c r="J8" s="38"/>
      <c r="K8" s="38"/>
      <c r="L8" s="257"/>
      <c r="M8" s="233"/>
      <c r="N8" s="233"/>
      <c r="O8" s="233"/>
      <c r="P8" s="233"/>
      <c r="Q8" s="233"/>
      <c r="R8" s="233"/>
      <c r="S8" s="233"/>
      <c r="T8" s="233"/>
      <c r="U8" s="233"/>
      <c r="V8" s="234"/>
      <c r="W8" s="39"/>
      <c r="X8" s="40"/>
      <c r="Y8" s="40"/>
      <c r="Z8" s="40"/>
      <c r="AA8" s="41"/>
      <c r="AB8" s="41"/>
      <c r="AC8" s="41"/>
      <c r="AD8" s="41"/>
      <c r="AE8" s="41"/>
      <c r="AF8" s="255"/>
      <c r="AG8" s="234"/>
      <c r="AH8" s="255"/>
      <c r="AI8" s="234"/>
      <c r="AJ8" s="255"/>
      <c r="AK8" s="234"/>
      <c r="AL8" s="228"/>
    </row>
    <row r="9" spans="1:38" ht="22.5" customHeight="1">
      <c r="A9" s="28">
        <v>7</v>
      </c>
      <c r="B9" s="49"/>
      <c r="C9" s="246"/>
      <c r="D9" s="233"/>
      <c r="E9" s="233"/>
      <c r="F9" s="234"/>
      <c r="G9" s="38"/>
      <c r="H9" s="38"/>
      <c r="I9" s="38"/>
      <c r="J9" s="38"/>
      <c r="K9" s="38"/>
      <c r="L9" s="257"/>
      <c r="M9" s="233"/>
      <c r="N9" s="233"/>
      <c r="O9" s="233"/>
      <c r="P9" s="233"/>
      <c r="Q9" s="233"/>
      <c r="R9" s="233"/>
      <c r="S9" s="233"/>
      <c r="T9" s="233"/>
      <c r="U9" s="233"/>
      <c r="V9" s="234"/>
      <c r="W9" s="39"/>
      <c r="X9" s="40"/>
      <c r="Y9" s="40"/>
      <c r="Z9" s="40"/>
      <c r="AA9" s="41"/>
      <c r="AB9" s="41"/>
      <c r="AC9" s="41"/>
      <c r="AD9" s="41"/>
      <c r="AE9" s="41"/>
      <c r="AF9" s="255"/>
      <c r="AG9" s="234"/>
      <c r="AH9" s="255"/>
      <c r="AI9" s="234"/>
      <c r="AJ9" s="255"/>
      <c r="AK9" s="234"/>
      <c r="AL9" s="228"/>
    </row>
    <row r="10" spans="1:38" ht="22.5" customHeight="1">
      <c r="A10" s="28">
        <v>8</v>
      </c>
      <c r="B10" s="49"/>
      <c r="C10" s="246"/>
      <c r="D10" s="233"/>
      <c r="E10" s="233"/>
      <c r="F10" s="234"/>
      <c r="G10" s="38"/>
      <c r="H10" s="38"/>
      <c r="I10" s="38"/>
      <c r="J10" s="38"/>
      <c r="K10" s="38"/>
      <c r="L10" s="257"/>
      <c r="M10" s="233"/>
      <c r="N10" s="233"/>
      <c r="O10" s="233"/>
      <c r="P10" s="233"/>
      <c r="Q10" s="233"/>
      <c r="R10" s="233"/>
      <c r="S10" s="233"/>
      <c r="T10" s="233"/>
      <c r="U10" s="233"/>
      <c r="V10" s="234"/>
      <c r="W10" s="39"/>
      <c r="X10" s="40"/>
      <c r="Y10" s="40"/>
      <c r="Z10" s="40"/>
      <c r="AA10" s="41"/>
      <c r="AB10" s="41"/>
      <c r="AC10" s="41"/>
      <c r="AD10" s="41"/>
      <c r="AE10" s="41"/>
      <c r="AF10" s="255"/>
      <c r="AG10" s="234"/>
      <c r="AH10" s="255"/>
      <c r="AI10" s="234"/>
      <c r="AJ10" s="255"/>
      <c r="AK10" s="234"/>
      <c r="AL10" s="228"/>
    </row>
    <row r="11" spans="1:38" ht="22.5" customHeight="1">
      <c r="A11" s="28">
        <v>9</v>
      </c>
      <c r="B11" s="49"/>
      <c r="C11" s="246"/>
      <c r="D11" s="233"/>
      <c r="E11" s="233"/>
      <c r="F11" s="234"/>
      <c r="G11" s="38"/>
      <c r="H11" s="38"/>
      <c r="I11" s="38"/>
      <c r="J11" s="38"/>
      <c r="K11" s="38"/>
      <c r="L11" s="257"/>
      <c r="M11" s="233"/>
      <c r="N11" s="233"/>
      <c r="O11" s="233"/>
      <c r="P11" s="233"/>
      <c r="Q11" s="233"/>
      <c r="R11" s="233"/>
      <c r="S11" s="233"/>
      <c r="T11" s="233"/>
      <c r="U11" s="233"/>
      <c r="V11" s="234"/>
      <c r="W11" s="39"/>
      <c r="X11" s="40"/>
      <c r="Y11" s="40"/>
      <c r="Z11" s="40"/>
      <c r="AA11" s="41"/>
      <c r="AB11" s="41"/>
      <c r="AC11" s="41"/>
      <c r="AD11" s="41"/>
      <c r="AE11" s="41"/>
      <c r="AF11" s="255"/>
      <c r="AG11" s="234"/>
      <c r="AH11" s="255"/>
      <c r="AI11" s="234"/>
      <c r="AJ11" s="255"/>
      <c r="AK11" s="234"/>
      <c r="AL11" s="228"/>
    </row>
    <row r="12" spans="1:38" ht="22.5" customHeight="1">
      <c r="A12" s="28">
        <v>10</v>
      </c>
      <c r="B12" s="49"/>
      <c r="C12" s="246"/>
      <c r="D12" s="233"/>
      <c r="E12" s="233"/>
      <c r="F12" s="234"/>
      <c r="G12" s="38"/>
      <c r="H12" s="38"/>
      <c r="I12" s="38"/>
      <c r="J12" s="38"/>
      <c r="K12" s="38"/>
      <c r="L12" s="257"/>
      <c r="M12" s="233"/>
      <c r="N12" s="233"/>
      <c r="O12" s="233"/>
      <c r="P12" s="233"/>
      <c r="Q12" s="233"/>
      <c r="R12" s="233"/>
      <c r="S12" s="233"/>
      <c r="T12" s="233"/>
      <c r="U12" s="233"/>
      <c r="V12" s="234"/>
      <c r="W12" s="39"/>
      <c r="X12" s="40"/>
      <c r="Y12" s="40"/>
      <c r="Z12" s="40"/>
      <c r="AA12" s="41"/>
      <c r="AB12" s="41"/>
      <c r="AC12" s="41"/>
      <c r="AD12" s="41"/>
      <c r="AE12" s="41"/>
      <c r="AF12" s="255"/>
      <c r="AG12" s="234"/>
      <c r="AH12" s="255"/>
      <c r="AI12" s="234"/>
      <c r="AJ12" s="255"/>
      <c r="AK12" s="234"/>
      <c r="AL12" s="228"/>
    </row>
    <row r="13" spans="1:38" ht="22.5" customHeight="1">
      <c r="A13" s="28">
        <v>11</v>
      </c>
      <c r="B13" s="49"/>
      <c r="C13" s="246"/>
      <c r="D13" s="233"/>
      <c r="E13" s="233"/>
      <c r="F13" s="234"/>
      <c r="G13" s="38"/>
      <c r="H13" s="38"/>
      <c r="I13" s="38"/>
      <c r="J13" s="38"/>
      <c r="K13" s="38"/>
      <c r="L13" s="257"/>
      <c r="M13" s="233"/>
      <c r="N13" s="233"/>
      <c r="O13" s="233"/>
      <c r="P13" s="233"/>
      <c r="Q13" s="233"/>
      <c r="R13" s="233"/>
      <c r="S13" s="233"/>
      <c r="T13" s="233"/>
      <c r="U13" s="233"/>
      <c r="V13" s="234"/>
      <c r="W13" s="39"/>
      <c r="X13" s="40"/>
      <c r="Y13" s="40"/>
      <c r="Z13" s="40"/>
      <c r="AA13" s="41"/>
      <c r="AB13" s="41"/>
      <c r="AC13" s="41"/>
      <c r="AD13" s="41"/>
      <c r="AE13" s="41"/>
      <c r="AF13" s="255"/>
      <c r="AG13" s="234"/>
      <c r="AH13" s="255"/>
      <c r="AI13" s="234"/>
      <c r="AJ13" s="255"/>
      <c r="AK13" s="234"/>
      <c r="AL13" s="228"/>
    </row>
    <row r="14" spans="1:38" ht="22.5" customHeight="1">
      <c r="A14" s="28">
        <v>12</v>
      </c>
      <c r="B14" s="49"/>
      <c r="C14" s="246"/>
      <c r="D14" s="233"/>
      <c r="E14" s="233"/>
      <c r="F14" s="234"/>
      <c r="G14" s="38"/>
      <c r="H14" s="38"/>
      <c r="I14" s="38"/>
      <c r="J14" s="38"/>
      <c r="K14" s="38"/>
      <c r="L14" s="257"/>
      <c r="M14" s="233"/>
      <c r="N14" s="233"/>
      <c r="O14" s="233"/>
      <c r="P14" s="233"/>
      <c r="Q14" s="233"/>
      <c r="R14" s="233"/>
      <c r="S14" s="233"/>
      <c r="T14" s="233"/>
      <c r="U14" s="233"/>
      <c r="V14" s="234"/>
      <c r="W14" s="39"/>
      <c r="X14" s="40"/>
      <c r="Y14" s="40"/>
      <c r="Z14" s="40"/>
      <c r="AA14" s="41"/>
      <c r="AB14" s="41"/>
      <c r="AC14" s="41"/>
      <c r="AD14" s="41"/>
      <c r="AE14" s="41"/>
      <c r="AF14" s="255"/>
      <c r="AG14" s="234"/>
      <c r="AH14" s="255"/>
      <c r="AI14" s="234"/>
      <c r="AJ14" s="255"/>
      <c r="AK14" s="234"/>
      <c r="AL14" s="228"/>
    </row>
    <row r="15" spans="1:38" ht="22.5" customHeight="1">
      <c r="A15" s="28">
        <v>13</v>
      </c>
      <c r="B15" s="49"/>
      <c r="C15" s="246"/>
      <c r="D15" s="233"/>
      <c r="E15" s="233"/>
      <c r="F15" s="234"/>
      <c r="G15" s="38"/>
      <c r="H15" s="38"/>
      <c r="I15" s="38"/>
      <c r="J15" s="38"/>
      <c r="K15" s="38"/>
      <c r="L15" s="257"/>
      <c r="M15" s="233"/>
      <c r="N15" s="233"/>
      <c r="O15" s="233"/>
      <c r="P15" s="233"/>
      <c r="Q15" s="233"/>
      <c r="R15" s="233"/>
      <c r="S15" s="233"/>
      <c r="T15" s="233"/>
      <c r="U15" s="233"/>
      <c r="V15" s="234"/>
      <c r="W15" s="39"/>
      <c r="X15" s="40"/>
      <c r="Y15" s="40"/>
      <c r="Z15" s="40"/>
      <c r="AA15" s="41"/>
      <c r="AB15" s="41"/>
      <c r="AC15" s="41"/>
      <c r="AD15" s="41"/>
      <c r="AE15" s="41"/>
      <c r="AF15" s="255"/>
      <c r="AG15" s="234"/>
      <c r="AH15" s="255"/>
      <c r="AI15" s="234"/>
      <c r="AJ15" s="255"/>
      <c r="AK15" s="234"/>
      <c r="AL15" s="228"/>
    </row>
    <row r="16" spans="1:38" ht="22.5" customHeight="1">
      <c r="A16" s="28">
        <v>14</v>
      </c>
      <c r="B16" s="49"/>
      <c r="C16" s="246"/>
      <c r="D16" s="233"/>
      <c r="E16" s="233"/>
      <c r="F16" s="234"/>
      <c r="G16" s="38"/>
      <c r="H16" s="38"/>
      <c r="I16" s="38"/>
      <c r="J16" s="38"/>
      <c r="K16" s="38"/>
      <c r="L16" s="257"/>
      <c r="M16" s="233"/>
      <c r="N16" s="233"/>
      <c r="O16" s="233"/>
      <c r="P16" s="233"/>
      <c r="Q16" s="233"/>
      <c r="R16" s="233"/>
      <c r="S16" s="233"/>
      <c r="T16" s="233"/>
      <c r="U16" s="233"/>
      <c r="V16" s="234"/>
      <c r="W16" s="39"/>
      <c r="X16" s="40"/>
      <c r="Y16" s="40"/>
      <c r="Z16" s="40"/>
      <c r="AA16" s="41"/>
      <c r="AB16" s="41"/>
      <c r="AC16" s="41"/>
      <c r="AD16" s="41"/>
      <c r="AE16" s="41"/>
      <c r="AF16" s="255"/>
      <c r="AG16" s="234"/>
      <c r="AH16" s="255"/>
      <c r="AI16" s="234"/>
      <c r="AJ16" s="255"/>
      <c r="AK16" s="234"/>
      <c r="AL16" s="228"/>
    </row>
    <row r="17" spans="1:38" ht="22.5" customHeight="1">
      <c r="A17" s="28">
        <v>15</v>
      </c>
      <c r="B17" s="49"/>
      <c r="C17" s="246"/>
      <c r="D17" s="233"/>
      <c r="E17" s="233"/>
      <c r="F17" s="234"/>
      <c r="G17" s="38"/>
      <c r="H17" s="38"/>
      <c r="I17" s="38"/>
      <c r="J17" s="38"/>
      <c r="K17" s="38"/>
      <c r="L17" s="257"/>
      <c r="M17" s="233"/>
      <c r="N17" s="233"/>
      <c r="O17" s="233"/>
      <c r="P17" s="233"/>
      <c r="Q17" s="233"/>
      <c r="R17" s="233"/>
      <c r="S17" s="233"/>
      <c r="T17" s="233"/>
      <c r="U17" s="233"/>
      <c r="V17" s="234"/>
      <c r="W17" s="39"/>
      <c r="X17" s="40"/>
      <c r="Y17" s="40"/>
      <c r="Z17" s="40"/>
      <c r="AA17" s="41"/>
      <c r="AB17" s="41"/>
      <c r="AC17" s="41"/>
      <c r="AD17" s="41"/>
      <c r="AE17" s="41"/>
      <c r="AF17" s="255"/>
      <c r="AG17" s="234"/>
      <c r="AH17" s="255"/>
      <c r="AI17" s="234"/>
      <c r="AJ17" s="255"/>
      <c r="AK17" s="234"/>
      <c r="AL17" s="228"/>
    </row>
    <row r="18" spans="1:38" ht="22.5" customHeight="1">
      <c r="A18" s="28">
        <v>16</v>
      </c>
      <c r="B18" s="49"/>
      <c r="C18" s="246"/>
      <c r="D18" s="233"/>
      <c r="E18" s="233"/>
      <c r="F18" s="234"/>
      <c r="G18" s="38">
        <f t="shared" ref="G18:H18" si="0">IFERROR(#REF!,0)</f>
        <v>0</v>
      </c>
      <c r="H18" s="38">
        <f t="shared" si="0"/>
        <v>0</v>
      </c>
      <c r="I18" s="38">
        <f t="shared" ref="I18:K18" si="1">IFERROR(#REF!&amp;"+",0)</f>
        <v>0</v>
      </c>
      <c r="J18" s="38">
        <f t="shared" si="1"/>
        <v>0</v>
      </c>
      <c r="K18" s="38">
        <f t="shared" si="1"/>
        <v>0</v>
      </c>
      <c r="L18" s="257" t="str">
        <f>IFERROR((IF(#REF!="YES",(VLOOKUP(#REF!&amp;C18,Teams!D:M,7,0)&amp;#REF!),#REF!)),"")</f>
        <v/>
      </c>
      <c r="M18" s="233"/>
      <c r="N18" s="233"/>
      <c r="O18" s="233"/>
      <c r="P18" s="233"/>
      <c r="Q18" s="233"/>
      <c r="R18" s="233"/>
      <c r="S18" s="233"/>
      <c r="T18" s="233"/>
      <c r="U18" s="233"/>
      <c r="V18" s="234"/>
      <c r="W18" s="39"/>
      <c r="X18" s="40"/>
      <c r="Y18" s="40"/>
      <c r="Z18" s="40"/>
      <c r="AA18" s="41"/>
      <c r="AB18" s="41"/>
      <c r="AC18" s="41"/>
      <c r="AD18" s="41"/>
      <c r="AE18" s="41"/>
      <c r="AF18" s="255"/>
      <c r="AG18" s="234"/>
      <c r="AH18" s="255"/>
      <c r="AI18" s="234"/>
      <c r="AJ18" s="255"/>
      <c r="AK18" s="234"/>
      <c r="AL18" s="228"/>
    </row>
    <row r="19" spans="1:38" ht="22.5" customHeight="1">
      <c r="A19" s="28">
        <v>17</v>
      </c>
      <c r="B19" s="49"/>
      <c r="C19" s="246"/>
      <c r="D19" s="233"/>
      <c r="E19" s="233"/>
      <c r="F19" s="234"/>
      <c r="G19" s="38">
        <f t="shared" ref="G19:H19" si="2">IFERROR(#REF!,0)</f>
        <v>0</v>
      </c>
      <c r="H19" s="38">
        <f t="shared" si="2"/>
        <v>0</v>
      </c>
      <c r="I19" s="38">
        <f t="shared" ref="I19:K19" si="3">IFERROR(#REF!&amp;"+",0)</f>
        <v>0</v>
      </c>
      <c r="J19" s="38">
        <f t="shared" si="3"/>
        <v>0</v>
      </c>
      <c r="K19" s="38">
        <f t="shared" si="3"/>
        <v>0</v>
      </c>
      <c r="L19" s="257" t="str">
        <f>IFERROR((IF(#REF!="YES",(VLOOKUP(#REF!&amp;C19,Teams!D:M,7,0)&amp;#REF!),#REF!)),"")</f>
        <v/>
      </c>
      <c r="M19" s="233"/>
      <c r="N19" s="233"/>
      <c r="O19" s="233"/>
      <c r="P19" s="233"/>
      <c r="Q19" s="233"/>
      <c r="R19" s="233"/>
      <c r="S19" s="233"/>
      <c r="T19" s="233"/>
      <c r="U19" s="233"/>
      <c r="V19" s="234"/>
      <c r="W19" s="39"/>
      <c r="X19" s="40"/>
      <c r="Y19" s="40"/>
      <c r="Z19" s="40"/>
      <c r="AA19" s="41"/>
      <c r="AB19" s="41"/>
      <c r="AC19" s="41"/>
      <c r="AD19" s="41"/>
      <c r="AE19" s="41"/>
      <c r="AF19" s="255"/>
      <c r="AG19" s="234"/>
      <c r="AH19" s="255"/>
      <c r="AI19" s="234"/>
      <c r="AJ19" s="255"/>
      <c r="AK19" s="234"/>
      <c r="AL19" s="228"/>
    </row>
    <row r="20" spans="1:38" ht="22.5" customHeight="1">
      <c r="A20" s="28">
        <v>18</v>
      </c>
      <c r="B20" s="49"/>
      <c r="C20" s="246"/>
      <c r="D20" s="233"/>
      <c r="E20" s="233"/>
      <c r="F20" s="234"/>
      <c r="G20" s="38">
        <f t="shared" ref="G20:H20" si="4">IFERROR(#REF!,0)</f>
        <v>0</v>
      </c>
      <c r="H20" s="38">
        <f t="shared" si="4"/>
        <v>0</v>
      </c>
      <c r="I20" s="38">
        <f t="shared" ref="I20:K20" si="5">IFERROR(#REF!&amp;"+",0)</f>
        <v>0</v>
      </c>
      <c r="J20" s="38">
        <f t="shared" si="5"/>
        <v>0</v>
      </c>
      <c r="K20" s="38">
        <f t="shared" si="5"/>
        <v>0</v>
      </c>
      <c r="L20" s="257" t="str">
        <f>IFERROR((IF(#REF!="YES",(VLOOKUP(#REF!&amp;C20,Teams!D:M,7,0)&amp;#REF!),#REF!)),"")</f>
        <v/>
      </c>
      <c r="M20" s="233"/>
      <c r="N20" s="233"/>
      <c r="O20" s="233"/>
      <c r="P20" s="233"/>
      <c r="Q20" s="233"/>
      <c r="R20" s="233"/>
      <c r="S20" s="233"/>
      <c r="T20" s="233"/>
      <c r="U20" s="233"/>
      <c r="V20" s="234"/>
      <c r="W20" s="39"/>
      <c r="X20" s="40"/>
      <c r="Y20" s="40"/>
      <c r="Z20" s="40"/>
      <c r="AA20" s="41"/>
      <c r="AB20" s="41"/>
      <c r="AC20" s="41"/>
      <c r="AD20" s="41"/>
      <c r="AE20" s="41"/>
      <c r="AF20" s="255"/>
      <c r="AG20" s="234"/>
      <c r="AH20" s="255"/>
      <c r="AI20" s="234"/>
      <c r="AJ20" s="255"/>
      <c r="AK20" s="234"/>
      <c r="AL20" s="228"/>
    </row>
    <row r="21" spans="1:38" ht="22.5" customHeight="1">
      <c r="A21" s="28">
        <v>19</v>
      </c>
      <c r="B21" s="49"/>
      <c r="C21" s="246"/>
      <c r="D21" s="233"/>
      <c r="E21" s="233"/>
      <c r="F21" s="234"/>
      <c r="G21" s="38">
        <f t="shared" ref="G21:H21" si="6">IFERROR(#REF!,0)</f>
        <v>0</v>
      </c>
      <c r="H21" s="38">
        <f t="shared" si="6"/>
        <v>0</v>
      </c>
      <c r="I21" s="38">
        <f t="shared" ref="I21:K21" si="7">IFERROR(#REF!&amp;"+",0)</f>
        <v>0</v>
      </c>
      <c r="J21" s="38">
        <f t="shared" si="7"/>
        <v>0</v>
      </c>
      <c r="K21" s="38">
        <f t="shared" si="7"/>
        <v>0</v>
      </c>
      <c r="L21" s="257" t="str">
        <f>IFERROR((IF(#REF!="YES",(VLOOKUP(#REF!&amp;C21,Teams!D:M,7,0)&amp;#REF!),#REF!)),"")</f>
        <v/>
      </c>
      <c r="M21" s="233"/>
      <c r="N21" s="233"/>
      <c r="O21" s="233"/>
      <c r="P21" s="233"/>
      <c r="Q21" s="233"/>
      <c r="R21" s="233"/>
      <c r="S21" s="233"/>
      <c r="T21" s="233"/>
      <c r="U21" s="233"/>
      <c r="V21" s="234"/>
      <c r="W21" s="39"/>
      <c r="X21" s="40"/>
      <c r="Y21" s="40"/>
      <c r="Z21" s="40"/>
      <c r="AA21" s="41"/>
      <c r="AB21" s="41"/>
      <c r="AC21" s="41"/>
      <c r="AD21" s="41"/>
      <c r="AE21" s="41"/>
      <c r="AF21" s="255"/>
      <c r="AG21" s="234"/>
      <c r="AH21" s="255"/>
      <c r="AI21" s="234"/>
      <c r="AJ21" s="255"/>
      <c r="AK21" s="234"/>
      <c r="AL21" s="228"/>
    </row>
    <row r="22" spans="1:38" ht="22.5" customHeight="1">
      <c r="A22" s="28">
        <v>20</v>
      </c>
      <c r="B22" s="49"/>
      <c r="C22" s="246"/>
      <c r="D22" s="233"/>
      <c r="E22" s="233"/>
      <c r="F22" s="234"/>
      <c r="G22" s="38">
        <f t="shared" ref="G22:H22" si="8">IFERROR(#REF!,0)</f>
        <v>0</v>
      </c>
      <c r="H22" s="38">
        <f t="shared" si="8"/>
        <v>0</v>
      </c>
      <c r="I22" s="38">
        <f t="shared" ref="I22:K22" si="9">IFERROR(#REF!&amp;"+",0)</f>
        <v>0</v>
      </c>
      <c r="J22" s="38">
        <f t="shared" si="9"/>
        <v>0</v>
      </c>
      <c r="K22" s="38">
        <f t="shared" si="9"/>
        <v>0</v>
      </c>
      <c r="L22" s="257" t="str">
        <f>IFERROR((IF(#REF!="YES",(VLOOKUP(#REF!&amp;C22,Teams!D:M,7,0)&amp;#REF!),#REF!)),"")</f>
        <v/>
      </c>
      <c r="M22" s="233"/>
      <c r="N22" s="233"/>
      <c r="O22" s="233"/>
      <c r="P22" s="233"/>
      <c r="Q22" s="233"/>
      <c r="R22" s="233"/>
      <c r="S22" s="233"/>
      <c r="T22" s="233"/>
      <c r="U22" s="233"/>
      <c r="V22" s="234"/>
      <c r="W22" s="39"/>
      <c r="X22" s="40"/>
      <c r="Y22" s="40"/>
      <c r="Z22" s="40"/>
      <c r="AA22" s="41"/>
      <c r="AB22" s="41"/>
      <c r="AC22" s="41"/>
      <c r="AD22" s="41"/>
      <c r="AE22" s="41"/>
      <c r="AF22" s="255"/>
      <c r="AG22" s="234"/>
      <c r="AH22" s="255"/>
      <c r="AI22" s="234"/>
      <c r="AJ22" s="255"/>
      <c r="AK22" s="234"/>
      <c r="AL22" s="228"/>
    </row>
    <row r="23" spans="1:38" ht="22.5" customHeight="1">
      <c r="A23" s="28">
        <v>21</v>
      </c>
      <c r="B23" s="49"/>
      <c r="C23" s="246"/>
      <c r="D23" s="233"/>
      <c r="E23" s="233"/>
      <c r="F23" s="234"/>
      <c r="G23" s="38">
        <f t="shared" ref="G23:H23" si="10">IFERROR(#REF!,0)</f>
        <v>0</v>
      </c>
      <c r="H23" s="38">
        <f t="shared" si="10"/>
        <v>0</v>
      </c>
      <c r="I23" s="38">
        <f t="shared" ref="I23:K23" si="11">IFERROR(#REF!&amp;"+",0)</f>
        <v>0</v>
      </c>
      <c r="J23" s="38">
        <f t="shared" si="11"/>
        <v>0</v>
      </c>
      <c r="K23" s="38">
        <f t="shared" si="11"/>
        <v>0</v>
      </c>
      <c r="L23" s="257" t="str">
        <f>IFERROR((IF(#REF!="YES",(VLOOKUP(#REF!&amp;C23,Teams!D:M,7,0)&amp;#REF!),#REF!)),"")</f>
        <v/>
      </c>
      <c r="M23" s="233"/>
      <c r="N23" s="233"/>
      <c r="O23" s="233"/>
      <c r="P23" s="233"/>
      <c r="Q23" s="233"/>
      <c r="R23" s="233"/>
      <c r="S23" s="233"/>
      <c r="T23" s="233"/>
      <c r="U23" s="233"/>
      <c r="V23" s="234"/>
      <c r="W23" s="39"/>
      <c r="X23" s="40"/>
      <c r="Y23" s="40"/>
      <c r="Z23" s="40"/>
      <c r="AA23" s="41"/>
      <c r="AB23" s="41"/>
      <c r="AC23" s="41"/>
      <c r="AD23" s="41"/>
      <c r="AE23" s="41"/>
      <c r="AF23" s="255"/>
      <c r="AG23" s="234"/>
      <c r="AH23" s="255"/>
      <c r="AI23" s="234"/>
      <c r="AJ23" s="255"/>
      <c r="AK23" s="234"/>
      <c r="AL23" s="228"/>
    </row>
    <row r="24" spans="1:38" ht="22.5" customHeight="1">
      <c r="A24" s="28">
        <v>22</v>
      </c>
      <c r="B24" s="49"/>
      <c r="C24" s="246"/>
      <c r="D24" s="233"/>
      <c r="E24" s="233"/>
      <c r="F24" s="234"/>
      <c r="G24" s="38">
        <f t="shared" ref="G24:H24" si="12">IFERROR(#REF!,0)</f>
        <v>0</v>
      </c>
      <c r="H24" s="38">
        <f t="shared" si="12"/>
        <v>0</v>
      </c>
      <c r="I24" s="38">
        <f t="shared" ref="I24:K24" si="13">IFERROR(#REF!&amp;"+",0)</f>
        <v>0</v>
      </c>
      <c r="J24" s="38">
        <f t="shared" si="13"/>
        <v>0</v>
      </c>
      <c r="K24" s="38">
        <f t="shared" si="13"/>
        <v>0</v>
      </c>
      <c r="L24" s="257" t="str">
        <f>IFERROR((IF(#REF!="YES",(VLOOKUP(#REF!&amp;C24,Teams!D:M,7,0)&amp;#REF!),#REF!)),"")</f>
        <v/>
      </c>
      <c r="M24" s="233"/>
      <c r="N24" s="233"/>
      <c r="O24" s="233"/>
      <c r="P24" s="233"/>
      <c r="Q24" s="233"/>
      <c r="R24" s="233"/>
      <c r="S24" s="233"/>
      <c r="T24" s="233"/>
      <c r="U24" s="233"/>
      <c r="V24" s="234"/>
      <c r="W24" s="39"/>
      <c r="X24" s="40"/>
      <c r="Y24" s="40"/>
      <c r="Z24" s="40"/>
      <c r="AA24" s="41"/>
      <c r="AB24" s="41"/>
      <c r="AC24" s="41"/>
      <c r="AD24" s="41"/>
      <c r="AE24" s="41"/>
      <c r="AF24" s="255"/>
      <c r="AG24" s="234"/>
      <c r="AH24" s="255"/>
      <c r="AI24" s="234"/>
      <c r="AJ24" s="255"/>
      <c r="AK24" s="234"/>
      <c r="AL24" s="228"/>
    </row>
    <row r="25" spans="1:38" ht="22.5" customHeight="1">
      <c r="A25" s="28">
        <v>23</v>
      </c>
      <c r="B25" s="49"/>
      <c r="C25" s="246"/>
      <c r="D25" s="233"/>
      <c r="E25" s="233"/>
      <c r="F25" s="234"/>
      <c r="G25" s="38">
        <f t="shared" ref="G25:H25" si="14">IFERROR(#REF!,0)</f>
        <v>0</v>
      </c>
      <c r="H25" s="38">
        <f t="shared" si="14"/>
        <v>0</v>
      </c>
      <c r="I25" s="38">
        <f t="shared" ref="I25:K25" si="15">IFERROR(#REF!&amp;"+",0)</f>
        <v>0</v>
      </c>
      <c r="J25" s="38">
        <f t="shared" si="15"/>
        <v>0</v>
      </c>
      <c r="K25" s="38">
        <f t="shared" si="15"/>
        <v>0</v>
      </c>
      <c r="L25" s="257" t="str">
        <f>IFERROR((IF(#REF!="YES",(VLOOKUP(#REF!&amp;C25,Teams!D:M,7,0)&amp;#REF!),#REF!)),"")</f>
        <v/>
      </c>
      <c r="M25" s="233"/>
      <c r="N25" s="233"/>
      <c r="O25" s="233"/>
      <c r="P25" s="233"/>
      <c r="Q25" s="233"/>
      <c r="R25" s="233"/>
      <c r="S25" s="233"/>
      <c r="T25" s="233"/>
      <c r="U25" s="233"/>
      <c r="V25" s="234"/>
      <c r="W25" s="39"/>
      <c r="X25" s="40"/>
      <c r="Y25" s="40"/>
      <c r="Z25" s="40"/>
      <c r="AA25" s="41"/>
      <c r="AB25" s="41"/>
      <c r="AC25" s="41"/>
      <c r="AD25" s="41"/>
      <c r="AE25" s="41"/>
      <c r="AF25" s="255"/>
      <c r="AG25" s="234"/>
      <c r="AH25" s="255"/>
      <c r="AI25" s="234"/>
      <c r="AJ25" s="255"/>
      <c r="AK25" s="234"/>
      <c r="AL25" s="228"/>
    </row>
    <row r="26" spans="1:38" ht="22.5" customHeight="1">
      <c r="A26" s="28">
        <v>24</v>
      </c>
      <c r="B26" s="49"/>
      <c r="C26" s="246"/>
      <c r="D26" s="233"/>
      <c r="E26" s="233"/>
      <c r="F26" s="234"/>
      <c r="G26" s="38">
        <f t="shared" ref="G26:H26" si="16">IFERROR(#REF!,0)</f>
        <v>0</v>
      </c>
      <c r="H26" s="38">
        <f t="shared" si="16"/>
        <v>0</v>
      </c>
      <c r="I26" s="38">
        <f t="shared" ref="I26:K26" si="17">IFERROR(#REF!&amp;"+",0)</f>
        <v>0</v>
      </c>
      <c r="J26" s="38">
        <f t="shared" si="17"/>
        <v>0</v>
      </c>
      <c r="K26" s="38">
        <f t="shared" si="17"/>
        <v>0</v>
      </c>
      <c r="L26" s="257" t="str">
        <f>IFERROR((IF(#REF!="YES",(VLOOKUP(#REF!&amp;C26,Teams!D:M,7,0)&amp;#REF!),#REF!)),"")</f>
        <v/>
      </c>
      <c r="M26" s="233"/>
      <c r="N26" s="233"/>
      <c r="O26" s="233"/>
      <c r="P26" s="233"/>
      <c r="Q26" s="233"/>
      <c r="R26" s="233"/>
      <c r="S26" s="233"/>
      <c r="T26" s="233"/>
      <c r="U26" s="233"/>
      <c r="V26" s="234"/>
      <c r="W26" s="39"/>
      <c r="X26" s="40"/>
      <c r="Y26" s="40"/>
      <c r="Z26" s="40"/>
      <c r="AA26" s="41"/>
      <c r="AB26" s="41"/>
      <c r="AC26" s="41"/>
      <c r="AD26" s="41"/>
      <c r="AE26" s="41"/>
      <c r="AF26" s="255"/>
      <c r="AG26" s="234"/>
      <c r="AH26" s="255"/>
      <c r="AI26" s="234"/>
      <c r="AJ26" s="255"/>
      <c r="AK26" s="234"/>
      <c r="AL26" s="228"/>
    </row>
    <row r="27" spans="1:38" ht="22.5" customHeight="1">
      <c r="A27" s="28">
        <v>25</v>
      </c>
      <c r="B27" s="49"/>
      <c r="C27" s="246"/>
      <c r="D27" s="233"/>
      <c r="E27" s="233"/>
      <c r="F27" s="234"/>
      <c r="G27" s="38">
        <f t="shared" ref="G27:H27" si="18">IFERROR(#REF!,0)</f>
        <v>0</v>
      </c>
      <c r="H27" s="38">
        <f t="shared" si="18"/>
        <v>0</v>
      </c>
      <c r="I27" s="38">
        <f t="shared" ref="I27:K27" si="19">IFERROR(#REF!&amp;"+",0)</f>
        <v>0</v>
      </c>
      <c r="J27" s="38">
        <f t="shared" si="19"/>
        <v>0</v>
      </c>
      <c r="K27" s="38">
        <f t="shared" si="19"/>
        <v>0</v>
      </c>
      <c r="L27" s="257" t="str">
        <f>IFERROR((IF(#REF!="YES",(VLOOKUP(#REF!&amp;C27,Teams!D:M,7,0)&amp;#REF!),#REF!)),"")</f>
        <v/>
      </c>
      <c r="M27" s="233"/>
      <c r="N27" s="233"/>
      <c r="O27" s="233"/>
      <c r="P27" s="233"/>
      <c r="Q27" s="233"/>
      <c r="R27" s="233"/>
      <c r="S27" s="233"/>
      <c r="T27" s="233"/>
      <c r="U27" s="233"/>
      <c r="V27" s="234"/>
      <c r="W27" s="39"/>
      <c r="X27" s="40"/>
      <c r="Y27" s="40"/>
      <c r="Z27" s="40"/>
      <c r="AA27" s="41"/>
      <c r="AB27" s="41"/>
      <c r="AC27" s="41"/>
      <c r="AD27" s="41"/>
      <c r="AE27" s="41"/>
      <c r="AF27" s="255"/>
      <c r="AG27" s="234"/>
      <c r="AH27" s="255"/>
      <c r="AI27" s="234"/>
      <c r="AJ27" s="255"/>
      <c r="AK27" s="234"/>
      <c r="AL27" s="228"/>
    </row>
    <row r="28" spans="1:38" ht="22.5" customHeight="1">
      <c r="A28" s="28">
        <v>26</v>
      </c>
      <c r="B28" s="49"/>
      <c r="C28" s="246"/>
      <c r="D28" s="233"/>
      <c r="E28" s="233"/>
      <c r="F28" s="234"/>
      <c r="G28" s="38">
        <f t="shared" ref="G28:H28" si="20">IFERROR(#REF!,0)</f>
        <v>0</v>
      </c>
      <c r="H28" s="38">
        <f t="shared" si="20"/>
        <v>0</v>
      </c>
      <c r="I28" s="38">
        <f t="shared" ref="I28:K28" si="21">IFERROR(#REF!&amp;"+",0)</f>
        <v>0</v>
      </c>
      <c r="J28" s="38">
        <f t="shared" si="21"/>
        <v>0</v>
      </c>
      <c r="K28" s="38">
        <f t="shared" si="21"/>
        <v>0</v>
      </c>
      <c r="L28" s="257" t="str">
        <f>IFERROR((IF(#REF!="YES",(VLOOKUP(#REF!&amp;C28,Teams!D:M,7,0)&amp;#REF!),#REF!)),"")</f>
        <v/>
      </c>
      <c r="M28" s="233"/>
      <c r="N28" s="233"/>
      <c r="O28" s="233"/>
      <c r="P28" s="233"/>
      <c r="Q28" s="233"/>
      <c r="R28" s="233"/>
      <c r="S28" s="233"/>
      <c r="T28" s="233"/>
      <c r="U28" s="233"/>
      <c r="V28" s="234"/>
      <c r="W28" s="39"/>
      <c r="X28" s="40"/>
      <c r="Y28" s="40"/>
      <c r="Z28" s="40"/>
      <c r="AA28" s="41"/>
      <c r="AB28" s="41"/>
      <c r="AC28" s="41"/>
      <c r="AD28" s="41"/>
      <c r="AE28" s="41"/>
      <c r="AF28" s="255"/>
      <c r="AG28" s="234"/>
      <c r="AH28" s="255"/>
      <c r="AI28" s="234"/>
      <c r="AJ28" s="255"/>
      <c r="AK28" s="234"/>
      <c r="AL28" s="228"/>
    </row>
    <row r="29" spans="1:38" ht="22.5" customHeight="1">
      <c r="A29" s="28">
        <v>27</v>
      </c>
      <c r="B29" s="49"/>
      <c r="C29" s="246"/>
      <c r="D29" s="233"/>
      <c r="E29" s="233"/>
      <c r="F29" s="234"/>
      <c r="G29" s="38">
        <f t="shared" ref="G29:H29" si="22">IFERROR(#REF!,0)</f>
        <v>0</v>
      </c>
      <c r="H29" s="38">
        <f t="shared" si="22"/>
        <v>0</v>
      </c>
      <c r="I29" s="38">
        <f t="shared" ref="I29:K29" si="23">IFERROR(#REF!&amp;"+",0)</f>
        <v>0</v>
      </c>
      <c r="J29" s="38">
        <f t="shared" si="23"/>
        <v>0</v>
      </c>
      <c r="K29" s="38">
        <f t="shared" si="23"/>
        <v>0</v>
      </c>
      <c r="L29" s="257" t="str">
        <f>IFERROR((IF(#REF!="YES",(VLOOKUP(#REF!&amp;C29,Teams!D:M,7,0)&amp;#REF!),#REF!)),"")</f>
        <v/>
      </c>
      <c r="M29" s="233"/>
      <c r="N29" s="233"/>
      <c r="O29" s="233"/>
      <c r="P29" s="233"/>
      <c r="Q29" s="233"/>
      <c r="R29" s="233"/>
      <c r="S29" s="233"/>
      <c r="T29" s="233"/>
      <c r="U29" s="233"/>
      <c r="V29" s="234"/>
      <c r="W29" s="39"/>
      <c r="X29" s="40"/>
      <c r="Y29" s="40"/>
      <c r="Z29" s="40"/>
      <c r="AA29" s="41"/>
      <c r="AB29" s="41"/>
      <c r="AC29" s="41"/>
      <c r="AD29" s="41"/>
      <c r="AE29" s="41"/>
      <c r="AF29" s="255"/>
      <c r="AG29" s="234"/>
      <c r="AH29" s="255"/>
      <c r="AI29" s="234"/>
      <c r="AJ29" s="255"/>
      <c r="AK29" s="234"/>
      <c r="AL29" s="228"/>
    </row>
    <row r="30" spans="1:38" ht="22.5" customHeight="1">
      <c r="A30" s="28">
        <v>28</v>
      </c>
      <c r="B30" s="49"/>
      <c r="C30" s="246"/>
      <c r="D30" s="233"/>
      <c r="E30" s="233"/>
      <c r="F30" s="234"/>
      <c r="G30" s="38">
        <f t="shared" ref="G30:H30" si="24">IFERROR(#REF!,0)</f>
        <v>0</v>
      </c>
      <c r="H30" s="38">
        <f t="shared" si="24"/>
        <v>0</v>
      </c>
      <c r="I30" s="38">
        <f t="shared" ref="I30:K30" si="25">IFERROR(#REF!&amp;"+",0)</f>
        <v>0</v>
      </c>
      <c r="J30" s="38">
        <f t="shared" si="25"/>
        <v>0</v>
      </c>
      <c r="K30" s="38">
        <f t="shared" si="25"/>
        <v>0</v>
      </c>
      <c r="L30" s="257" t="str">
        <f>IFERROR((IF(#REF!="YES",(VLOOKUP(#REF!&amp;C30,Teams!D:M,7,0)&amp;#REF!),#REF!)),"")</f>
        <v/>
      </c>
      <c r="M30" s="233"/>
      <c r="N30" s="233"/>
      <c r="O30" s="233"/>
      <c r="P30" s="233"/>
      <c r="Q30" s="233"/>
      <c r="R30" s="233"/>
      <c r="S30" s="233"/>
      <c r="T30" s="233"/>
      <c r="U30" s="233"/>
      <c r="V30" s="234"/>
      <c r="W30" s="39"/>
      <c r="X30" s="40"/>
      <c r="Y30" s="40"/>
      <c r="Z30" s="40"/>
      <c r="AA30" s="41"/>
      <c r="AB30" s="41"/>
      <c r="AC30" s="41"/>
      <c r="AD30" s="41"/>
      <c r="AE30" s="41"/>
      <c r="AF30" s="255"/>
      <c r="AG30" s="234"/>
      <c r="AH30" s="255"/>
      <c r="AI30" s="234"/>
      <c r="AJ30" s="255"/>
      <c r="AK30" s="234"/>
      <c r="AL30" s="228"/>
    </row>
    <row r="31" spans="1:38" ht="22.5" customHeight="1">
      <c r="A31" s="28">
        <v>29</v>
      </c>
      <c r="B31" s="49"/>
      <c r="C31" s="246"/>
      <c r="D31" s="233"/>
      <c r="E31" s="233"/>
      <c r="F31" s="234"/>
      <c r="G31" s="38">
        <f t="shared" ref="G31:H31" si="26">IFERROR(#REF!,0)</f>
        <v>0</v>
      </c>
      <c r="H31" s="38">
        <f t="shared" si="26"/>
        <v>0</v>
      </c>
      <c r="I31" s="38">
        <f t="shared" ref="I31:K31" si="27">IFERROR(#REF!&amp;"+",0)</f>
        <v>0</v>
      </c>
      <c r="J31" s="38">
        <f t="shared" si="27"/>
        <v>0</v>
      </c>
      <c r="K31" s="38">
        <f t="shared" si="27"/>
        <v>0</v>
      </c>
      <c r="L31" s="257" t="str">
        <f>IFERROR((IF(#REF!="YES",(VLOOKUP(#REF!&amp;C31,Teams!D:M,7,0)&amp;#REF!),#REF!)),"")</f>
        <v/>
      </c>
      <c r="M31" s="233"/>
      <c r="N31" s="233"/>
      <c r="O31" s="233"/>
      <c r="P31" s="233"/>
      <c r="Q31" s="233"/>
      <c r="R31" s="233"/>
      <c r="S31" s="233"/>
      <c r="T31" s="233"/>
      <c r="U31" s="233"/>
      <c r="V31" s="234"/>
      <c r="W31" s="39"/>
      <c r="X31" s="40"/>
      <c r="Y31" s="40"/>
      <c r="Z31" s="40"/>
      <c r="AA31" s="41"/>
      <c r="AB31" s="41"/>
      <c r="AC31" s="41"/>
      <c r="AD31" s="41"/>
      <c r="AE31" s="41"/>
      <c r="AF31" s="255"/>
      <c r="AG31" s="234"/>
      <c r="AH31" s="255"/>
      <c r="AI31" s="234"/>
      <c r="AJ31" s="255"/>
      <c r="AK31" s="234"/>
      <c r="AL31" s="228"/>
    </row>
    <row r="32" spans="1:38" ht="22.5" customHeight="1">
      <c r="A32" s="28">
        <v>30</v>
      </c>
      <c r="B32" s="49"/>
      <c r="C32" s="246"/>
      <c r="D32" s="233"/>
      <c r="E32" s="233"/>
      <c r="F32" s="234"/>
      <c r="G32" s="38">
        <f t="shared" ref="G32:H32" si="28">IFERROR(#REF!,0)</f>
        <v>0</v>
      </c>
      <c r="H32" s="38">
        <f t="shared" si="28"/>
        <v>0</v>
      </c>
      <c r="I32" s="38">
        <f t="shared" ref="I32:K32" si="29">IFERROR(#REF!&amp;"+",0)</f>
        <v>0</v>
      </c>
      <c r="J32" s="38">
        <f t="shared" si="29"/>
        <v>0</v>
      </c>
      <c r="K32" s="38">
        <f t="shared" si="29"/>
        <v>0</v>
      </c>
      <c r="L32" s="257" t="str">
        <f>IFERROR((IF(#REF!="YES",(VLOOKUP(#REF!&amp;C32,Teams!D:M,7,0)&amp;#REF!),#REF!)),"")</f>
        <v/>
      </c>
      <c r="M32" s="233"/>
      <c r="N32" s="233"/>
      <c r="O32" s="233"/>
      <c r="P32" s="233"/>
      <c r="Q32" s="233"/>
      <c r="R32" s="233"/>
      <c r="S32" s="233"/>
      <c r="T32" s="233"/>
      <c r="U32" s="233"/>
      <c r="V32" s="234"/>
      <c r="W32" s="39"/>
      <c r="X32" s="40"/>
      <c r="Y32" s="40"/>
      <c r="Z32" s="40"/>
      <c r="AA32" s="41"/>
      <c r="AB32" s="41"/>
      <c r="AC32" s="41"/>
      <c r="AD32" s="41"/>
      <c r="AE32" s="41"/>
      <c r="AF32" s="255"/>
      <c r="AG32" s="234"/>
      <c r="AH32" s="255"/>
      <c r="AI32" s="234"/>
      <c r="AJ32" s="255"/>
      <c r="AK32" s="234"/>
      <c r="AL32" s="229"/>
    </row>
    <row r="33" spans="1:38" ht="15" customHeight="1">
      <c r="A33" s="337"/>
      <c r="B33" s="236"/>
      <c r="C33" s="236"/>
      <c r="D33" s="236"/>
      <c r="E33" s="236"/>
      <c r="F33" s="236"/>
      <c r="G33" s="236"/>
      <c r="H33" s="236"/>
      <c r="I33" s="236"/>
      <c r="J33" s="236"/>
      <c r="K33" s="236"/>
      <c r="L33" s="236"/>
      <c r="M33" s="236"/>
      <c r="N33" s="236"/>
      <c r="O33" s="236"/>
      <c r="P33" s="236"/>
      <c r="Q33" s="236"/>
      <c r="R33" s="236"/>
      <c r="S33" s="236"/>
      <c r="T33" s="236"/>
      <c r="U33" s="236"/>
      <c r="V33" s="236"/>
      <c r="W33" s="236"/>
      <c r="X33" s="236"/>
      <c r="Y33" s="236"/>
      <c r="Z33" s="236"/>
      <c r="AA33" s="236"/>
      <c r="AB33" s="236"/>
      <c r="AC33" s="236"/>
      <c r="AD33" s="236"/>
      <c r="AE33" s="236"/>
      <c r="AF33" s="236"/>
      <c r="AG33" s="236"/>
      <c r="AH33" s="236"/>
      <c r="AI33" s="236"/>
      <c r="AJ33" s="236"/>
      <c r="AK33" s="236"/>
      <c r="AL33" s="237"/>
    </row>
    <row r="34" spans="1:38" ht="15.75" hidden="1" customHeight="1">
      <c r="A34" s="32"/>
      <c r="B34" s="32"/>
      <c r="C34" s="32"/>
      <c r="D34" s="32"/>
      <c r="E34" s="32"/>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row>
    <row r="35" spans="1:38" ht="15.75" hidden="1" customHeight="1">
      <c r="A35" s="32"/>
      <c r="B35" s="32"/>
      <c r="C35" s="32"/>
      <c r="D35" s="32"/>
      <c r="E35" s="32"/>
      <c r="F35" s="32"/>
      <c r="G35" s="32"/>
      <c r="H35" s="32"/>
      <c r="I35" s="32"/>
      <c r="J35" s="32"/>
      <c r="K35" s="32"/>
      <c r="L35" s="32"/>
      <c r="M35" s="32"/>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row>
    <row r="36" spans="1:38" ht="15.75" hidden="1" customHeight="1">
      <c r="A36" s="32"/>
      <c r="B36" s="32"/>
      <c r="C36" s="32"/>
      <c r="D36" s="32"/>
      <c r="E36" s="32"/>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row>
    <row r="37" spans="1:38" ht="15.75" hidden="1" customHeight="1">
      <c r="A37" s="32"/>
      <c r="B37" s="32"/>
      <c r="C37" s="32"/>
      <c r="D37" s="32"/>
      <c r="E37" s="32"/>
      <c r="F37" s="32"/>
      <c r="G37" s="32"/>
      <c r="H37" s="32"/>
      <c r="I37" s="32"/>
      <c r="J37" s="32"/>
      <c r="K37" s="32"/>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row>
    <row r="38" spans="1:38" ht="15.75" hidden="1" customHeight="1">
      <c r="A38" s="32"/>
      <c r="B38" s="32"/>
      <c r="C38" s="32"/>
      <c r="D38" s="32"/>
      <c r="E38" s="32"/>
      <c r="F38" s="32"/>
      <c r="G38" s="32"/>
      <c r="H38" s="32"/>
      <c r="I38" s="32"/>
      <c r="J38" s="32"/>
      <c r="K38" s="32"/>
      <c r="L38" s="32"/>
      <c r="M38" s="32"/>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row>
    <row r="39" spans="1:38" ht="15.75" hidden="1" customHeight="1">
      <c r="A39" s="32"/>
      <c r="B39" s="32"/>
      <c r="C39" s="32"/>
      <c r="D39" s="32"/>
      <c r="E39" s="32"/>
      <c r="F39" s="32"/>
      <c r="G39" s="32"/>
      <c r="H39" s="32"/>
      <c r="I39" s="32"/>
      <c r="J39" s="32"/>
      <c r="K39" s="32"/>
      <c r="L39" s="32"/>
      <c r="M39" s="32"/>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row>
    <row r="40" spans="1:38" ht="15.75" hidden="1" customHeight="1">
      <c r="A40" s="32"/>
      <c r="B40" s="32"/>
      <c r="C40" s="32"/>
      <c r="D40" s="32"/>
      <c r="E40" s="32"/>
      <c r="F40" s="32"/>
      <c r="G40" s="32"/>
      <c r="H40" s="32"/>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row>
    <row r="41" spans="1:38" ht="15.75" hidden="1" customHeight="1">
      <c r="A41" s="32"/>
      <c r="B41" s="32"/>
      <c r="C41" s="32"/>
      <c r="D41" s="32"/>
      <c r="E41" s="32"/>
      <c r="F41" s="32"/>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row>
    <row r="42" spans="1:38" ht="15.75" hidden="1" customHeight="1">
      <c r="A42" s="32"/>
      <c r="B42" s="32"/>
      <c r="C42" s="32"/>
      <c r="D42" s="32"/>
      <c r="E42" s="32"/>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row>
    <row r="43" spans="1:38" ht="15.75" hidden="1" customHeight="1">
      <c r="A43" s="32"/>
      <c r="B43" s="32"/>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row>
    <row r="44" spans="1:38" ht="15.75" hidden="1" customHeight="1">
      <c r="A44" s="32"/>
      <c r="B44" s="32"/>
      <c r="C44" s="32"/>
      <c r="D44" s="32"/>
      <c r="E44" s="32"/>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row>
    <row r="45" spans="1:38" ht="15.75" hidden="1" customHeight="1">
      <c r="A45" s="32"/>
      <c r="B45" s="32"/>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row>
    <row r="46" spans="1:38" ht="15.75" hidden="1" customHeight="1">
      <c r="A46" s="32"/>
      <c r="B46" s="32"/>
      <c r="C46" s="32"/>
      <c r="D46" s="32"/>
      <c r="E46" s="32"/>
      <c r="F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row>
    <row r="47" spans="1:38" ht="15.75" hidden="1" customHeight="1">
      <c r="A47" s="32"/>
      <c r="B47" s="32"/>
      <c r="C47" s="32"/>
      <c r="D47" s="32"/>
      <c r="E47" s="32"/>
      <c r="F47" s="32"/>
      <c r="G47" s="32"/>
      <c r="H47" s="32"/>
      <c r="I47" s="32"/>
      <c r="J47" s="32"/>
      <c r="K47" s="32"/>
      <c r="L47" s="32"/>
      <c r="M47" s="32"/>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row>
    <row r="48" spans="1:38" ht="15.75" hidden="1" customHeight="1">
      <c r="A48" s="32"/>
      <c r="B48" s="32"/>
      <c r="C48" s="32"/>
      <c r="D48" s="32"/>
      <c r="E48" s="32"/>
      <c r="F48" s="32"/>
      <c r="G48" s="32"/>
      <c r="H48" s="32"/>
      <c r="I48" s="32"/>
      <c r="J48" s="32"/>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row>
    <row r="49" spans="1:38" ht="15.75" hidden="1" customHeight="1">
      <c r="A49" s="32"/>
      <c r="B49" s="32"/>
      <c r="C49" s="32"/>
      <c r="D49" s="32"/>
      <c r="E49" s="32"/>
      <c r="F49" s="32"/>
      <c r="G49" s="32"/>
      <c r="H49" s="32"/>
      <c r="I49" s="32"/>
      <c r="J49" s="32"/>
      <c r="K49" s="32"/>
      <c r="L49" s="32"/>
      <c r="M49" s="32"/>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row>
    <row r="50" spans="1:38" ht="15.75" hidden="1" customHeight="1">
      <c r="A50" s="32"/>
      <c r="B50" s="32"/>
      <c r="C50" s="32"/>
      <c r="D50" s="32"/>
      <c r="E50" s="32"/>
      <c r="F50" s="32"/>
      <c r="G50" s="32"/>
      <c r="H50" s="32"/>
      <c r="I50" s="32"/>
      <c r="J50" s="32"/>
      <c r="K50" s="32"/>
      <c r="L50" s="32"/>
      <c r="M50" s="32"/>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row>
    <row r="51" spans="1:38" ht="15.75" hidden="1" customHeight="1">
      <c r="A51" s="32"/>
      <c r="B51" s="32"/>
      <c r="C51" s="32"/>
      <c r="D51" s="32"/>
      <c r="E51" s="32"/>
      <c r="F51" s="32"/>
      <c r="G51" s="32"/>
      <c r="H51" s="32"/>
      <c r="I51" s="32"/>
      <c r="J51" s="32"/>
      <c r="K51" s="32"/>
      <c r="L51" s="32"/>
      <c r="M51" s="32"/>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row>
    <row r="52" spans="1:38" ht="15.75" hidden="1" customHeight="1">
      <c r="A52" s="32"/>
      <c r="B52" s="32"/>
      <c r="C52" s="32"/>
      <c r="D52" s="32"/>
      <c r="E52" s="32"/>
      <c r="F52" s="32"/>
      <c r="G52" s="32"/>
      <c r="H52" s="32"/>
      <c r="I52" s="32"/>
      <c r="J52" s="32"/>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row>
    <row r="53" spans="1:38" ht="15.75" hidden="1" customHeight="1">
      <c r="A53" s="32"/>
      <c r="B53" s="32"/>
      <c r="C53" s="32"/>
      <c r="D53" s="32"/>
      <c r="E53" s="32"/>
      <c r="F53" s="32"/>
      <c r="G53" s="32"/>
      <c r="H53" s="32"/>
      <c r="I53" s="32"/>
      <c r="J53" s="32"/>
      <c r="K53" s="32"/>
      <c r="L53" s="32"/>
      <c r="M53" s="32"/>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row>
    <row r="54" spans="1:38" ht="15.75" hidden="1" customHeight="1">
      <c r="A54" s="32"/>
      <c r="B54" s="32"/>
      <c r="C54" s="32"/>
      <c r="D54" s="32"/>
      <c r="E54" s="32"/>
      <c r="F54" s="32"/>
      <c r="G54" s="32"/>
      <c r="H54" s="32"/>
      <c r="I54" s="32"/>
      <c r="J54" s="32"/>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row>
    <row r="55" spans="1:38" ht="15.75" hidden="1" customHeight="1">
      <c r="A55" s="32"/>
      <c r="B55" s="32"/>
      <c r="C55" s="32"/>
      <c r="D55" s="32"/>
      <c r="E55" s="32"/>
      <c r="F55" s="32"/>
      <c r="G55" s="32"/>
      <c r="H55" s="32"/>
      <c r="I55" s="32"/>
      <c r="J55" s="32"/>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row>
    <row r="56" spans="1:38" ht="15.75" hidden="1" customHeight="1">
      <c r="A56" s="32"/>
      <c r="B56" s="32"/>
      <c r="C56" s="32"/>
      <c r="D56" s="32"/>
      <c r="E56" s="32"/>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row>
    <row r="57" spans="1:38" ht="15.75" hidden="1" customHeight="1">
      <c r="A57" s="32"/>
      <c r="B57" s="32"/>
      <c r="C57" s="32"/>
      <c r="D57" s="32"/>
      <c r="E57" s="32"/>
      <c r="F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row>
    <row r="58" spans="1:38" ht="15.75" hidden="1" customHeight="1">
      <c r="A58" s="32"/>
      <c r="B58" s="32"/>
      <c r="C58" s="32"/>
      <c r="D58" s="32"/>
      <c r="E58" s="32"/>
      <c r="F58" s="32"/>
      <c r="G58" s="32"/>
      <c r="H58" s="32"/>
      <c r="I58" s="32"/>
      <c r="J58" s="32"/>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row>
    <row r="59" spans="1:38" ht="15.75" hidden="1" customHeight="1">
      <c r="A59" s="32"/>
      <c r="B59" s="32"/>
      <c r="C59" s="32"/>
      <c r="D59" s="32"/>
      <c r="E59" s="32"/>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row>
    <row r="60" spans="1:38" ht="15.75" hidden="1" customHeight="1">
      <c r="A60" s="32"/>
      <c r="B60" s="32"/>
      <c r="C60" s="32"/>
      <c r="D60" s="32"/>
      <c r="E60" s="32"/>
      <c r="F60" s="32"/>
      <c r="G60" s="32"/>
      <c r="H60" s="32"/>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row>
    <row r="61" spans="1:38" ht="15.75" hidden="1" customHeight="1">
      <c r="A61" s="32"/>
      <c r="B61" s="32"/>
      <c r="C61" s="32"/>
      <c r="D61" s="32"/>
      <c r="E61" s="32"/>
      <c r="F61" s="32"/>
      <c r="G61" s="32"/>
      <c r="H61" s="32"/>
      <c r="I61" s="32"/>
      <c r="J61" s="32"/>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row>
    <row r="62" spans="1:38" ht="15.75" hidden="1" customHeight="1">
      <c r="A62" s="32"/>
      <c r="B62" s="32"/>
      <c r="C62" s="32"/>
      <c r="D62" s="32"/>
      <c r="E62" s="32"/>
      <c r="F62" s="32"/>
      <c r="G62" s="32"/>
      <c r="H62" s="32"/>
      <c r="I62" s="32"/>
      <c r="J62" s="32"/>
      <c r="K62" s="32"/>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row>
    <row r="63" spans="1:38" ht="15.75" hidden="1" customHeight="1">
      <c r="A63" s="32"/>
      <c r="B63" s="32"/>
      <c r="C63" s="32"/>
      <c r="D63" s="32"/>
      <c r="E63" s="32"/>
      <c r="F63" s="32"/>
      <c r="G63" s="32"/>
      <c r="H63" s="32"/>
      <c r="I63" s="32"/>
      <c r="J63" s="32"/>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row>
    <row r="64" spans="1:38" ht="15.75" hidden="1" customHeight="1">
      <c r="A64" s="32"/>
      <c r="B64" s="32"/>
      <c r="C64" s="32"/>
      <c r="D64" s="32"/>
      <c r="E64" s="32"/>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row>
    <row r="65" spans="1:38" ht="15.75" hidden="1" customHeight="1">
      <c r="A65" s="32"/>
      <c r="B65" s="32"/>
      <c r="C65" s="32"/>
      <c r="D65" s="32"/>
      <c r="E65" s="32"/>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row>
    <row r="66" spans="1:38" ht="15.75" hidden="1" customHeight="1">
      <c r="A66" s="32"/>
      <c r="B66" s="32"/>
      <c r="C66" s="32"/>
      <c r="D66" s="32"/>
      <c r="E66" s="32"/>
      <c r="F66" s="32"/>
      <c r="G66" s="32"/>
      <c r="H66" s="32"/>
      <c r="I66" s="32"/>
      <c r="J66" s="32"/>
      <c r="K66" s="32"/>
      <c r="L66" s="32"/>
      <c r="M66" s="32"/>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row>
    <row r="67" spans="1:38" ht="15.75" hidden="1" customHeight="1">
      <c r="A67" s="32"/>
      <c r="B67" s="32"/>
      <c r="C67" s="32"/>
      <c r="D67" s="32"/>
      <c r="E67" s="32"/>
      <c r="F67" s="32"/>
      <c r="G67" s="32"/>
      <c r="H67" s="32"/>
      <c r="I67" s="32"/>
      <c r="J67" s="32"/>
      <c r="K67" s="32"/>
      <c r="L67" s="32"/>
      <c r="M67" s="32"/>
      <c r="N67" s="32"/>
      <c r="O67" s="32"/>
      <c r="P67" s="32"/>
      <c r="Q67" s="32"/>
      <c r="R67" s="32"/>
      <c r="S67" s="32"/>
      <c r="T67" s="32"/>
      <c r="U67" s="32"/>
      <c r="V67" s="32"/>
      <c r="W67" s="32"/>
      <c r="X67" s="32"/>
      <c r="Y67" s="32"/>
      <c r="Z67" s="32"/>
      <c r="AA67" s="32"/>
      <c r="AB67" s="32"/>
      <c r="AC67" s="32"/>
      <c r="AD67" s="32"/>
      <c r="AE67" s="32"/>
      <c r="AF67" s="32"/>
      <c r="AG67" s="32"/>
      <c r="AH67" s="32"/>
      <c r="AI67" s="32"/>
      <c r="AJ67" s="32"/>
      <c r="AK67" s="32"/>
      <c r="AL67" s="32"/>
    </row>
    <row r="68" spans="1:38" ht="15.75" hidden="1" customHeight="1">
      <c r="A68" s="32"/>
      <c r="B68" s="32"/>
      <c r="C68" s="32"/>
      <c r="D68" s="32"/>
      <c r="E68" s="32"/>
      <c r="F68" s="32"/>
      <c r="G68" s="32"/>
      <c r="H68" s="32"/>
      <c r="I68" s="32"/>
      <c r="J68" s="32"/>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row>
    <row r="69" spans="1:38" ht="15.75" hidden="1" customHeight="1">
      <c r="A69" s="32"/>
      <c r="B69" s="32"/>
      <c r="C69" s="32"/>
      <c r="D69" s="32"/>
      <c r="E69" s="32"/>
      <c r="F69" s="32"/>
      <c r="G69" s="32"/>
      <c r="H69" s="32"/>
      <c r="I69" s="32"/>
      <c r="J69" s="32"/>
      <c r="K69" s="32"/>
      <c r="L69" s="32"/>
      <c r="M69" s="32"/>
      <c r="N69" s="32"/>
      <c r="O69" s="32"/>
      <c r="P69" s="32"/>
      <c r="Q69" s="32"/>
      <c r="R69" s="32"/>
      <c r="S69" s="32"/>
      <c r="T69" s="32"/>
      <c r="U69" s="32"/>
      <c r="V69" s="32"/>
      <c r="W69" s="32"/>
      <c r="X69" s="32"/>
      <c r="Y69" s="32"/>
      <c r="Z69" s="32"/>
      <c r="AA69" s="32"/>
      <c r="AB69" s="32"/>
      <c r="AC69" s="32"/>
      <c r="AD69" s="32"/>
      <c r="AE69" s="32"/>
      <c r="AF69" s="32"/>
      <c r="AG69" s="32"/>
      <c r="AH69" s="32"/>
      <c r="AI69" s="32"/>
      <c r="AJ69" s="32"/>
      <c r="AK69" s="32"/>
      <c r="AL69" s="32"/>
    </row>
    <row r="70" spans="1:38" ht="15.75" hidden="1" customHeight="1">
      <c r="A70" s="32"/>
      <c r="B70" s="32"/>
      <c r="C70" s="32"/>
      <c r="D70" s="32"/>
      <c r="E70" s="32"/>
      <c r="F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L70" s="32"/>
    </row>
    <row r="71" spans="1:38" ht="15.75" hidden="1" customHeight="1">
      <c r="A71" s="32"/>
      <c r="B71" s="32"/>
      <c r="C71" s="32"/>
      <c r="D71" s="32"/>
      <c r="E71" s="32"/>
      <c r="F71" s="32"/>
      <c r="G71" s="32"/>
      <c r="H71" s="32"/>
      <c r="I71" s="32"/>
      <c r="J71" s="32"/>
      <c r="K71" s="32"/>
      <c r="L71" s="32"/>
      <c r="M71" s="32"/>
      <c r="N71" s="32"/>
      <c r="O71" s="32"/>
      <c r="P71" s="32"/>
      <c r="Q71" s="32"/>
      <c r="R71" s="32"/>
      <c r="S71" s="32"/>
      <c r="T71" s="32"/>
      <c r="U71" s="32"/>
      <c r="V71" s="32"/>
      <c r="W71" s="32"/>
      <c r="X71" s="32"/>
      <c r="Y71" s="32"/>
      <c r="Z71" s="32"/>
      <c r="AA71" s="32"/>
      <c r="AB71" s="32"/>
      <c r="AC71" s="32"/>
      <c r="AD71" s="32"/>
      <c r="AE71" s="32"/>
      <c r="AF71" s="32"/>
      <c r="AG71" s="32"/>
      <c r="AH71" s="32"/>
      <c r="AI71" s="32"/>
      <c r="AJ71" s="32"/>
      <c r="AK71" s="32"/>
      <c r="AL71" s="32"/>
    </row>
    <row r="72" spans="1:38" ht="15.75" hidden="1" customHeight="1">
      <c r="A72" s="32"/>
      <c r="B72" s="32"/>
      <c r="C72" s="32"/>
      <c r="D72" s="32"/>
      <c r="E72" s="32"/>
      <c r="F72" s="32"/>
      <c r="G72" s="32"/>
      <c r="H72" s="32"/>
      <c r="I72" s="32"/>
      <c r="J72" s="32"/>
      <c r="K72" s="32"/>
      <c r="L72" s="32"/>
      <c r="M72" s="32"/>
      <c r="N72" s="32"/>
      <c r="O72" s="32"/>
      <c r="P72" s="32"/>
      <c r="Q72" s="32"/>
      <c r="R72" s="32"/>
      <c r="S72" s="32"/>
      <c r="T72" s="32"/>
      <c r="U72" s="32"/>
      <c r="V72" s="32"/>
      <c r="W72" s="32"/>
      <c r="X72" s="32"/>
      <c r="Y72" s="32"/>
      <c r="Z72" s="32"/>
      <c r="AA72" s="32"/>
      <c r="AB72" s="32"/>
      <c r="AC72" s="32"/>
      <c r="AD72" s="32"/>
      <c r="AE72" s="32"/>
      <c r="AF72" s="32"/>
      <c r="AG72" s="32"/>
      <c r="AH72" s="32"/>
      <c r="AI72" s="32"/>
      <c r="AJ72" s="32"/>
      <c r="AK72" s="32"/>
      <c r="AL72" s="32"/>
    </row>
    <row r="73" spans="1:38" ht="15.75" hidden="1" customHeight="1">
      <c r="A73" s="32"/>
      <c r="B73" s="32"/>
      <c r="C73" s="32"/>
      <c r="D73" s="32"/>
      <c r="E73" s="32"/>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row>
    <row r="74" spans="1:38" ht="15.75" hidden="1" customHeight="1">
      <c r="A74" s="32"/>
      <c r="B74" s="32"/>
      <c r="C74" s="32"/>
      <c r="D74" s="32"/>
      <c r="E74" s="32"/>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row>
    <row r="75" spans="1:38" ht="15.75" hidden="1" customHeight="1">
      <c r="A75" s="32"/>
      <c r="B75" s="32"/>
      <c r="C75" s="32"/>
      <c r="D75" s="32"/>
      <c r="E75" s="32"/>
      <c r="F75" s="32"/>
      <c r="G75" s="32"/>
      <c r="H75" s="32"/>
      <c r="I75" s="32"/>
      <c r="J75" s="32"/>
      <c r="K75" s="32"/>
      <c r="L75" s="32"/>
      <c r="M75" s="32"/>
      <c r="N75" s="32"/>
      <c r="O75" s="32"/>
      <c r="P75" s="32"/>
      <c r="Q75" s="32"/>
      <c r="R75" s="32"/>
      <c r="S75" s="32"/>
      <c r="T75" s="32"/>
      <c r="U75" s="32"/>
      <c r="V75" s="32"/>
      <c r="W75" s="32"/>
      <c r="X75" s="32"/>
      <c r="Y75" s="32"/>
      <c r="Z75" s="32"/>
      <c r="AA75" s="32"/>
      <c r="AB75" s="32"/>
      <c r="AC75" s="32"/>
      <c r="AD75" s="32"/>
      <c r="AE75" s="32"/>
      <c r="AF75" s="32"/>
      <c r="AG75" s="32"/>
      <c r="AH75" s="32"/>
      <c r="AI75" s="32"/>
      <c r="AJ75" s="32"/>
      <c r="AK75" s="32"/>
      <c r="AL75" s="32"/>
    </row>
    <row r="76" spans="1:38" ht="15.75" hidden="1" customHeight="1">
      <c r="A76" s="32"/>
      <c r="B76" s="32"/>
      <c r="C76" s="32"/>
      <c r="D76" s="32"/>
      <c r="E76" s="32"/>
      <c r="F76" s="32"/>
      <c r="G76" s="32"/>
      <c r="H76" s="32"/>
      <c r="I76" s="32"/>
      <c r="J76" s="32"/>
      <c r="K76" s="32"/>
      <c r="L76" s="32"/>
      <c r="M76" s="32"/>
      <c r="N76" s="32"/>
      <c r="O76" s="32"/>
      <c r="P76" s="32"/>
      <c r="Q76" s="32"/>
      <c r="R76" s="32"/>
      <c r="S76" s="32"/>
      <c r="T76" s="32"/>
      <c r="U76" s="32"/>
      <c r="V76" s="32"/>
      <c r="W76" s="32"/>
      <c r="X76" s="32"/>
      <c r="Y76" s="32"/>
      <c r="Z76" s="32"/>
      <c r="AA76" s="32"/>
      <c r="AB76" s="32"/>
      <c r="AC76" s="32"/>
      <c r="AD76" s="32"/>
      <c r="AE76" s="32"/>
      <c r="AF76" s="32"/>
      <c r="AG76" s="32"/>
      <c r="AH76" s="32"/>
      <c r="AI76" s="32"/>
      <c r="AJ76" s="32"/>
      <c r="AK76" s="32"/>
      <c r="AL76" s="32"/>
    </row>
    <row r="77" spans="1:38" ht="15.75" hidden="1" customHeight="1">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c r="AA77" s="32"/>
      <c r="AB77" s="32"/>
      <c r="AC77" s="32"/>
      <c r="AD77" s="32"/>
      <c r="AE77" s="32"/>
      <c r="AF77" s="32"/>
      <c r="AG77" s="32"/>
      <c r="AH77" s="32"/>
      <c r="AI77" s="32"/>
      <c r="AJ77" s="32"/>
      <c r="AK77" s="32"/>
      <c r="AL77" s="32"/>
    </row>
    <row r="78" spans="1:38" ht="15.75" hidden="1" customHeight="1">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B78" s="32"/>
      <c r="AC78" s="32"/>
      <c r="AD78" s="32"/>
      <c r="AE78" s="32"/>
      <c r="AF78" s="32"/>
      <c r="AG78" s="32"/>
      <c r="AH78" s="32"/>
      <c r="AI78" s="32"/>
      <c r="AJ78" s="32"/>
      <c r="AK78" s="32"/>
      <c r="AL78" s="32"/>
    </row>
    <row r="79" spans="1:38" ht="15.75" hidden="1" customHeight="1">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c r="AA79" s="32"/>
      <c r="AB79" s="32"/>
      <c r="AC79" s="32"/>
      <c r="AD79" s="32"/>
      <c r="AE79" s="32"/>
      <c r="AF79" s="32"/>
      <c r="AG79" s="32"/>
      <c r="AH79" s="32"/>
      <c r="AI79" s="32"/>
      <c r="AJ79" s="32"/>
      <c r="AK79" s="32"/>
      <c r="AL79" s="32"/>
    </row>
    <row r="80" spans="1:38" ht="15.75" hidden="1" customHeight="1">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c r="AA80" s="32"/>
      <c r="AB80" s="32"/>
      <c r="AC80" s="32"/>
      <c r="AD80" s="32"/>
      <c r="AE80" s="32"/>
      <c r="AF80" s="32"/>
      <c r="AG80" s="32"/>
      <c r="AH80" s="32"/>
      <c r="AI80" s="32"/>
      <c r="AJ80" s="32"/>
      <c r="AK80" s="32"/>
      <c r="AL80" s="32"/>
    </row>
    <row r="81" spans="1:38" ht="15.75" hidden="1" customHeight="1">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row>
    <row r="82" spans="1:38" ht="15.75" hidden="1" customHeight="1">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row>
    <row r="83" spans="1:38" ht="15.75" hidden="1" customHeight="1">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row>
    <row r="84" spans="1:38" ht="15.75" hidden="1" customHeight="1">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row>
    <row r="85" spans="1:38" ht="15.75" hidden="1" customHeight="1">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row>
    <row r="86" spans="1:38" ht="15.75" hidden="1" customHeight="1">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row>
    <row r="87" spans="1:38" ht="15.75" hidden="1" customHeight="1">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row>
    <row r="88" spans="1:38" ht="15.75" hidden="1" customHeight="1">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row>
    <row r="89" spans="1:38" ht="15.75" hidden="1" customHeight="1">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row>
    <row r="90" spans="1:38" ht="15.75" hidden="1" customHeight="1">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row>
    <row r="91" spans="1:38" ht="15.75" hidden="1" customHeight="1">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row>
    <row r="92" spans="1:38" ht="15.75" hidden="1" customHeight="1">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row>
    <row r="93" spans="1:38" ht="15.75" hidden="1" customHeight="1">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row>
    <row r="94" spans="1:38" ht="15.75" hidden="1" customHeight="1">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row>
    <row r="95" spans="1:38" ht="15.75" hidden="1" customHeight="1">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row>
    <row r="96" spans="1:38" ht="15.75" hidden="1" customHeight="1">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row>
    <row r="97" spans="1:38" ht="15.75" hidden="1" customHeight="1">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row>
    <row r="98" spans="1:38" ht="15.75" hidden="1" customHeight="1">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row>
    <row r="99" spans="1:38" ht="15.75" hidden="1" customHeight="1">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row>
    <row r="100" spans="1:38" ht="15.75" hidden="1" customHeight="1">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row>
    <row r="101" spans="1:38" ht="15.75" hidden="1" customHeight="1">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c r="AE101" s="32"/>
      <c r="AF101" s="32"/>
      <c r="AG101" s="32"/>
      <c r="AH101" s="32"/>
      <c r="AI101" s="32"/>
      <c r="AJ101" s="32"/>
      <c r="AK101" s="32"/>
      <c r="AL101" s="32"/>
    </row>
    <row r="102" spans="1:38" ht="15.75" hidden="1" customHeight="1">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c r="AE102" s="32"/>
      <c r="AF102" s="32"/>
      <c r="AG102" s="32"/>
      <c r="AH102" s="32"/>
      <c r="AI102" s="32"/>
      <c r="AJ102" s="32"/>
      <c r="AK102" s="32"/>
      <c r="AL102" s="32"/>
    </row>
    <row r="103" spans="1:38" ht="15.75" hidden="1" customHeight="1">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c r="AE103" s="32"/>
      <c r="AF103" s="32"/>
      <c r="AG103" s="32"/>
      <c r="AH103" s="32"/>
      <c r="AI103" s="32"/>
      <c r="AJ103" s="32"/>
      <c r="AK103" s="32"/>
      <c r="AL103" s="32"/>
    </row>
    <row r="104" spans="1:38" ht="15.75" hidden="1" customHeight="1">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c r="AE104" s="32"/>
      <c r="AF104" s="32"/>
      <c r="AG104" s="32"/>
      <c r="AH104" s="32"/>
      <c r="AI104" s="32"/>
      <c r="AJ104" s="32"/>
      <c r="AK104" s="32"/>
      <c r="AL104" s="32"/>
    </row>
    <row r="105" spans="1:38" ht="15.75" hidden="1" customHeight="1">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c r="AE105" s="32"/>
      <c r="AF105" s="32"/>
      <c r="AG105" s="32"/>
      <c r="AH105" s="32"/>
      <c r="AI105" s="32"/>
      <c r="AJ105" s="32"/>
      <c r="AK105" s="32"/>
      <c r="AL105" s="32"/>
    </row>
    <row r="106" spans="1:38" ht="15.75" hidden="1" customHeight="1">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c r="AE106" s="32"/>
      <c r="AF106" s="32"/>
      <c r="AG106" s="32"/>
      <c r="AH106" s="32"/>
      <c r="AI106" s="32"/>
      <c r="AJ106" s="32"/>
      <c r="AK106" s="32"/>
      <c r="AL106" s="32"/>
    </row>
    <row r="107" spans="1:38" ht="15.75" hidden="1" customHeight="1">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c r="AE107" s="32"/>
      <c r="AF107" s="32"/>
      <c r="AG107" s="32"/>
      <c r="AH107" s="32"/>
      <c r="AI107" s="32"/>
      <c r="AJ107" s="32"/>
      <c r="AK107" s="32"/>
      <c r="AL107" s="32"/>
    </row>
    <row r="108" spans="1:38" ht="15.75" hidden="1" customHeight="1">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2"/>
      <c r="AL108" s="32"/>
    </row>
    <row r="109" spans="1:38" ht="15.75" hidden="1" customHeight="1">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row>
    <row r="110" spans="1:38" ht="15.75" hidden="1" customHeight="1">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row>
    <row r="111" spans="1:38" ht="15.75" hidden="1" customHeight="1">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c r="AE111" s="32"/>
      <c r="AF111" s="32"/>
      <c r="AG111" s="32"/>
      <c r="AH111" s="32"/>
      <c r="AI111" s="32"/>
      <c r="AJ111" s="32"/>
      <c r="AK111" s="32"/>
      <c r="AL111" s="32"/>
    </row>
    <row r="112" spans="1:38" ht="15.75" hidden="1" customHeight="1">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c r="AE112" s="32"/>
      <c r="AF112" s="32"/>
      <c r="AG112" s="32"/>
      <c r="AH112" s="32"/>
      <c r="AI112" s="32"/>
      <c r="AJ112" s="32"/>
      <c r="AK112" s="32"/>
      <c r="AL112" s="32"/>
    </row>
    <row r="113" spans="1:38" ht="15.75" hidden="1" customHeight="1">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c r="AE113" s="32"/>
      <c r="AF113" s="32"/>
      <c r="AG113" s="32"/>
      <c r="AH113" s="32"/>
      <c r="AI113" s="32"/>
      <c r="AJ113" s="32"/>
      <c r="AK113" s="32"/>
      <c r="AL113" s="32"/>
    </row>
    <row r="114" spans="1:38" ht="15.75" hidden="1" customHeight="1">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c r="AG114" s="32"/>
      <c r="AH114" s="32"/>
      <c r="AI114" s="32"/>
      <c r="AJ114" s="32"/>
      <c r="AK114" s="32"/>
      <c r="AL114" s="32"/>
    </row>
    <row r="115" spans="1:38" ht="15.75" hidden="1" customHeight="1">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c r="AE115" s="32"/>
      <c r="AF115" s="32"/>
      <c r="AG115" s="32"/>
      <c r="AH115" s="32"/>
      <c r="AI115" s="32"/>
      <c r="AJ115" s="32"/>
      <c r="AK115" s="32"/>
      <c r="AL115" s="32"/>
    </row>
    <row r="116" spans="1:38" ht="15.75" hidden="1" customHeight="1">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c r="AE116" s="32"/>
      <c r="AF116" s="32"/>
      <c r="AG116" s="32"/>
      <c r="AH116" s="32"/>
      <c r="AI116" s="32"/>
      <c r="AJ116" s="32"/>
      <c r="AK116" s="32"/>
      <c r="AL116" s="32"/>
    </row>
    <row r="117" spans="1:38" ht="15.75" hidden="1" customHeight="1">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c r="AE117" s="32"/>
      <c r="AF117" s="32"/>
      <c r="AG117" s="32"/>
      <c r="AH117" s="32"/>
      <c r="AI117" s="32"/>
      <c r="AJ117" s="32"/>
      <c r="AK117" s="32"/>
      <c r="AL117" s="32"/>
    </row>
    <row r="118" spans="1:38" ht="15.75" hidden="1" customHeight="1">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c r="AE118" s="32"/>
      <c r="AF118" s="32"/>
      <c r="AG118" s="32"/>
      <c r="AH118" s="32"/>
      <c r="AI118" s="32"/>
      <c r="AJ118" s="32"/>
      <c r="AK118" s="32"/>
      <c r="AL118" s="32"/>
    </row>
    <row r="119" spans="1:38" ht="15.75" hidden="1" customHeight="1">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c r="AE119" s="32"/>
      <c r="AF119" s="32"/>
      <c r="AG119" s="32"/>
      <c r="AH119" s="32"/>
      <c r="AI119" s="32"/>
      <c r="AJ119" s="32"/>
      <c r="AK119" s="32"/>
      <c r="AL119" s="32"/>
    </row>
    <row r="120" spans="1:38" ht="15.75" hidden="1" customHeight="1">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c r="AE120" s="32"/>
      <c r="AF120" s="32"/>
      <c r="AG120" s="32"/>
      <c r="AH120" s="32"/>
      <c r="AI120" s="32"/>
      <c r="AJ120" s="32"/>
      <c r="AK120" s="32"/>
      <c r="AL120" s="32"/>
    </row>
    <row r="121" spans="1:38" ht="15.75" hidden="1" customHeight="1">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c r="AE121" s="32"/>
      <c r="AF121" s="32"/>
      <c r="AG121" s="32"/>
      <c r="AH121" s="32"/>
      <c r="AI121" s="32"/>
      <c r="AJ121" s="32"/>
      <c r="AK121" s="32"/>
      <c r="AL121" s="32"/>
    </row>
    <row r="122" spans="1:38" ht="15.75" hidden="1" customHeight="1">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c r="AE122" s="32"/>
      <c r="AF122" s="32"/>
      <c r="AG122" s="32"/>
      <c r="AH122" s="32"/>
      <c r="AI122" s="32"/>
      <c r="AJ122" s="32"/>
      <c r="AK122" s="32"/>
      <c r="AL122" s="32"/>
    </row>
    <row r="123" spans="1:38" ht="15.75" hidden="1" customHeight="1">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c r="AE123" s="32"/>
      <c r="AF123" s="32"/>
      <c r="AG123" s="32"/>
      <c r="AH123" s="32"/>
      <c r="AI123" s="32"/>
      <c r="AJ123" s="32"/>
      <c r="AK123" s="32"/>
      <c r="AL123" s="32"/>
    </row>
    <row r="124" spans="1:38" ht="15.75" hidden="1" customHeight="1">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c r="AE124" s="32"/>
      <c r="AF124" s="32"/>
      <c r="AG124" s="32"/>
      <c r="AH124" s="32"/>
      <c r="AI124" s="32"/>
      <c r="AJ124" s="32"/>
      <c r="AK124" s="32"/>
      <c r="AL124" s="32"/>
    </row>
    <row r="125" spans="1:38" ht="15.75" hidden="1" customHeight="1">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c r="AE125" s="32"/>
      <c r="AF125" s="32"/>
      <c r="AG125" s="32"/>
      <c r="AH125" s="32"/>
      <c r="AI125" s="32"/>
      <c r="AJ125" s="32"/>
      <c r="AK125" s="32"/>
      <c r="AL125" s="32"/>
    </row>
    <row r="126" spans="1:38" ht="15.75" hidden="1" customHeight="1">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c r="AE126" s="32"/>
      <c r="AF126" s="32"/>
      <c r="AG126" s="32"/>
      <c r="AH126" s="32"/>
      <c r="AI126" s="32"/>
      <c r="AJ126" s="32"/>
      <c r="AK126" s="32"/>
      <c r="AL126" s="32"/>
    </row>
    <row r="127" spans="1:38" ht="15.75" hidden="1" customHeight="1">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c r="AE127" s="32"/>
      <c r="AF127" s="32"/>
      <c r="AG127" s="32"/>
      <c r="AH127" s="32"/>
      <c r="AI127" s="32"/>
      <c r="AJ127" s="32"/>
      <c r="AK127" s="32"/>
      <c r="AL127" s="32"/>
    </row>
    <row r="128" spans="1:38" ht="15.75" hidden="1" customHeight="1">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c r="AE128" s="32"/>
      <c r="AF128" s="32"/>
      <c r="AG128" s="32"/>
      <c r="AH128" s="32"/>
      <c r="AI128" s="32"/>
      <c r="AJ128" s="32"/>
      <c r="AK128" s="32"/>
      <c r="AL128" s="32"/>
    </row>
    <row r="129" spans="1:38" ht="15.75" hidden="1" customHeight="1">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c r="AE129" s="32"/>
      <c r="AF129" s="32"/>
      <c r="AG129" s="32"/>
      <c r="AH129" s="32"/>
      <c r="AI129" s="32"/>
      <c r="AJ129" s="32"/>
      <c r="AK129" s="32"/>
      <c r="AL129" s="32"/>
    </row>
    <row r="130" spans="1:38" ht="15.75" hidden="1" customHeight="1">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c r="AE130" s="32"/>
      <c r="AF130" s="32"/>
      <c r="AG130" s="32"/>
      <c r="AH130" s="32"/>
      <c r="AI130" s="32"/>
      <c r="AJ130" s="32"/>
      <c r="AK130" s="32"/>
      <c r="AL130" s="32"/>
    </row>
    <row r="131" spans="1:38" ht="15.75" hidden="1" customHeight="1">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c r="AE131" s="32"/>
      <c r="AF131" s="32"/>
      <c r="AG131" s="32"/>
      <c r="AH131" s="32"/>
      <c r="AI131" s="32"/>
      <c r="AJ131" s="32"/>
      <c r="AK131" s="32"/>
      <c r="AL131" s="32"/>
    </row>
    <row r="132" spans="1:38" ht="15.75" hidden="1" customHeight="1">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c r="AE132" s="32"/>
      <c r="AF132" s="32"/>
      <c r="AG132" s="32"/>
      <c r="AH132" s="32"/>
      <c r="AI132" s="32"/>
      <c r="AJ132" s="32"/>
      <c r="AK132" s="32"/>
      <c r="AL132" s="32"/>
    </row>
    <row r="133" spans="1:38" ht="15.75" hidden="1" customHeight="1">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c r="AE133" s="32"/>
      <c r="AF133" s="32"/>
      <c r="AG133" s="32"/>
      <c r="AH133" s="32"/>
      <c r="AI133" s="32"/>
      <c r="AJ133" s="32"/>
      <c r="AK133" s="32"/>
      <c r="AL133" s="32"/>
    </row>
    <row r="134" spans="1:38" ht="15.75" hidden="1" customHeight="1">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c r="AE134" s="32"/>
      <c r="AF134" s="32"/>
      <c r="AG134" s="32"/>
      <c r="AH134" s="32"/>
      <c r="AI134" s="32"/>
      <c r="AJ134" s="32"/>
      <c r="AK134" s="32"/>
      <c r="AL134" s="32"/>
    </row>
    <row r="135" spans="1:38" ht="15.75" hidden="1" customHeight="1">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c r="AH135" s="32"/>
      <c r="AI135" s="32"/>
      <c r="AJ135" s="32"/>
      <c r="AK135" s="32"/>
      <c r="AL135" s="32"/>
    </row>
    <row r="136" spans="1:38" ht="15.75" hidden="1" customHeight="1">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c r="AG136" s="32"/>
      <c r="AH136" s="32"/>
      <c r="AI136" s="32"/>
      <c r="AJ136" s="32"/>
      <c r="AK136" s="32"/>
      <c r="AL136" s="32"/>
    </row>
    <row r="137" spans="1:38" ht="15.75" hidden="1" customHeight="1">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c r="AE137" s="32"/>
      <c r="AF137" s="32"/>
      <c r="AG137" s="32"/>
      <c r="AH137" s="32"/>
      <c r="AI137" s="32"/>
      <c r="AJ137" s="32"/>
      <c r="AK137" s="32"/>
      <c r="AL137" s="32"/>
    </row>
    <row r="138" spans="1:38" ht="15.75" hidden="1" customHeight="1">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c r="AE138" s="32"/>
      <c r="AF138" s="32"/>
      <c r="AG138" s="32"/>
      <c r="AH138" s="32"/>
      <c r="AI138" s="32"/>
      <c r="AJ138" s="32"/>
      <c r="AK138" s="32"/>
      <c r="AL138" s="32"/>
    </row>
    <row r="139" spans="1:38" ht="15.75" hidden="1" customHeight="1">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row>
    <row r="140" spans="1:38" ht="15.75" hidden="1" customHeight="1">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c r="AG140" s="32"/>
      <c r="AH140" s="32"/>
      <c r="AI140" s="32"/>
      <c r="AJ140" s="32"/>
      <c r="AK140" s="32"/>
      <c r="AL140" s="32"/>
    </row>
    <row r="141" spans="1:38" ht="15.75" hidden="1" customHeight="1">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c r="AE141" s="32"/>
      <c r="AF141" s="32"/>
      <c r="AG141" s="32"/>
      <c r="AH141" s="32"/>
      <c r="AI141" s="32"/>
      <c r="AJ141" s="32"/>
      <c r="AK141" s="32"/>
      <c r="AL141" s="32"/>
    </row>
    <row r="142" spans="1:38" ht="15.75" hidden="1" customHeight="1">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c r="AE142" s="32"/>
      <c r="AF142" s="32"/>
      <c r="AG142" s="32"/>
      <c r="AH142" s="32"/>
      <c r="AI142" s="32"/>
      <c r="AJ142" s="32"/>
      <c r="AK142" s="32"/>
      <c r="AL142" s="32"/>
    </row>
    <row r="143" spans="1:38" ht="15.75" hidden="1" customHeight="1">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c r="AH143" s="32"/>
      <c r="AI143" s="32"/>
      <c r="AJ143" s="32"/>
      <c r="AK143" s="32"/>
      <c r="AL143" s="32"/>
    </row>
    <row r="144" spans="1:38" ht="15.75" hidden="1" customHeight="1">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c r="AE144" s="32"/>
      <c r="AF144" s="32"/>
      <c r="AG144" s="32"/>
      <c r="AH144" s="32"/>
      <c r="AI144" s="32"/>
      <c r="AJ144" s="32"/>
      <c r="AK144" s="32"/>
      <c r="AL144" s="32"/>
    </row>
    <row r="145" spans="1:38" ht="15.75" hidden="1" customHeight="1">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c r="AE145" s="32"/>
      <c r="AF145" s="32"/>
      <c r="AG145" s="32"/>
      <c r="AH145" s="32"/>
      <c r="AI145" s="32"/>
      <c r="AJ145" s="32"/>
      <c r="AK145" s="32"/>
      <c r="AL145" s="32"/>
    </row>
    <row r="146" spans="1:38" ht="15.75" hidden="1" customHeight="1">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row>
    <row r="147" spans="1:38" ht="15.75" hidden="1" customHeight="1">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row>
    <row r="148" spans="1:38" ht="15.75" hidden="1" customHeight="1">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c r="AE148" s="32"/>
      <c r="AF148" s="32"/>
      <c r="AG148" s="32"/>
      <c r="AH148" s="32"/>
      <c r="AI148" s="32"/>
      <c r="AJ148" s="32"/>
      <c r="AK148" s="32"/>
      <c r="AL148" s="32"/>
    </row>
    <row r="149" spans="1:38" ht="15.75" hidden="1" customHeight="1">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c r="AE149" s="32"/>
      <c r="AF149" s="32"/>
      <c r="AG149" s="32"/>
      <c r="AH149" s="32"/>
      <c r="AI149" s="32"/>
      <c r="AJ149" s="32"/>
      <c r="AK149" s="32"/>
      <c r="AL149" s="32"/>
    </row>
    <row r="150" spans="1:38" ht="15.75" hidden="1" customHeight="1">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c r="AF150" s="32"/>
      <c r="AG150" s="32"/>
      <c r="AH150" s="32"/>
      <c r="AI150" s="32"/>
      <c r="AJ150" s="32"/>
      <c r="AK150" s="32"/>
      <c r="AL150" s="32"/>
    </row>
    <row r="151" spans="1:38" ht="15.75" hidden="1" customHeight="1">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row>
    <row r="152" spans="1:38" ht="15.75" hidden="1" customHeight="1">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c r="AH152" s="32"/>
      <c r="AI152" s="32"/>
      <c r="AJ152" s="32"/>
      <c r="AK152" s="32"/>
      <c r="AL152" s="32"/>
    </row>
    <row r="153" spans="1:38" ht="15.75" hidden="1" customHeight="1">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c r="AG153" s="32"/>
      <c r="AH153" s="32"/>
      <c r="AI153" s="32"/>
      <c r="AJ153" s="32"/>
      <c r="AK153" s="32"/>
      <c r="AL153" s="32"/>
    </row>
    <row r="154" spans="1:38" ht="15.75" hidden="1" customHeight="1">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c r="AH154" s="32"/>
      <c r="AI154" s="32"/>
      <c r="AJ154" s="32"/>
      <c r="AK154" s="32"/>
      <c r="AL154" s="32"/>
    </row>
    <row r="155" spans="1:38" ht="15.75" hidden="1" customHeight="1">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c r="AE155" s="32"/>
      <c r="AF155" s="32"/>
      <c r="AG155" s="32"/>
      <c r="AH155" s="32"/>
      <c r="AI155" s="32"/>
      <c r="AJ155" s="32"/>
      <c r="AK155" s="32"/>
      <c r="AL155" s="32"/>
    </row>
    <row r="156" spans="1:38" ht="15.75" hidden="1" customHeight="1">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c r="AE156" s="32"/>
      <c r="AF156" s="32"/>
      <c r="AG156" s="32"/>
      <c r="AH156" s="32"/>
      <c r="AI156" s="32"/>
      <c r="AJ156" s="32"/>
      <c r="AK156" s="32"/>
      <c r="AL156" s="32"/>
    </row>
    <row r="157" spans="1:38" ht="15.75" hidden="1" customHeight="1">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c r="AE157" s="32"/>
      <c r="AF157" s="32"/>
      <c r="AG157" s="32"/>
      <c r="AH157" s="32"/>
      <c r="AI157" s="32"/>
      <c r="AJ157" s="32"/>
      <c r="AK157" s="32"/>
      <c r="AL157" s="32"/>
    </row>
    <row r="158" spans="1:38" ht="15.75" hidden="1" customHeight="1">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c r="AE158" s="32"/>
      <c r="AF158" s="32"/>
      <c r="AG158" s="32"/>
      <c r="AH158" s="32"/>
      <c r="AI158" s="32"/>
      <c r="AJ158" s="32"/>
      <c r="AK158" s="32"/>
      <c r="AL158" s="32"/>
    </row>
    <row r="159" spans="1:38" ht="15.75" hidden="1" customHeight="1">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c r="AE159" s="32"/>
      <c r="AF159" s="32"/>
      <c r="AG159" s="32"/>
      <c r="AH159" s="32"/>
      <c r="AI159" s="32"/>
      <c r="AJ159" s="32"/>
      <c r="AK159" s="32"/>
      <c r="AL159" s="32"/>
    </row>
    <row r="160" spans="1:38" ht="15.75" hidden="1" customHeight="1">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c r="AE160" s="32"/>
      <c r="AF160" s="32"/>
      <c r="AG160" s="32"/>
      <c r="AH160" s="32"/>
      <c r="AI160" s="32"/>
      <c r="AJ160" s="32"/>
      <c r="AK160" s="32"/>
      <c r="AL160" s="32"/>
    </row>
    <row r="161" spans="1:38" ht="15.75" hidden="1" customHeight="1">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c r="AE161" s="32"/>
      <c r="AF161" s="32"/>
      <c r="AG161" s="32"/>
      <c r="AH161" s="32"/>
      <c r="AI161" s="32"/>
      <c r="AJ161" s="32"/>
      <c r="AK161" s="32"/>
      <c r="AL161" s="32"/>
    </row>
    <row r="162" spans="1:38" ht="15.75" hidden="1" customHeight="1">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c r="AE162" s="32"/>
      <c r="AF162" s="32"/>
      <c r="AG162" s="32"/>
      <c r="AH162" s="32"/>
      <c r="AI162" s="32"/>
      <c r="AJ162" s="32"/>
      <c r="AK162" s="32"/>
      <c r="AL162" s="32"/>
    </row>
    <row r="163" spans="1:38" ht="15.75" hidden="1" customHeight="1">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c r="AE163" s="32"/>
      <c r="AF163" s="32"/>
      <c r="AG163" s="32"/>
      <c r="AH163" s="32"/>
      <c r="AI163" s="32"/>
      <c r="AJ163" s="32"/>
      <c r="AK163" s="32"/>
      <c r="AL163" s="32"/>
    </row>
    <row r="164" spans="1:38" ht="15.75" hidden="1" customHeight="1">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c r="AE164" s="32"/>
      <c r="AF164" s="32"/>
      <c r="AG164" s="32"/>
      <c r="AH164" s="32"/>
      <c r="AI164" s="32"/>
      <c r="AJ164" s="32"/>
      <c r="AK164" s="32"/>
      <c r="AL164" s="32"/>
    </row>
    <row r="165" spans="1:38" ht="15.75" hidden="1" customHeight="1">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c r="AE165" s="32"/>
      <c r="AF165" s="32"/>
      <c r="AG165" s="32"/>
      <c r="AH165" s="32"/>
      <c r="AI165" s="32"/>
      <c r="AJ165" s="32"/>
      <c r="AK165" s="32"/>
      <c r="AL165" s="32"/>
    </row>
    <row r="166" spans="1:38" ht="15.75" hidden="1" customHeight="1">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c r="AE166" s="32"/>
      <c r="AF166" s="32"/>
      <c r="AG166" s="32"/>
      <c r="AH166" s="32"/>
      <c r="AI166" s="32"/>
      <c r="AJ166" s="32"/>
      <c r="AK166" s="32"/>
      <c r="AL166" s="32"/>
    </row>
    <row r="167" spans="1:38" ht="15.75" hidden="1" customHeight="1">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c r="AE167" s="32"/>
      <c r="AF167" s="32"/>
      <c r="AG167" s="32"/>
      <c r="AH167" s="32"/>
      <c r="AI167" s="32"/>
      <c r="AJ167" s="32"/>
      <c r="AK167" s="32"/>
      <c r="AL167" s="32"/>
    </row>
    <row r="168" spans="1:38" ht="15.75" hidden="1" customHeight="1">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c r="AE168" s="32"/>
      <c r="AF168" s="32"/>
      <c r="AG168" s="32"/>
      <c r="AH168" s="32"/>
      <c r="AI168" s="32"/>
      <c r="AJ168" s="32"/>
      <c r="AK168" s="32"/>
      <c r="AL168" s="32"/>
    </row>
    <row r="169" spans="1:38" ht="15.75" hidden="1" customHeight="1">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c r="AE169" s="32"/>
      <c r="AF169" s="32"/>
      <c r="AG169" s="32"/>
      <c r="AH169" s="32"/>
      <c r="AI169" s="32"/>
      <c r="AJ169" s="32"/>
      <c r="AK169" s="32"/>
      <c r="AL169" s="32"/>
    </row>
    <row r="170" spans="1:38" ht="15.75" hidden="1" customHeight="1">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c r="AA170" s="32"/>
      <c r="AB170" s="32"/>
      <c r="AC170" s="32"/>
      <c r="AD170" s="32"/>
      <c r="AE170" s="32"/>
      <c r="AF170" s="32"/>
      <c r="AG170" s="32"/>
      <c r="AH170" s="32"/>
      <c r="AI170" s="32"/>
      <c r="AJ170" s="32"/>
      <c r="AK170" s="32"/>
      <c r="AL170" s="32"/>
    </row>
    <row r="171" spans="1:38" ht="15.75" hidden="1" customHeight="1">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c r="AE171" s="32"/>
      <c r="AF171" s="32"/>
      <c r="AG171" s="32"/>
      <c r="AH171" s="32"/>
      <c r="AI171" s="32"/>
      <c r="AJ171" s="32"/>
      <c r="AK171" s="32"/>
      <c r="AL171" s="32"/>
    </row>
    <row r="172" spans="1:38" ht="15.75" hidden="1" customHeight="1">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c r="AE172" s="32"/>
      <c r="AF172" s="32"/>
      <c r="AG172" s="32"/>
      <c r="AH172" s="32"/>
      <c r="AI172" s="32"/>
      <c r="AJ172" s="32"/>
      <c r="AK172" s="32"/>
      <c r="AL172" s="32"/>
    </row>
    <row r="173" spans="1:38" ht="15.75" hidden="1" customHeight="1">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c r="AE173" s="32"/>
      <c r="AF173" s="32"/>
      <c r="AG173" s="32"/>
      <c r="AH173" s="32"/>
      <c r="AI173" s="32"/>
      <c r="AJ173" s="32"/>
      <c r="AK173" s="32"/>
      <c r="AL173" s="32"/>
    </row>
    <row r="174" spans="1:38" ht="15.75" hidden="1" customHeight="1">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c r="AE174" s="32"/>
      <c r="AF174" s="32"/>
      <c r="AG174" s="32"/>
      <c r="AH174" s="32"/>
      <c r="AI174" s="32"/>
      <c r="AJ174" s="32"/>
      <c r="AK174" s="32"/>
      <c r="AL174" s="32"/>
    </row>
    <row r="175" spans="1:38" ht="15.75" hidden="1" customHeight="1">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c r="AE175" s="32"/>
      <c r="AF175" s="32"/>
      <c r="AG175" s="32"/>
      <c r="AH175" s="32"/>
      <c r="AI175" s="32"/>
      <c r="AJ175" s="32"/>
      <c r="AK175" s="32"/>
      <c r="AL175" s="32"/>
    </row>
    <row r="176" spans="1:38" ht="15.75" hidden="1" customHeight="1">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c r="AE176" s="32"/>
      <c r="AF176" s="32"/>
      <c r="AG176" s="32"/>
      <c r="AH176" s="32"/>
      <c r="AI176" s="32"/>
      <c r="AJ176" s="32"/>
      <c r="AK176" s="32"/>
      <c r="AL176" s="32"/>
    </row>
    <row r="177" spans="1:38" ht="15.75" hidden="1" customHeight="1">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c r="AE177" s="32"/>
      <c r="AF177" s="32"/>
      <c r="AG177" s="32"/>
      <c r="AH177" s="32"/>
      <c r="AI177" s="32"/>
      <c r="AJ177" s="32"/>
      <c r="AK177" s="32"/>
      <c r="AL177" s="32"/>
    </row>
    <row r="178" spans="1:38" ht="15.75" hidden="1" customHeight="1">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c r="AE178" s="32"/>
      <c r="AF178" s="32"/>
      <c r="AG178" s="32"/>
      <c r="AH178" s="32"/>
      <c r="AI178" s="32"/>
      <c r="AJ178" s="32"/>
      <c r="AK178" s="32"/>
      <c r="AL178" s="32"/>
    </row>
    <row r="179" spans="1:38" ht="15.75" hidden="1" customHeight="1">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c r="AE179" s="32"/>
      <c r="AF179" s="32"/>
      <c r="AG179" s="32"/>
      <c r="AH179" s="32"/>
      <c r="AI179" s="32"/>
      <c r="AJ179" s="32"/>
      <c r="AK179" s="32"/>
      <c r="AL179" s="32"/>
    </row>
    <row r="180" spans="1:38" ht="15.75" hidden="1" customHeight="1">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c r="AE180" s="32"/>
      <c r="AF180" s="32"/>
      <c r="AG180" s="32"/>
      <c r="AH180" s="32"/>
      <c r="AI180" s="32"/>
      <c r="AJ180" s="32"/>
      <c r="AK180" s="32"/>
      <c r="AL180" s="32"/>
    </row>
    <row r="181" spans="1:38" ht="15.75" hidden="1" customHeight="1">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c r="AE181" s="32"/>
      <c r="AF181" s="32"/>
      <c r="AG181" s="32"/>
      <c r="AH181" s="32"/>
      <c r="AI181" s="32"/>
      <c r="AJ181" s="32"/>
      <c r="AK181" s="32"/>
      <c r="AL181" s="32"/>
    </row>
    <row r="182" spans="1:38" ht="15.75" hidden="1" customHeight="1">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c r="AE182" s="32"/>
      <c r="AF182" s="32"/>
      <c r="AG182" s="32"/>
      <c r="AH182" s="32"/>
      <c r="AI182" s="32"/>
      <c r="AJ182" s="32"/>
      <c r="AK182" s="32"/>
      <c r="AL182" s="32"/>
    </row>
    <row r="183" spans="1:38" ht="15.75" hidden="1" customHeight="1">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c r="AE183" s="32"/>
      <c r="AF183" s="32"/>
      <c r="AG183" s="32"/>
      <c r="AH183" s="32"/>
      <c r="AI183" s="32"/>
      <c r="AJ183" s="32"/>
      <c r="AK183" s="32"/>
      <c r="AL183" s="32"/>
    </row>
    <row r="184" spans="1:38" ht="15.75" hidden="1" customHeight="1">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c r="AE184" s="32"/>
      <c r="AF184" s="32"/>
      <c r="AG184" s="32"/>
      <c r="AH184" s="32"/>
      <c r="AI184" s="32"/>
      <c r="AJ184" s="32"/>
      <c r="AK184" s="32"/>
      <c r="AL184" s="32"/>
    </row>
    <row r="185" spans="1:38" ht="15.75" hidden="1" customHeight="1">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c r="AH185" s="32"/>
      <c r="AI185" s="32"/>
      <c r="AJ185" s="32"/>
      <c r="AK185" s="32"/>
      <c r="AL185" s="32"/>
    </row>
    <row r="186" spans="1:38" ht="15.75" hidden="1" customHeight="1">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c r="AE186" s="32"/>
      <c r="AF186" s="32"/>
      <c r="AG186" s="32"/>
      <c r="AH186" s="32"/>
      <c r="AI186" s="32"/>
      <c r="AJ186" s="32"/>
      <c r="AK186" s="32"/>
      <c r="AL186" s="32"/>
    </row>
    <row r="187" spans="1:38" ht="15.75" hidden="1" customHeight="1">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c r="AE187" s="32"/>
      <c r="AF187" s="32"/>
      <c r="AG187" s="32"/>
      <c r="AH187" s="32"/>
      <c r="AI187" s="32"/>
      <c r="AJ187" s="32"/>
      <c r="AK187" s="32"/>
      <c r="AL187" s="32"/>
    </row>
    <row r="188" spans="1:38" ht="15.75" hidden="1" customHeight="1">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c r="AE188" s="32"/>
      <c r="AF188" s="32"/>
      <c r="AG188" s="32"/>
      <c r="AH188" s="32"/>
      <c r="AI188" s="32"/>
      <c r="AJ188" s="32"/>
      <c r="AK188" s="32"/>
      <c r="AL188" s="32"/>
    </row>
    <row r="189" spans="1:38" ht="15.75" hidden="1" customHeight="1">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c r="AE189" s="32"/>
      <c r="AF189" s="32"/>
      <c r="AG189" s="32"/>
      <c r="AH189" s="32"/>
      <c r="AI189" s="32"/>
      <c r="AJ189" s="32"/>
      <c r="AK189" s="32"/>
      <c r="AL189" s="32"/>
    </row>
    <row r="190" spans="1:38" ht="15.75" hidden="1" customHeight="1">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c r="AE190" s="32"/>
      <c r="AF190" s="32"/>
      <c r="AG190" s="32"/>
      <c r="AH190" s="32"/>
      <c r="AI190" s="32"/>
      <c r="AJ190" s="32"/>
      <c r="AK190" s="32"/>
      <c r="AL190" s="32"/>
    </row>
    <row r="191" spans="1:38" ht="15.75" hidden="1" customHeight="1">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c r="AE191" s="32"/>
      <c r="AF191" s="32"/>
      <c r="AG191" s="32"/>
      <c r="AH191" s="32"/>
      <c r="AI191" s="32"/>
      <c r="AJ191" s="32"/>
      <c r="AK191" s="32"/>
      <c r="AL191" s="32"/>
    </row>
    <row r="192" spans="1:38" ht="15.75" hidden="1" customHeight="1">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row>
    <row r="193" spans="1:38" ht="15.75" hidden="1" customHeight="1">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row>
    <row r="194" spans="1:38" ht="15.75" hidden="1" customHeight="1">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c r="AE194" s="32"/>
      <c r="AF194" s="32"/>
      <c r="AG194" s="32"/>
      <c r="AH194" s="32"/>
      <c r="AI194" s="32"/>
      <c r="AJ194" s="32"/>
      <c r="AK194" s="32"/>
      <c r="AL194" s="32"/>
    </row>
    <row r="195" spans="1:38" ht="15.75" hidden="1" customHeight="1">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c r="AE195" s="32"/>
      <c r="AF195" s="32"/>
      <c r="AG195" s="32"/>
      <c r="AH195" s="32"/>
      <c r="AI195" s="32"/>
      <c r="AJ195" s="32"/>
      <c r="AK195" s="32"/>
      <c r="AL195" s="32"/>
    </row>
    <row r="196" spans="1:38" ht="15.75" hidden="1" customHeight="1">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c r="AE196" s="32"/>
      <c r="AF196" s="32"/>
      <c r="AG196" s="32"/>
      <c r="AH196" s="32"/>
      <c r="AI196" s="32"/>
      <c r="AJ196" s="32"/>
      <c r="AK196" s="32"/>
      <c r="AL196" s="32"/>
    </row>
    <row r="197" spans="1:38" ht="15.75" hidden="1" customHeight="1">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c r="AE197" s="32"/>
      <c r="AF197" s="32"/>
      <c r="AG197" s="32"/>
      <c r="AH197" s="32"/>
      <c r="AI197" s="32"/>
      <c r="AJ197" s="32"/>
      <c r="AK197" s="32"/>
      <c r="AL197" s="32"/>
    </row>
    <row r="198" spans="1:38" ht="15.75" hidden="1" customHeight="1">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c r="AE198" s="32"/>
      <c r="AF198" s="32"/>
      <c r="AG198" s="32"/>
      <c r="AH198" s="32"/>
      <c r="AI198" s="32"/>
      <c r="AJ198" s="32"/>
      <c r="AK198" s="32"/>
      <c r="AL198" s="32"/>
    </row>
    <row r="199" spans="1:38" ht="15.75" hidden="1" customHeight="1">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c r="AE199" s="32"/>
      <c r="AF199" s="32"/>
      <c r="AG199" s="32"/>
      <c r="AH199" s="32"/>
      <c r="AI199" s="32"/>
      <c r="AJ199" s="32"/>
      <c r="AK199" s="32"/>
      <c r="AL199" s="32"/>
    </row>
    <row r="200" spans="1:38" ht="15.75" hidden="1" customHeight="1">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c r="AE200" s="32"/>
      <c r="AF200" s="32"/>
      <c r="AG200" s="32"/>
      <c r="AH200" s="32"/>
      <c r="AI200" s="32"/>
      <c r="AJ200" s="32"/>
      <c r="AK200" s="32"/>
      <c r="AL200" s="32"/>
    </row>
    <row r="201" spans="1:38" ht="15.75" hidden="1" customHeight="1">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c r="AE201" s="32"/>
      <c r="AF201" s="32"/>
      <c r="AG201" s="32"/>
      <c r="AH201" s="32"/>
      <c r="AI201" s="32"/>
      <c r="AJ201" s="32"/>
      <c r="AK201" s="32"/>
      <c r="AL201" s="32"/>
    </row>
    <row r="202" spans="1:38" ht="15.75" hidden="1" customHeight="1">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c r="AE202" s="32"/>
      <c r="AF202" s="32"/>
      <c r="AG202" s="32"/>
      <c r="AH202" s="32"/>
      <c r="AI202" s="32"/>
      <c r="AJ202" s="32"/>
      <c r="AK202" s="32"/>
      <c r="AL202" s="32"/>
    </row>
    <row r="203" spans="1:38" ht="15.75" hidden="1" customHeight="1">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c r="AE203" s="32"/>
      <c r="AF203" s="32"/>
      <c r="AG203" s="32"/>
      <c r="AH203" s="32"/>
      <c r="AI203" s="32"/>
      <c r="AJ203" s="32"/>
      <c r="AK203" s="32"/>
      <c r="AL203" s="32"/>
    </row>
    <row r="204" spans="1:38" ht="15.75" hidden="1" customHeight="1">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c r="AE204" s="32"/>
      <c r="AF204" s="32"/>
      <c r="AG204" s="32"/>
      <c r="AH204" s="32"/>
      <c r="AI204" s="32"/>
      <c r="AJ204" s="32"/>
      <c r="AK204" s="32"/>
      <c r="AL204" s="32"/>
    </row>
    <row r="205" spans="1:38" ht="15.75" hidden="1" customHeight="1">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c r="AE205" s="32"/>
      <c r="AF205" s="32"/>
      <c r="AG205" s="32"/>
      <c r="AH205" s="32"/>
      <c r="AI205" s="32"/>
      <c r="AJ205" s="32"/>
      <c r="AK205" s="32"/>
      <c r="AL205" s="32"/>
    </row>
    <row r="206" spans="1:38" ht="15.75" hidden="1" customHeight="1">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c r="AE206" s="32"/>
      <c r="AF206" s="32"/>
      <c r="AG206" s="32"/>
      <c r="AH206" s="32"/>
      <c r="AI206" s="32"/>
      <c r="AJ206" s="32"/>
      <c r="AK206" s="32"/>
      <c r="AL206" s="32"/>
    </row>
    <row r="207" spans="1:38" ht="15.75" hidden="1" customHeight="1">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c r="AE207" s="32"/>
      <c r="AF207" s="32"/>
      <c r="AG207" s="32"/>
      <c r="AH207" s="32"/>
      <c r="AI207" s="32"/>
      <c r="AJ207" s="32"/>
      <c r="AK207" s="32"/>
      <c r="AL207" s="32"/>
    </row>
    <row r="208" spans="1:38" ht="15.75" hidden="1" customHeight="1">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c r="AE208" s="32"/>
      <c r="AF208" s="32"/>
      <c r="AG208" s="32"/>
      <c r="AH208" s="32"/>
      <c r="AI208" s="32"/>
      <c r="AJ208" s="32"/>
      <c r="AK208" s="32"/>
      <c r="AL208" s="32"/>
    </row>
    <row r="209" spans="1:38" ht="15.75" hidden="1" customHeight="1">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c r="AE209" s="32"/>
      <c r="AF209" s="32"/>
      <c r="AG209" s="32"/>
      <c r="AH209" s="32"/>
      <c r="AI209" s="32"/>
      <c r="AJ209" s="32"/>
      <c r="AK209" s="32"/>
      <c r="AL209" s="32"/>
    </row>
    <row r="210" spans="1:38" ht="15.75" hidden="1" customHeight="1">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c r="AE210" s="32"/>
      <c r="AF210" s="32"/>
      <c r="AG210" s="32"/>
      <c r="AH210" s="32"/>
      <c r="AI210" s="32"/>
      <c r="AJ210" s="32"/>
      <c r="AK210" s="32"/>
      <c r="AL210" s="32"/>
    </row>
    <row r="211" spans="1:38" ht="15.75" hidden="1" customHeight="1">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c r="AE211" s="32"/>
      <c r="AF211" s="32"/>
      <c r="AG211" s="32"/>
      <c r="AH211" s="32"/>
      <c r="AI211" s="32"/>
      <c r="AJ211" s="32"/>
      <c r="AK211" s="32"/>
      <c r="AL211" s="32"/>
    </row>
    <row r="212" spans="1:38" ht="15.75" hidden="1" customHeight="1">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c r="AI212" s="32"/>
      <c r="AJ212" s="32"/>
      <c r="AK212" s="32"/>
      <c r="AL212" s="32"/>
    </row>
    <row r="213" spans="1:38" ht="15.75" hidden="1" customHeight="1">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c r="AE213" s="32"/>
      <c r="AF213" s="32"/>
      <c r="AG213" s="32"/>
      <c r="AH213" s="32"/>
      <c r="AI213" s="32"/>
      <c r="AJ213" s="32"/>
      <c r="AK213" s="32"/>
      <c r="AL213" s="32"/>
    </row>
    <row r="214" spans="1:38" ht="15.75" hidden="1" customHeight="1">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c r="AE214" s="32"/>
      <c r="AF214" s="32"/>
      <c r="AG214" s="32"/>
      <c r="AH214" s="32"/>
      <c r="AI214" s="32"/>
      <c r="AJ214" s="32"/>
      <c r="AK214" s="32"/>
      <c r="AL214" s="32"/>
    </row>
    <row r="215" spans="1:38" ht="15.75" hidden="1" customHeight="1">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c r="AE215" s="32"/>
      <c r="AF215" s="32"/>
      <c r="AG215" s="32"/>
      <c r="AH215" s="32"/>
      <c r="AI215" s="32"/>
      <c r="AJ215" s="32"/>
      <c r="AK215" s="32"/>
      <c r="AL215" s="32"/>
    </row>
    <row r="216" spans="1:38" ht="15.75" hidden="1" customHeight="1">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c r="AF216" s="32"/>
      <c r="AG216" s="32"/>
      <c r="AH216" s="32"/>
      <c r="AI216" s="32"/>
      <c r="AJ216" s="32"/>
      <c r="AK216" s="32"/>
      <c r="AL216" s="32"/>
    </row>
    <row r="217" spans="1:38" ht="15.75" hidden="1" customHeight="1">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c r="AE217" s="32"/>
      <c r="AF217" s="32"/>
      <c r="AG217" s="32"/>
      <c r="AH217" s="32"/>
      <c r="AI217" s="32"/>
      <c r="AJ217" s="32"/>
      <c r="AK217" s="32"/>
      <c r="AL217" s="32"/>
    </row>
    <row r="218" spans="1:38" ht="15.75" hidden="1" customHeight="1">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c r="AE218" s="32"/>
      <c r="AF218" s="32"/>
      <c r="AG218" s="32"/>
      <c r="AH218" s="32"/>
      <c r="AI218" s="32"/>
      <c r="AJ218" s="32"/>
      <c r="AK218" s="32"/>
      <c r="AL218" s="32"/>
    </row>
    <row r="219" spans="1:38" ht="15.75" hidden="1" customHeight="1">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c r="AE219" s="32"/>
      <c r="AF219" s="32"/>
      <c r="AG219" s="32"/>
      <c r="AH219" s="32"/>
      <c r="AI219" s="32"/>
      <c r="AJ219" s="32"/>
      <c r="AK219" s="32"/>
      <c r="AL219" s="32"/>
    </row>
    <row r="220" spans="1:38" ht="15.75" hidden="1" customHeight="1">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c r="AE220" s="32"/>
      <c r="AF220" s="32"/>
      <c r="AG220" s="32"/>
      <c r="AH220" s="32"/>
      <c r="AI220" s="32"/>
      <c r="AJ220" s="32"/>
      <c r="AK220" s="32"/>
      <c r="AL220" s="32"/>
    </row>
    <row r="221" spans="1:38" ht="15.75" hidden="1" customHeight="1">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c r="AE221" s="32"/>
      <c r="AF221" s="32"/>
      <c r="AG221" s="32"/>
      <c r="AH221" s="32"/>
      <c r="AI221" s="32"/>
      <c r="AJ221" s="32"/>
      <c r="AK221" s="32"/>
      <c r="AL221" s="32"/>
    </row>
    <row r="222" spans="1:38" ht="15.75" hidden="1" customHeight="1">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c r="AE222" s="32"/>
      <c r="AF222" s="32"/>
      <c r="AG222" s="32"/>
      <c r="AH222" s="32"/>
      <c r="AI222" s="32"/>
      <c r="AJ222" s="32"/>
      <c r="AK222" s="32"/>
      <c r="AL222" s="32"/>
    </row>
    <row r="223" spans="1:38" ht="15.75" hidden="1" customHeight="1">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c r="AE223" s="32"/>
      <c r="AF223" s="32"/>
      <c r="AG223" s="32"/>
      <c r="AH223" s="32"/>
      <c r="AI223" s="32"/>
      <c r="AJ223" s="32"/>
      <c r="AK223" s="32"/>
      <c r="AL223" s="32"/>
    </row>
    <row r="224" spans="1:38" ht="15.75" hidden="1" customHeight="1">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c r="AE224" s="32"/>
      <c r="AF224" s="32"/>
      <c r="AG224" s="32"/>
      <c r="AH224" s="32"/>
      <c r="AI224" s="32"/>
      <c r="AJ224" s="32"/>
      <c r="AK224" s="32"/>
      <c r="AL224" s="32"/>
    </row>
    <row r="225" spans="1:38" ht="15.75" hidden="1" customHeight="1">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B225" s="32"/>
      <c r="AC225" s="32"/>
      <c r="AD225" s="32"/>
      <c r="AE225" s="32"/>
      <c r="AF225" s="32"/>
      <c r="AG225" s="32"/>
      <c r="AH225" s="32"/>
      <c r="AI225" s="32"/>
      <c r="AJ225" s="32"/>
      <c r="AK225" s="32"/>
      <c r="AL225" s="32"/>
    </row>
    <row r="226" spans="1:38" ht="15.75" hidden="1" customHeight="1">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c r="AE226" s="32"/>
      <c r="AF226" s="32"/>
      <c r="AG226" s="32"/>
      <c r="AH226" s="32"/>
      <c r="AI226" s="32"/>
      <c r="AJ226" s="32"/>
      <c r="AK226" s="32"/>
      <c r="AL226" s="32"/>
    </row>
    <row r="227" spans="1:38" ht="15.75" hidden="1" customHeight="1">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c r="AE227" s="32"/>
      <c r="AF227" s="32"/>
      <c r="AG227" s="32"/>
      <c r="AH227" s="32"/>
      <c r="AI227" s="32"/>
      <c r="AJ227" s="32"/>
      <c r="AK227" s="32"/>
      <c r="AL227" s="32"/>
    </row>
    <row r="228" spans="1:38" ht="15.75" hidden="1" customHeight="1">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c r="AE228" s="32"/>
      <c r="AF228" s="32"/>
      <c r="AG228" s="32"/>
      <c r="AH228" s="32"/>
      <c r="AI228" s="32"/>
      <c r="AJ228" s="32"/>
      <c r="AK228" s="32"/>
      <c r="AL228" s="32"/>
    </row>
    <row r="229" spans="1:38" ht="15.75" hidden="1" customHeight="1">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c r="AE229" s="32"/>
      <c r="AF229" s="32"/>
      <c r="AG229" s="32"/>
      <c r="AH229" s="32"/>
      <c r="AI229" s="32"/>
      <c r="AJ229" s="32"/>
      <c r="AK229" s="32"/>
      <c r="AL229" s="32"/>
    </row>
    <row r="230" spans="1:38" ht="15.75" hidden="1" customHeight="1">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c r="AE230" s="32"/>
      <c r="AF230" s="32"/>
      <c r="AG230" s="32"/>
      <c r="AH230" s="32"/>
      <c r="AI230" s="32"/>
      <c r="AJ230" s="32"/>
      <c r="AK230" s="32"/>
      <c r="AL230" s="32"/>
    </row>
    <row r="231" spans="1:38" ht="15.75" hidden="1" customHeight="1">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c r="AE231" s="32"/>
      <c r="AF231" s="32"/>
      <c r="AG231" s="32"/>
      <c r="AH231" s="32"/>
      <c r="AI231" s="32"/>
      <c r="AJ231" s="32"/>
      <c r="AK231" s="32"/>
      <c r="AL231" s="32"/>
    </row>
    <row r="232" spans="1:38" ht="15.75" hidden="1" customHeight="1">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c r="AE232" s="32"/>
      <c r="AF232" s="32"/>
      <c r="AG232" s="32"/>
      <c r="AH232" s="32"/>
      <c r="AI232" s="32"/>
      <c r="AJ232" s="32"/>
      <c r="AK232" s="32"/>
      <c r="AL232" s="32"/>
    </row>
    <row r="233" spans="1:38"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row>
    <row r="234" spans="1:38"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row>
    <row r="235" spans="1:38"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row>
    <row r="236" spans="1:38"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row>
    <row r="237" spans="1:38"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row>
    <row r="238" spans="1:38"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row>
    <row r="239" spans="1:38"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row>
    <row r="240" spans="1:38"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row>
    <row r="241" spans="1:38"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row>
    <row r="242" spans="1:38"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row>
    <row r="243" spans="1:38"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row>
    <row r="244" spans="1:38"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row>
    <row r="245" spans="1:38"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row>
    <row r="246" spans="1:38"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row>
    <row r="247" spans="1:38"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row>
    <row r="248" spans="1:38"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row>
    <row r="249" spans="1:38"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row>
    <row r="250" spans="1:38"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row>
    <row r="251" spans="1:38"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row>
    <row r="252" spans="1:38"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row>
    <row r="253" spans="1:38"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row>
    <row r="254" spans="1:38"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row>
    <row r="255" spans="1:38"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row>
    <row r="256" spans="1:38"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row>
    <row r="257" spans="1:38"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row>
    <row r="258" spans="1:38"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row>
    <row r="259" spans="1:38"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row>
    <row r="260" spans="1:38"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row>
    <row r="261" spans="1:38"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row>
    <row r="262" spans="1:38"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row>
    <row r="263" spans="1:38"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row>
    <row r="264" spans="1:38"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row>
    <row r="265" spans="1:38"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row>
    <row r="266" spans="1:38"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row>
    <row r="267" spans="1:38"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row>
    <row r="268" spans="1:38"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row>
    <row r="269" spans="1:38"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row>
    <row r="270" spans="1:38"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row>
    <row r="271" spans="1:38"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row>
    <row r="272" spans="1:38"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row>
    <row r="273" spans="1:38"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row>
    <row r="274" spans="1:38"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row>
    <row r="275" spans="1:38"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row>
    <row r="276" spans="1:38"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row>
    <row r="277" spans="1:38"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row>
    <row r="278" spans="1:38"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row>
    <row r="279" spans="1:38"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row>
    <row r="280" spans="1:38"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row>
    <row r="281" spans="1:38"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row>
    <row r="282" spans="1:38"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row>
    <row r="283" spans="1:38"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row>
    <row r="284" spans="1:38"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row>
    <row r="285" spans="1:38"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row>
    <row r="286" spans="1:38"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row>
    <row r="287" spans="1:38"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row>
    <row r="288" spans="1:38"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row>
    <row r="289" spans="1:38"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row>
    <row r="290" spans="1:38"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row>
    <row r="291" spans="1:38"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row>
    <row r="292" spans="1:38"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row>
    <row r="293" spans="1:38"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row>
    <row r="294" spans="1:38"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row>
    <row r="295" spans="1:38"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row>
    <row r="296" spans="1:38"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row>
    <row r="297" spans="1:38"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row>
    <row r="298" spans="1:38"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row>
    <row r="299" spans="1:38"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row>
    <row r="300" spans="1:38"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row>
    <row r="301" spans="1:38"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row>
    <row r="302" spans="1:38"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row>
    <row r="303" spans="1:38"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row>
    <row r="304" spans="1:38"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row>
    <row r="305" spans="1:38"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row>
    <row r="306" spans="1:38"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row>
    <row r="307" spans="1:38"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row>
    <row r="308" spans="1:38"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row>
    <row r="309" spans="1:38"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row>
    <row r="310" spans="1:38"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row>
    <row r="311" spans="1:38"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row>
    <row r="312" spans="1:38"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row>
    <row r="313" spans="1:38"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row>
    <row r="314" spans="1:38"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row>
    <row r="315" spans="1:38"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row>
    <row r="316" spans="1:38"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row>
    <row r="317" spans="1:38"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row>
    <row r="318" spans="1:38"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row>
    <row r="319" spans="1:38"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row>
    <row r="320" spans="1:38"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row>
    <row r="321" spans="1:38"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row>
    <row r="322" spans="1:38"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row>
    <row r="323" spans="1:38"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row>
    <row r="324" spans="1:38"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row>
    <row r="325" spans="1:38"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row>
    <row r="326" spans="1:38"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row>
    <row r="327" spans="1:38"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row>
    <row r="328" spans="1:38"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row>
    <row r="329" spans="1:38"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row>
    <row r="330" spans="1:38"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row>
    <row r="331" spans="1:38"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row>
    <row r="332" spans="1:38"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row>
    <row r="333" spans="1:38"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row>
    <row r="334" spans="1:38"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row>
    <row r="335" spans="1:38"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row>
    <row r="336" spans="1:38"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row>
    <row r="337" spans="1:38"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row>
    <row r="338" spans="1:38"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row>
    <row r="339" spans="1:38"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row>
    <row r="340" spans="1:38"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row>
    <row r="341" spans="1:38"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row>
    <row r="342" spans="1:38"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row>
    <row r="343" spans="1:38"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row>
    <row r="344" spans="1:38"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row>
    <row r="345" spans="1:38"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row>
    <row r="346" spans="1:38"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row>
    <row r="347" spans="1:38"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row>
    <row r="348" spans="1:38"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row>
    <row r="349" spans="1:38"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row>
    <row r="350" spans="1:38"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row>
    <row r="351" spans="1:38"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row>
    <row r="352" spans="1:38"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row>
    <row r="353" spans="1:38"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row>
    <row r="354" spans="1:38"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row>
    <row r="355" spans="1:38"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row>
    <row r="356" spans="1:38"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row>
    <row r="357" spans="1:38"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row>
    <row r="358" spans="1:38"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row>
    <row r="359" spans="1:38"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row>
    <row r="360" spans="1:38"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row>
    <row r="361" spans="1:38"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row>
    <row r="362" spans="1:38"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row>
    <row r="363" spans="1:38"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row>
    <row r="364" spans="1:38"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row>
    <row r="365" spans="1:38"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row>
    <row r="366" spans="1:38"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row>
    <row r="367" spans="1:38"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row>
    <row r="368" spans="1:38"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row>
    <row r="369" spans="1:38"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row>
    <row r="370" spans="1:38"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row>
    <row r="371" spans="1:38"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row>
    <row r="372" spans="1:38"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row>
    <row r="373" spans="1:38"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row>
    <row r="374" spans="1:38"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row>
    <row r="375" spans="1:38"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row>
    <row r="376" spans="1:38"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row>
    <row r="377" spans="1:38"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row>
    <row r="378" spans="1:38"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row>
    <row r="379" spans="1:38"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row>
    <row r="380" spans="1:38"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row>
    <row r="381" spans="1:38"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row>
    <row r="382" spans="1:38"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row>
    <row r="383" spans="1:38"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row>
    <row r="384" spans="1:38"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row>
    <row r="385" spans="1:38"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row>
    <row r="386" spans="1:38"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row>
    <row r="387" spans="1:38"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row>
    <row r="388" spans="1:38"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row>
    <row r="389" spans="1:38"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row>
    <row r="390" spans="1:38"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row>
    <row r="391" spans="1:38"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row>
    <row r="392" spans="1:38"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row>
    <row r="393" spans="1:38"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row>
    <row r="394" spans="1:38"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row>
    <row r="395" spans="1:38"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row>
    <row r="396" spans="1:38"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row>
    <row r="397" spans="1:38"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row>
    <row r="398" spans="1:38"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row>
    <row r="399" spans="1:38"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row>
    <row r="400" spans="1:38"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row>
    <row r="401" spans="1:38"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row>
    <row r="402" spans="1:38"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row>
    <row r="403" spans="1:38"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row>
    <row r="404" spans="1:38"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row>
    <row r="405" spans="1:38"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row>
    <row r="406" spans="1:38"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row>
    <row r="407" spans="1:38"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row>
    <row r="408" spans="1:38"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row>
    <row r="409" spans="1:38"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row>
    <row r="410" spans="1:38"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row>
    <row r="411" spans="1:38"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row>
    <row r="412" spans="1:38"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row>
    <row r="413" spans="1:38"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row>
    <row r="414" spans="1:38"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row>
    <row r="415" spans="1:38"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row>
    <row r="416" spans="1:38"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row>
    <row r="417" spans="1:38"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row>
    <row r="418" spans="1:38"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row>
    <row r="419" spans="1:38"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row>
    <row r="420" spans="1:38"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row>
    <row r="421" spans="1:38"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row>
    <row r="422" spans="1:38"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row>
    <row r="423" spans="1:38"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row>
    <row r="424" spans="1:38"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row>
    <row r="425" spans="1:38"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row>
    <row r="426" spans="1:38"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row>
    <row r="427" spans="1:38"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row>
    <row r="428" spans="1:38"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row>
    <row r="429" spans="1:38"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row>
    <row r="430" spans="1:38"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row>
    <row r="431" spans="1:38"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row>
    <row r="432" spans="1:38"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row>
    <row r="433" spans="1:38"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row>
    <row r="434" spans="1:38"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row>
    <row r="435" spans="1:38"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row>
    <row r="436" spans="1:38"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row>
    <row r="437" spans="1:38"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row>
    <row r="438" spans="1:38"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row>
    <row r="439" spans="1:38"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row>
    <row r="440" spans="1:38"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row>
    <row r="441" spans="1:38"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row>
    <row r="442" spans="1:38"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row>
    <row r="443" spans="1:38"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row>
    <row r="444" spans="1:38"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row>
    <row r="445" spans="1:38"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row>
    <row r="446" spans="1:38"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row>
    <row r="447" spans="1:38"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row>
    <row r="448" spans="1:38"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row>
    <row r="449" spans="1:38"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row>
    <row r="450" spans="1:38"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row>
    <row r="451" spans="1:38"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row>
    <row r="452" spans="1:38"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row>
    <row r="453" spans="1:38"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row>
    <row r="454" spans="1:38"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row>
    <row r="455" spans="1:38"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row>
    <row r="456" spans="1:38"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row>
    <row r="457" spans="1:38"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row>
    <row r="458" spans="1:38"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row>
    <row r="459" spans="1:38"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row>
    <row r="460" spans="1:38"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row>
    <row r="461" spans="1:38"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row>
    <row r="462" spans="1:38"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row>
    <row r="463" spans="1:38"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row>
    <row r="464" spans="1:38"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row>
    <row r="465" spans="1:38"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row>
    <row r="466" spans="1:38"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row>
    <row r="467" spans="1:38"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row>
    <row r="468" spans="1:38"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row>
    <row r="469" spans="1:38"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row>
    <row r="470" spans="1:38"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row>
    <row r="471" spans="1:38"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row>
    <row r="472" spans="1:38"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row>
    <row r="473" spans="1:38"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row>
    <row r="474" spans="1:38"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row>
    <row r="475" spans="1:38"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row>
    <row r="476" spans="1:38"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row>
    <row r="477" spans="1:38"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row>
    <row r="478" spans="1:38"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row>
    <row r="479" spans="1:38"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row>
    <row r="480" spans="1:38"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row>
    <row r="481" spans="1:38"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row>
    <row r="482" spans="1:38"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row>
    <row r="483" spans="1:38"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row>
    <row r="484" spans="1:38"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row>
    <row r="485" spans="1:38"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row>
    <row r="486" spans="1:38"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row>
    <row r="487" spans="1:38"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row>
    <row r="488" spans="1:38"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row>
    <row r="489" spans="1:38"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row>
    <row r="490" spans="1:38"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row>
    <row r="491" spans="1:38"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row>
    <row r="492" spans="1:38"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row>
    <row r="493" spans="1:38"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row>
    <row r="494" spans="1:38"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row>
    <row r="495" spans="1:38"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row>
    <row r="496" spans="1:38"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row>
    <row r="497" spans="1:38"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row>
    <row r="498" spans="1:38"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row>
    <row r="499" spans="1:38"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row>
    <row r="500" spans="1:38"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row>
    <row r="501" spans="1:38"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row>
    <row r="502" spans="1:38"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row>
    <row r="503" spans="1:38"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row>
    <row r="504" spans="1:38"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row>
    <row r="505" spans="1:38"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row>
    <row r="506" spans="1:38"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row>
    <row r="507" spans="1:38"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row>
    <row r="508" spans="1:38"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row>
    <row r="509" spans="1:38"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row>
    <row r="510" spans="1:38"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row>
    <row r="511" spans="1:38"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row>
    <row r="512" spans="1:38"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row>
    <row r="513" spans="1:38"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row>
    <row r="514" spans="1:38"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row>
    <row r="515" spans="1:38"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row>
    <row r="516" spans="1:38"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row>
    <row r="517" spans="1:38"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row>
    <row r="518" spans="1:38"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row>
    <row r="519" spans="1:38"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row>
    <row r="520" spans="1:38"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row>
    <row r="521" spans="1:38"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row>
    <row r="522" spans="1:38"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row>
    <row r="523" spans="1:38"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row>
    <row r="524" spans="1:38"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row>
    <row r="525" spans="1:38"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row>
    <row r="526" spans="1:38"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row>
    <row r="527" spans="1:38"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row>
    <row r="528" spans="1:38"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row>
    <row r="529" spans="1:38"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row>
    <row r="530" spans="1:38"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row>
    <row r="531" spans="1:38"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row>
    <row r="532" spans="1:38"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row>
    <row r="533" spans="1:38"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row>
    <row r="534" spans="1:38"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row>
    <row r="535" spans="1:38"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row>
    <row r="536" spans="1:38"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row>
    <row r="537" spans="1:38"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row>
    <row r="538" spans="1:38"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row>
    <row r="539" spans="1:38"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row>
    <row r="540" spans="1:38"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row>
    <row r="541" spans="1:38"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row>
    <row r="542" spans="1:38"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row>
    <row r="543" spans="1:38"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row>
    <row r="544" spans="1:38"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row>
    <row r="545" spans="1:38"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row>
    <row r="546" spans="1:38"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row>
    <row r="547" spans="1:38"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row>
    <row r="548" spans="1:38"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row>
    <row r="549" spans="1:38"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row>
    <row r="550" spans="1:38"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row>
    <row r="551" spans="1:38"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row>
    <row r="552" spans="1:38"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row>
    <row r="553" spans="1:38"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row>
    <row r="554" spans="1:38"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row>
    <row r="555" spans="1:38"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row>
    <row r="556" spans="1:38"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row>
    <row r="557" spans="1:38"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row>
    <row r="558" spans="1:38"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row>
    <row r="559" spans="1:38"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row>
    <row r="560" spans="1:38"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row>
    <row r="561" spans="1:38"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row>
    <row r="562" spans="1:38"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row>
    <row r="563" spans="1:38"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row>
    <row r="564" spans="1:38"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row>
    <row r="565" spans="1:38"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row>
    <row r="566" spans="1:38"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row>
    <row r="567" spans="1:38"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row>
    <row r="568" spans="1:38"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row>
    <row r="569" spans="1:38"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row>
    <row r="570" spans="1:38"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row>
    <row r="571" spans="1:38"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row>
    <row r="572" spans="1:38"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row>
    <row r="573" spans="1:38"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row>
    <row r="574" spans="1:38"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row>
    <row r="575" spans="1:38"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row>
    <row r="576" spans="1:38"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row>
    <row r="577" spans="1:38"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row>
    <row r="578" spans="1:38"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row>
    <row r="579" spans="1:38"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row>
    <row r="580" spans="1:38"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row>
    <row r="581" spans="1:38"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row>
    <row r="582" spans="1:38"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row>
    <row r="583" spans="1:38"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row>
    <row r="584" spans="1:38"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row>
    <row r="585" spans="1:38"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row>
    <row r="586" spans="1:38"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row>
    <row r="587" spans="1:38"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row>
    <row r="588" spans="1:38"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row>
    <row r="589" spans="1:38"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row>
    <row r="590" spans="1:38"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row>
    <row r="591" spans="1:38"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row>
    <row r="592" spans="1:38"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row>
    <row r="593" spans="1:38"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row>
    <row r="594" spans="1:38"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row>
    <row r="595" spans="1:38"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row>
    <row r="596" spans="1:38"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row>
    <row r="597" spans="1:38"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row>
    <row r="598" spans="1:38"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row>
    <row r="599" spans="1:38"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row>
    <row r="600" spans="1:38"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row>
    <row r="601" spans="1:38"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row>
    <row r="602" spans="1:38"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row>
    <row r="603" spans="1:38"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row>
    <row r="604" spans="1:38"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row>
    <row r="605" spans="1:38"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row>
    <row r="606" spans="1:38"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row>
    <row r="607" spans="1:38"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row>
    <row r="608" spans="1:38"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row>
    <row r="609" spans="1:38"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row>
    <row r="610" spans="1:38"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row>
    <row r="611" spans="1:38"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row>
    <row r="612" spans="1:38"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row>
    <row r="613" spans="1:38"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row>
    <row r="614" spans="1:38"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row>
    <row r="615" spans="1:38"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row>
    <row r="616" spans="1:38"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row>
    <row r="617" spans="1:38"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row>
    <row r="618" spans="1:38"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row>
    <row r="619" spans="1:38"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row>
    <row r="620" spans="1:38"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row>
    <row r="621" spans="1:38"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row>
    <row r="622" spans="1:38"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row>
    <row r="623" spans="1:38"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row>
    <row r="624" spans="1:38"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row>
    <row r="625" spans="1:38"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row>
    <row r="626" spans="1:38"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row>
    <row r="627" spans="1:38"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row>
    <row r="628" spans="1:38"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row>
    <row r="629" spans="1:38"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row>
    <row r="630" spans="1:38"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row>
    <row r="631" spans="1:38"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row>
    <row r="632" spans="1:38"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row>
    <row r="633" spans="1:38"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row>
    <row r="634" spans="1:38"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row>
    <row r="635" spans="1:38"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row>
    <row r="636" spans="1:38"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row>
    <row r="637" spans="1:38"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row>
    <row r="638" spans="1:38"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row>
    <row r="639" spans="1:38"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row>
    <row r="640" spans="1:38"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row>
    <row r="641" spans="1:38"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row>
    <row r="642" spans="1:38"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row>
    <row r="643" spans="1:38"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row>
    <row r="644" spans="1:38"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row>
    <row r="645" spans="1:38"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row>
    <row r="646" spans="1:38"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row>
    <row r="647" spans="1:38"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row>
    <row r="648" spans="1:38"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row>
    <row r="649" spans="1:38"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row>
    <row r="650" spans="1:38"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row>
    <row r="651" spans="1:38"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row>
    <row r="652" spans="1:38"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row>
    <row r="653" spans="1:38"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row>
    <row r="654" spans="1:38"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row>
    <row r="655" spans="1:38"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row>
    <row r="656" spans="1:38"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row>
    <row r="657" spans="1:38"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row>
    <row r="658" spans="1:38"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row>
    <row r="659" spans="1:38"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row>
    <row r="660" spans="1:38"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row>
    <row r="661" spans="1:38"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row>
    <row r="662" spans="1:38"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row>
    <row r="663" spans="1:38"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row>
    <row r="664" spans="1:38"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row>
    <row r="665" spans="1:38"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row>
    <row r="666" spans="1:38"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row>
    <row r="667" spans="1:38"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row>
    <row r="668" spans="1:38"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row>
    <row r="669" spans="1:38"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row>
    <row r="670" spans="1:38"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row>
    <row r="671" spans="1:38"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row>
    <row r="672" spans="1:38"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row>
    <row r="673" spans="1:38"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row>
    <row r="674" spans="1:38"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row>
    <row r="675" spans="1:38"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row>
    <row r="676" spans="1:38"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row>
    <row r="677" spans="1:38"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row>
    <row r="678" spans="1:38"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row>
    <row r="679" spans="1:38"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row>
    <row r="680" spans="1:38"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row>
    <row r="681" spans="1:38"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row>
    <row r="682" spans="1:38"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row>
    <row r="683" spans="1:38"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row>
    <row r="684" spans="1:38"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row>
    <row r="685" spans="1:38"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row>
    <row r="686" spans="1:38"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row>
    <row r="687" spans="1:38"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row>
    <row r="688" spans="1:38"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row>
    <row r="689" spans="1:38"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row>
    <row r="690" spans="1:38"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row>
    <row r="691" spans="1:38"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row>
    <row r="692" spans="1:38"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row>
    <row r="693" spans="1:38"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row>
    <row r="694" spans="1:38"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row>
    <row r="695" spans="1:38"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row>
    <row r="696" spans="1:38"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row>
    <row r="697" spans="1:38"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row>
    <row r="698" spans="1:38"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row>
    <row r="699" spans="1:38"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row>
    <row r="700" spans="1:38"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row>
    <row r="701" spans="1:38"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row>
    <row r="702" spans="1:38"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row>
    <row r="703" spans="1:38"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row>
    <row r="704" spans="1:38"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row>
    <row r="705" spans="1:38"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row>
    <row r="706" spans="1:38"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row>
    <row r="707" spans="1:38"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row>
    <row r="708" spans="1:38"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row>
    <row r="709" spans="1:38"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row>
    <row r="710" spans="1:38"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row>
    <row r="711" spans="1:38"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row>
    <row r="712" spans="1:38"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row>
    <row r="713" spans="1:38"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row>
    <row r="714" spans="1:38"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row>
    <row r="715" spans="1:38"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row>
    <row r="716" spans="1:38"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row>
    <row r="717" spans="1:38"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row>
    <row r="718" spans="1:38"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row>
    <row r="719" spans="1:38"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row>
    <row r="720" spans="1:38"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row>
    <row r="721" spans="1:38"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row>
    <row r="722" spans="1:38"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row>
    <row r="723" spans="1:38"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row>
    <row r="724" spans="1:38"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row>
    <row r="725" spans="1:38"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row>
    <row r="726" spans="1:38"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row>
    <row r="727" spans="1:38"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row>
    <row r="728" spans="1:38"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row>
    <row r="729" spans="1:38"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row>
    <row r="730" spans="1:38"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row>
    <row r="731" spans="1:38"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row>
    <row r="732" spans="1:38"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row>
    <row r="733" spans="1:38"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row>
    <row r="734" spans="1:38"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row>
    <row r="735" spans="1:38"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row>
    <row r="736" spans="1:38"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row>
    <row r="737" spans="1:38"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row>
    <row r="738" spans="1:38"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row>
    <row r="739" spans="1:38"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row>
    <row r="740" spans="1:38"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row>
    <row r="741" spans="1:38"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row>
    <row r="742" spans="1:38"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row>
    <row r="743" spans="1:38"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row>
    <row r="744" spans="1:38"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row>
    <row r="745" spans="1:38"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row>
    <row r="746" spans="1:38"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row>
    <row r="747" spans="1:38"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row>
    <row r="748" spans="1:38"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row>
    <row r="749" spans="1:38"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row>
    <row r="750" spans="1:38"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row>
    <row r="751" spans="1:38"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row>
    <row r="752" spans="1:38"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row>
    <row r="753" spans="1:38"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row>
    <row r="754" spans="1:38"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row>
    <row r="755" spans="1:38"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row>
    <row r="756" spans="1:38"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row>
    <row r="757" spans="1:38"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row>
    <row r="758" spans="1:38"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row>
    <row r="759" spans="1:38"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row>
    <row r="760" spans="1:38"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row>
    <row r="761" spans="1:38"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row>
    <row r="762" spans="1:38"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row>
    <row r="763" spans="1:38"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row>
    <row r="764" spans="1:38"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row>
    <row r="765" spans="1:38"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row>
    <row r="766" spans="1:38"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row>
    <row r="767" spans="1:38"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row>
    <row r="768" spans="1:38"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row>
    <row r="769" spans="1:38"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row>
    <row r="770" spans="1:38"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row>
    <row r="771" spans="1:38"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row>
    <row r="772" spans="1:38"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row>
    <row r="773" spans="1:38"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row>
    <row r="774" spans="1:38"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row>
    <row r="775" spans="1:38"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row>
    <row r="776" spans="1:38"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row>
    <row r="777" spans="1:38"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row>
    <row r="778" spans="1:38"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row>
    <row r="779" spans="1:38"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row>
    <row r="780" spans="1:38"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row>
    <row r="781" spans="1:38"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row>
    <row r="782" spans="1:38"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row>
    <row r="783" spans="1:38"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row>
    <row r="784" spans="1:38"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row>
    <row r="785" spans="1:38"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row>
    <row r="786" spans="1:38"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row>
    <row r="787" spans="1:38"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row>
    <row r="788" spans="1:38"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row>
    <row r="789" spans="1:38"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row>
    <row r="790" spans="1:38"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row>
    <row r="791" spans="1:38"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row>
    <row r="792" spans="1:38"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row>
    <row r="793" spans="1:38"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row>
    <row r="794" spans="1:38"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row>
    <row r="795" spans="1:38"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row>
    <row r="796" spans="1:38"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row>
    <row r="797" spans="1:38"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row>
    <row r="798" spans="1:38"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row>
    <row r="799" spans="1:38"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row>
    <row r="800" spans="1:38"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row>
    <row r="801" spans="1:38"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row>
    <row r="802" spans="1:38"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row>
    <row r="803" spans="1:38"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row>
    <row r="804" spans="1:38"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row>
    <row r="805" spans="1:38"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row>
    <row r="806" spans="1:38"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row>
    <row r="807" spans="1:38"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row>
    <row r="808" spans="1:38"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row>
    <row r="809" spans="1:38"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row>
    <row r="810" spans="1:38"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row>
    <row r="811" spans="1:38"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row>
    <row r="812" spans="1:38"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row>
    <row r="813" spans="1:38"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row>
    <row r="814" spans="1:38"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row>
    <row r="815" spans="1:38"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row>
    <row r="816" spans="1:38"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row>
    <row r="817" spans="1:38"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row>
    <row r="818" spans="1:38"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row>
    <row r="819" spans="1:38"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row>
    <row r="820" spans="1:38"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row>
    <row r="821" spans="1:38"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row>
    <row r="822" spans="1:38"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row>
    <row r="823" spans="1:38"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row>
    <row r="824" spans="1:38"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row>
    <row r="825" spans="1:38"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row>
    <row r="826" spans="1:38"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row>
    <row r="827" spans="1:38"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row>
    <row r="828" spans="1:38"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row>
    <row r="829" spans="1:38"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row>
    <row r="830" spans="1:38"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row>
    <row r="831" spans="1:38"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row>
    <row r="832" spans="1:38"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row>
    <row r="833" spans="1:38"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row>
    <row r="834" spans="1:38"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row>
    <row r="835" spans="1:38"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row>
    <row r="836" spans="1:38"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row>
    <row r="837" spans="1:38"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row>
    <row r="838" spans="1:38"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row>
    <row r="839" spans="1:38"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row>
    <row r="840" spans="1:38"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row>
    <row r="841" spans="1:38"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row>
    <row r="842" spans="1:38"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row>
    <row r="843" spans="1:38"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row>
    <row r="844" spans="1:38"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row>
    <row r="845" spans="1:38"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row>
    <row r="846" spans="1:38"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row>
    <row r="847" spans="1:38"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row>
    <row r="848" spans="1:38"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row>
    <row r="849" spans="1:38"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row>
    <row r="850" spans="1:38"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row>
    <row r="851" spans="1:38"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row>
    <row r="852" spans="1:38"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row>
    <row r="853" spans="1:38"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row>
    <row r="854" spans="1:38"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row>
    <row r="855" spans="1:38"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row>
    <row r="856" spans="1:38"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row>
    <row r="857" spans="1:38"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row>
    <row r="858" spans="1:38"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row>
    <row r="859" spans="1:38"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row>
    <row r="860" spans="1:38"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row>
    <row r="861" spans="1:38"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row>
    <row r="862" spans="1:38"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row>
    <row r="863" spans="1:38"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row>
    <row r="864" spans="1:38"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row>
    <row r="865" spans="1:38"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row>
    <row r="866" spans="1:38"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row>
    <row r="867" spans="1:38"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row>
    <row r="868" spans="1:38"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row>
    <row r="869" spans="1:38"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row>
    <row r="870" spans="1:38"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row>
    <row r="871" spans="1:38"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row>
    <row r="872" spans="1:38"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row>
    <row r="873" spans="1:38"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row>
    <row r="874" spans="1:38"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row>
    <row r="875" spans="1:38"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row>
    <row r="876" spans="1:38"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row>
    <row r="877" spans="1:38"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row>
    <row r="878" spans="1:38"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row>
    <row r="879" spans="1:38"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row>
    <row r="880" spans="1:38"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row>
    <row r="881" spans="1:38"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row>
    <row r="882" spans="1:38"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row>
    <row r="883" spans="1:38"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row>
    <row r="884" spans="1:38"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row>
    <row r="885" spans="1:38"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row>
    <row r="886" spans="1:38"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row>
    <row r="887" spans="1:38"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row>
    <row r="888" spans="1:38"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row>
    <row r="889" spans="1:38"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row>
    <row r="890" spans="1:38"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row>
    <row r="891" spans="1:38"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row>
    <row r="892" spans="1:38"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row>
    <row r="893" spans="1:38"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row>
    <row r="894" spans="1:38"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row>
    <row r="895" spans="1:38"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row>
    <row r="896" spans="1:38"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row>
    <row r="897" spans="1:38"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row>
    <row r="898" spans="1:38"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row>
    <row r="899" spans="1:38"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row>
    <row r="900" spans="1:38"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row>
    <row r="901" spans="1:38"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row>
    <row r="902" spans="1:38"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row>
    <row r="903" spans="1:38"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row>
    <row r="904" spans="1:38"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row>
    <row r="905" spans="1:38"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row>
    <row r="906" spans="1:38"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row>
    <row r="907" spans="1:38"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row>
    <row r="908" spans="1:38"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row>
    <row r="909" spans="1:38"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row>
    <row r="910" spans="1:38"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row>
    <row r="911" spans="1:38"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row>
    <row r="912" spans="1:38"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row>
    <row r="913" spans="1:38"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row>
    <row r="914" spans="1:38"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row>
    <row r="915" spans="1:38"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row>
    <row r="916" spans="1:38"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row>
    <row r="917" spans="1:38"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row>
    <row r="918" spans="1:38"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row>
    <row r="919" spans="1:38"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row>
    <row r="920" spans="1:38"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row>
    <row r="921" spans="1:38"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row>
    <row r="922" spans="1:38"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row>
    <row r="923" spans="1:38"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row>
    <row r="924" spans="1:38"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row>
    <row r="925" spans="1:38"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row>
    <row r="926" spans="1:38"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row>
    <row r="927" spans="1:38"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row>
    <row r="928" spans="1:38"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row>
    <row r="929" spans="1:38"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row>
    <row r="930" spans="1:38"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row>
    <row r="931" spans="1:38"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row>
    <row r="932" spans="1:38"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row>
    <row r="933" spans="1:38"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row>
    <row r="934" spans="1:38"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row>
    <row r="935" spans="1:38"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row>
    <row r="936" spans="1:38"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row>
    <row r="937" spans="1:38"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row>
    <row r="938" spans="1:38"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row>
    <row r="939" spans="1:38"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row>
    <row r="940" spans="1:38"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row>
    <row r="941" spans="1:38"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row>
    <row r="942" spans="1:38"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row>
    <row r="943" spans="1:38"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row>
    <row r="944" spans="1:38"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row>
    <row r="945" spans="1:38"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row>
    <row r="946" spans="1:38"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row>
    <row r="947" spans="1:38"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row>
    <row r="948" spans="1:38"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row>
    <row r="949" spans="1:38"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row>
    <row r="950" spans="1:38"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row>
    <row r="951" spans="1:38"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row>
    <row r="952" spans="1:38"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row>
    <row r="953" spans="1:38"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row>
    <row r="954" spans="1:38"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row>
    <row r="955" spans="1:38"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row>
    <row r="956" spans="1:38"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row>
    <row r="957" spans="1:38"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row>
    <row r="958" spans="1:38"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row>
    <row r="959" spans="1:38"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row>
    <row r="960" spans="1:38"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row>
    <row r="961" spans="1:38"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row>
    <row r="962" spans="1:38"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row>
    <row r="963" spans="1:38"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row>
    <row r="964" spans="1:38"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row>
    <row r="965" spans="1:38"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row>
    <row r="966" spans="1:38"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row>
    <row r="967" spans="1:38"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row>
    <row r="968" spans="1:38"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row>
    <row r="969" spans="1:38"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row>
    <row r="970" spans="1:38"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row>
    <row r="971" spans="1:38"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row>
    <row r="972" spans="1:38"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row>
    <row r="973" spans="1:38"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row>
    <row r="974" spans="1:38"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row>
    <row r="975" spans="1:38"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row>
    <row r="976" spans="1:38"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row>
    <row r="977" spans="1:38"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row>
    <row r="978" spans="1:38"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row>
    <row r="979" spans="1:38"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row>
    <row r="980" spans="1:38"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row>
    <row r="981" spans="1:38"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row>
    <row r="982" spans="1:38"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row>
    <row r="983" spans="1:38"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row>
    <row r="984" spans="1:38"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row>
    <row r="985" spans="1:38"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row>
    <row r="986" spans="1:38"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row>
    <row r="987" spans="1:38"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row>
    <row r="988" spans="1:38"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row>
    <row r="989" spans="1:38"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row>
    <row r="990" spans="1:38"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row>
    <row r="991" spans="1:38"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row>
    <row r="992" spans="1:38"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row>
    <row r="993" spans="1:38"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row>
    <row r="994" spans="1:38"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row>
    <row r="995" spans="1:38"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row>
    <row r="996" spans="1:38"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row>
    <row r="997" spans="1:38"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row>
    <row r="998" spans="1:38"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row>
    <row r="999" spans="1:38"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row>
    <row r="1000" spans="1:38"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row>
  </sheetData>
  <mergeCells count="158">
    <mergeCell ref="L28:V28"/>
    <mergeCell ref="L29:V29"/>
    <mergeCell ref="C29:F29"/>
    <mergeCell ref="C30:F30"/>
    <mergeCell ref="AJ29:AK29"/>
    <mergeCell ref="AF30:AG30"/>
    <mergeCell ref="AH30:AI30"/>
    <mergeCell ref="AJ30:AK30"/>
    <mergeCell ref="L30:V30"/>
    <mergeCell ref="L31:V31"/>
    <mergeCell ref="AF31:AG31"/>
    <mergeCell ref="AH31:AI31"/>
    <mergeCell ref="C31:F31"/>
    <mergeCell ref="C32:F32"/>
    <mergeCell ref="AJ31:AK31"/>
    <mergeCell ref="AF32:AG32"/>
    <mergeCell ref="AH32:AI32"/>
    <mergeCell ref="AJ32:AK32"/>
    <mergeCell ref="A1:AK1"/>
    <mergeCell ref="C2:F2"/>
    <mergeCell ref="AH2:AI2"/>
    <mergeCell ref="AJ2:AK2"/>
    <mergeCell ref="AL2:AL32"/>
    <mergeCell ref="AJ3:AK3"/>
    <mergeCell ref="L32:V32"/>
    <mergeCell ref="A33:AL33"/>
    <mergeCell ref="L24:V24"/>
    <mergeCell ref="L25:V25"/>
    <mergeCell ref="AH26:AI26"/>
    <mergeCell ref="AJ26:AK26"/>
    <mergeCell ref="L26:V26"/>
    <mergeCell ref="L27:V27"/>
    <mergeCell ref="AF27:AG27"/>
    <mergeCell ref="AH27:AI27"/>
    <mergeCell ref="C27:F27"/>
    <mergeCell ref="C28:F28"/>
    <mergeCell ref="AJ27:AK27"/>
    <mergeCell ref="AF28:AG28"/>
    <mergeCell ref="AH28:AI28"/>
    <mergeCell ref="AJ28:AK28"/>
    <mergeCell ref="AF29:AG29"/>
    <mergeCell ref="AH29:AI29"/>
    <mergeCell ref="L2:V2"/>
    <mergeCell ref="L3:V3"/>
    <mergeCell ref="AF3:AG3"/>
    <mergeCell ref="AH3:AI3"/>
    <mergeCell ref="C3:F3"/>
    <mergeCell ref="C4:F4"/>
    <mergeCell ref="AF2:AG2"/>
    <mergeCell ref="AF4:AG4"/>
    <mergeCell ref="AH4:AI4"/>
    <mergeCell ref="AJ4:AK4"/>
    <mergeCell ref="AF5:AG5"/>
    <mergeCell ref="AH5:AI5"/>
    <mergeCell ref="C5:F5"/>
    <mergeCell ref="C6:F6"/>
    <mergeCell ref="L4:V4"/>
    <mergeCell ref="L5:V5"/>
    <mergeCell ref="AJ5:AK5"/>
    <mergeCell ref="AF6:AG6"/>
    <mergeCell ref="AH6:AI6"/>
    <mergeCell ref="AJ6:AK6"/>
    <mergeCell ref="L6:V6"/>
    <mergeCell ref="L7:V7"/>
    <mergeCell ref="AF7:AG7"/>
    <mergeCell ref="AH7:AI7"/>
    <mergeCell ref="C7:F7"/>
    <mergeCell ref="C8:F8"/>
    <mergeCell ref="AJ7:AK7"/>
    <mergeCell ref="AF8:AG8"/>
    <mergeCell ref="AH8:AI8"/>
    <mergeCell ref="AJ8:AK8"/>
    <mergeCell ref="AF9:AG9"/>
    <mergeCell ref="AH9:AI9"/>
    <mergeCell ref="L8:V8"/>
    <mergeCell ref="L9:V9"/>
    <mergeCell ref="C9:F9"/>
    <mergeCell ref="C10:F10"/>
    <mergeCell ref="AJ9:AK9"/>
    <mergeCell ref="AF10:AG10"/>
    <mergeCell ref="AH10:AI10"/>
    <mergeCell ref="AJ10:AK10"/>
    <mergeCell ref="L10:V10"/>
    <mergeCell ref="L11:V11"/>
    <mergeCell ref="AF11:AG11"/>
    <mergeCell ref="AH11:AI11"/>
    <mergeCell ref="C11:F11"/>
    <mergeCell ref="C12:F12"/>
    <mergeCell ref="AJ11:AK11"/>
    <mergeCell ref="AF12:AG12"/>
    <mergeCell ref="AH12:AI12"/>
    <mergeCell ref="AJ12:AK12"/>
    <mergeCell ref="L12:V12"/>
    <mergeCell ref="L13:V13"/>
    <mergeCell ref="AF13:AG13"/>
    <mergeCell ref="AH13:AI13"/>
    <mergeCell ref="C13:F13"/>
    <mergeCell ref="C14:F14"/>
    <mergeCell ref="AJ13:AK13"/>
    <mergeCell ref="AF14:AG14"/>
    <mergeCell ref="AH14:AI14"/>
    <mergeCell ref="AJ14:AK14"/>
    <mergeCell ref="AF15:AG15"/>
    <mergeCell ref="AH15:AI15"/>
    <mergeCell ref="C15:F15"/>
    <mergeCell ref="C16:F16"/>
    <mergeCell ref="AJ15:AK15"/>
    <mergeCell ref="AF16:AG16"/>
    <mergeCell ref="L14:V14"/>
    <mergeCell ref="L15:V15"/>
    <mergeCell ref="AH16:AI16"/>
    <mergeCell ref="AJ16:AK16"/>
    <mergeCell ref="L16:V16"/>
    <mergeCell ref="L17:V17"/>
    <mergeCell ref="AF17:AG17"/>
    <mergeCell ref="AH17:AI17"/>
    <mergeCell ref="C17:F17"/>
    <mergeCell ref="C18:F18"/>
    <mergeCell ref="AJ17:AK17"/>
    <mergeCell ref="AF18:AG18"/>
    <mergeCell ref="AH18:AI18"/>
    <mergeCell ref="AJ18:AK18"/>
    <mergeCell ref="AF19:AG19"/>
    <mergeCell ref="AH19:AI19"/>
    <mergeCell ref="L18:V18"/>
    <mergeCell ref="L19:V19"/>
    <mergeCell ref="C19:F19"/>
    <mergeCell ref="C20:F20"/>
    <mergeCell ref="AJ19:AK19"/>
    <mergeCell ref="AF20:AG20"/>
    <mergeCell ref="AH20:AI20"/>
    <mergeCell ref="AJ20:AK20"/>
    <mergeCell ref="L20:V20"/>
    <mergeCell ref="L21:V21"/>
    <mergeCell ref="AF21:AG21"/>
    <mergeCell ref="AH21:AI21"/>
    <mergeCell ref="C21:F21"/>
    <mergeCell ref="C22:F22"/>
    <mergeCell ref="AJ21:AK21"/>
    <mergeCell ref="AF22:AG22"/>
    <mergeCell ref="AH22:AI22"/>
    <mergeCell ref="AJ22:AK22"/>
    <mergeCell ref="L22:V22"/>
    <mergeCell ref="AF25:AG25"/>
    <mergeCell ref="AH25:AI25"/>
    <mergeCell ref="C25:F25"/>
    <mergeCell ref="C26:F26"/>
    <mergeCell ref="AJ25:AK25"/>
    <mergeCell ref="AF26:AG26"/>
    <mergeCell ref="L23:V23"/>
    <mergeCell ref="AF23:AG23"/>
    <mergeCell ref="AH23:AI23"/>
    <mergeCell ref="C23:F23"/>
    <mergeCell ref="C24:F24"/>
    <mergeCell ref="AJ23:AK23"/>
    <mergeCell ref="AF24:AG24"/>
    <mergeCell ref="AH24:AI24"/>
    <mergeCell ref="AJ24:AK24"/>
  </mergeCells>
  <conditionalFormatting sqref="G3:K17 G18:J32 K18:K29 K31:K32">
    <cfRule type="cellIs" dxfId="112" priority="1" operator="equal">
      <formula>0</formula>
    </cfRule>
  </conditionalFormatting>
  <conditionalFormatting sqref="I3:K17 I18:J32 K18:K29 K31:K32">
    <cfRule type="cellIs" dxfId="111" priority="2" operator="equal">
      <formula>"0+"</formula>
    </cfRule>
  </conditionalFormatting>
  <conditionalFormatting sqref="B18">
    <cfRule type="expression" dxfId="110" priority="3">
      <formula>#REF!="MNG"</formula>
    </cfRule>
  </conditionalFormatting>
  <conditionalFormatting sqref="B18">
    <cfRule type="cellIs" dxfId="109" priority="4" operator="equal">
      <formula>0</formula>
    </cfRule>
  </conditionalFormatting>
  <conditionalFormatting sqref="B19">
    <cfRule type="expression" dxfId="108" priority="5">
      <formula>#REF!="MNG"</formula>
    </cfRule>
  </conditionalFormatting>
  <conditionalFormatting sqref="B19">
    <cfRule type="cellIs" dxfId="107" priority="6" operator="equal">
      <formula>0</formula>
    </cfRule>
  </conditionalFormatting>
  <conditionalFormatting sqref="K18">
    <cfRule type="cellIs" dxfId="106" priority="7" operator="equal">
      <formula>"0+"</formula>
    </cfRule>
  </conditionalFormatting>
  <conditionalFormatting sqref="K19">
    <cfRule type="cellIs" dxfId="105" priority="8" operator="equal">
      <formula>"0+"</formula>
    </cfRule>
  </conditionalFormatting>
  <conditionalFormatting sqref="K20">
    <cfRule type="cellIs" dxfId="104" priority="9" operator="equal">
      <formula>"0+"</formula>
    </cfRule>
  </conditionalFormatting>
  <conditionalFormatting sqref="K21">
    <cfRule type="cellIs" dxfId="103" priority="10" operator="equal">
      <formula>"0+"</formula>
    </cfRule>
  </conditionalFormatting>
  <conditionalFormatting sqref="K22">
    <cfRule type="cellIs" dxfId="102" priority="11" operator="equal">
      <formula>"0+"</formula>
    </cfRule>
  </conditionalFormatting>
  <conditionalFormatting sqref="K23">
    <cfRule type="cellIs" dxfId="101" priority="12" operator="equal">
      <formula>"0+"</formula>
    </cfRule>
  </conditionalFormatting>
  <conditionalFormatting sqref="K24">
    <cfRule type="cellIs" dxfId="100" priority="13" operator="equal">
      <formula>"0+"</formula>
    </cfRule>
  </conditionalFormatting>
  <conditionalFormatting sqref="K25">
    <cfRule type="cellIs" dxfId="99" priority="14" operator="equal">
      <formula>"0+"</formula>
    </cfRule>
  </conditionalFormatting>
  <conditionalFormatting sqref="K26">
    <cfRule type="cellIs" dxfId="98" priority="15" operator="equal">
      <formula>"0+"</formula>
    </cfRule>
  </conditionalFormatting>
  <conditionalFormatting sqref="K27">
    <cfRule type="cellIs" dxfId="97" priority="16" operator="equal">
      <formula>"0+"</formula>
    </cfRule>
  </conditionalFormatting>
  <conditionalFormatting sqref="K28">
    <cfRule type="cellIs" dxfId="96" priority="17" operator="equal">
      <formula>"0+"</formula>
    </cfRule>
  </conditionalFormatting>
  <conditionalFormatting sqref="K29">
    <cfRule type="cellIs" dxfId="95" priority="18" operator="equal">
      <formula>"0+"</formula>
    </cfRule>
  </conditionalFormatting>
  <conditionalFormatting sqref="K31">
    <cfRule type="cellIs" dxfId="94" priority="19" operator="equal">
      <formula>"0+"</formula>
    </cfRule>
  </conditionalFormatting>
  <conditionalFormatting sqref="K32">
    <cfRule type="cellIs" dxfId="93" priority="20" operator="equal">
      <formula>"0+"</formula>
    </cfRule>
  </conditionalFormatting>
  <conditionalFormatting sqref="K30">
    <cfRule type="cellIs" dxfId="92" priority="21" operator="equal">
      <formula>0</formula>
    </cfRule>
  </conditionalFormatting>
  <conditionalFormatting sqref="K30">
    <cfRule type="cellIs" dxfId="91" priority="22" operator="equal">
      <formula>"0+"</formula>
    </cfRule>
  </conditionalFormatting>
  <conditionalFormatting sqref="K30">
    <cfRule type="cellIs" dxfId="90" priority="23" operator="equal">
      <formula>"0+"</formula>
    </cfRule>
  </conditionalFormatting>
  <conditionalFormatting sqref="B24">
    <cfRule type="expression" dxfId="89" priority="24">
      <formula>#REF!="MNG"</formula>
    </cfRule>
  </conditionalFormatting>
  <conditionalFormatting sqref="B24">
    <cfRule type="cellIs" dxfId="88" priority="25" operator="equal">
      <formula>0</formula>
    </cfRule>
  </conditionalFormatting>
  <conditionalFormatting sqref="B25">
    <cfRule type="expression" dxfId="87" priority="26">
      <formula>#REF!="MNG"</formula>
    </cfRule>
  </conditionalFormatting>
  <conditionalFormatting sqref="B25">
    <cfRule type="cellIs" dxfId="86" priority="27" operator="equal">
      <formula>0</formula>
    </cfRule>
  </conditionalFormatting>
  <conditionalFormatting sqref="B20">
    <cfRule type="expression" dxfId="85" priority="28">
      <formula>#REF!="MNG"</formula>
    </cfRule>
  </conditionalFormatting>
  <conditionalFormatting sqref="B20">
    <cfRule type="cellIs" dxfId="84" priority="29" operator="equal">
      <formula>0</formula>
    </cfRule>
  </conditionalFormatting>
  <conditionalFormatting sqref="B26">
    <cfRule type="expression" dxfId="83" priority="30">
      <formula>#REF!="MNG"</formula>
    </cfRule>
  </conditionalFormatting>
  <conditionalFormatting sqref="B26">
    <cfRule type="cellIs" dxfId="82" priority="31" operator="equal">
      <formula>0</formula>
    </cfRule>
  </conditionalFormatting>
  <conditionalFormatting sqref="B27">
    <cfRule type="expression" dxfId="81" priority="32">
      <formula>#REF!="MNG"</formula>
    </cfRule>
  </conditionalFormatting>
  <conditionalFormatting sqref="B27">
    <cfRule type="cellIs" dxfId="80" priority="33" operator="equal">
      <formula>0</formula>
    </cfRule>
  </conditionalFormatting>
  <conditionalFormatting sqref="B28">
    <cfRule type="expression" dxfId="79" priority="34">
      <formula>#REF!="MNG"</formula>
    </cfRule>
  </conditionalFormatting>
  <conditionalFormatting sqref="B28">
    <cfRule type="cellIs" dxfId="78" priority="35" operator="equal">
      <formula>0</formula>
    </cfRule>
  </conditionalFormatting>
  <conditionalFormatting sqref="B29">
    <cfRule type="expression" dxfId="77" priority="36">
      <formula>#REF!="MNG"</formula>
    </cfRule>
  </conditionalFormatting>
  <conditionalFormatting sqref="B29">
    <cfRule type="cellIs" dxfId="76" priority="37" operator="equal">
      <formula>0</formula>
    </cfRule>
  </conditionalFormatting>
  <conditionalFormatting sqref="B21">
    <cfRule type="expression" dxfId="75" priority="38">
      <formula>#REF!="MNG"</formula>
    </cfRule>
  </conditionalFormatting>
  <conditionalFormatting sqref="B21">
    <cfRule type="cellIs" dxfId="74" priority="39" operator="equal">
      <formula>0</formula>
    </cfRule>
  </conditionalFormatting>
  <conditionalFormatting sqref="B22">
    <cfRule type="expression" dxfId="73" priority="40">
      <formula>#REF!="MNG"</formula>
    </cfRule>
  </conditionalFormatting>
  <conditionalFormatting sqref="B22">
    <cfRule type="cellIs" dxfId="72" priority="41" operator="equal">
      <formula>0</formula>
    </cfRule>
  </conditionalFormatting>
  <conditionalFormatting sqref="B23">
    <cfRule type="expression" dxfId="71" priority="42">
      <formula>#REF!="MNG"</formula>
    </cfRule>
  </conditionalFormatting>
  <conditionalFormatting sqref="B23">
    <cfRule type="cellIs" dxfId="70" priority="43" operator="equal">
      <formula>0</formula>
    </cfRule>
  </conditionalFormatting>
  <conditionalFormatting sqref="L3:V32">
    <cfRule type="cellIs" dxfId="69" priority="44" operator="equal">
      <formula>0&amp;#REF!</formula>
    </cfRule>
  </conditionalFormatting>
  <conditionalFormatting sqref="L3:V32">
    <cfRule type="expression" dxfId="68" priority="45">
      <formula>#REF!&lt;&gt;""</formula>
    </cfRule>
  </conditionalFormatting>
  <conditionalFormatting sqref="G3:H32">
    <cfRule type="cellIs" dxfId="67" priority="46" operator="lessThan">
      <formula>#REF!</formula>
    </cfRule>
  </conditionalFormatting>
  <conditionalFormatting sqref="G3:H32">
    <cfRule type="cellIs" dxfId="66" priority="47" operator="greaterThan">
      <formula>#REF!</formula>
    </cfRule>
  </conditionalFormatting>
  <conditionalFormatting sqref="K3:K32">
    <cfRule type="expression" dxfId="65" priority="48">
      <formula>#REF!&lt;#REF!</formula>
    </cfRule>
  </conditionalFormatting>
  <conditionalFormatting sqref="K3:K32">
    <cfRule type="expression" dxfId="64" priority="49">
      <formula>#REF!&gt;#REF!</formula>
    </cfRule>
  </conditionalFormatting>
  <conditionalFormatting sqref="I3:I32">
    <cfRule type="expression" dxfId="63" priority="50">
      <formula>#REF!&gt;#REF!</formula>
    </cfRule>
  </conditionalFormatting>
  <conditionalFormatting sqref="I3:I32">
    <cfRule type="expression" dxfId="62" priority="51">
      <formula>#REF!&lt;#REF!</formula>
    </cfRule>
  </conditionalFormatting>
  <conditionalFormatting sqref="J3:J32">
    <cfRule type="expression" dxfId="61" priority="52">
      <formula>#REF!&gt;#REF!</formula>
    </cfRule>
  </conditionalFormatting>
  <conditionalFormatting sqref="J3:J32">
    <cfRule type="expression" dxfId="60" priority="53">
      <formula>#REF!&lt;#REF!</formula>
    </cfRule>
  </conditionalFormatting>
  <conditionalFormatting sqref="B18 G18:AK18">
    <cfRule type="expression" dxfId="59" priority="54">
      <formula>#REF!&lt;&gt;""</formula>
    </cfRule>
  </conditionalFormatting>
  <conditionalFormatting sqref="B19 G19:AK19">
    <cfRule type="expression" dxfId="58" priority="55">
      <formula>#REF!&lt;&gt;""</formula>
    </cfRule>
  </conditionalFormatting>
  <conditionalFormatting sqref="B20 G20:AK20">
    <cfRule type="expression" dxfId="57" priority="56">
      <formula>#REF!&lt;&gt;""</formula>
    </cfRule>
  </conditionalFormatting>
  <conditionalFormatting sqref="B21 G21:AK21">
    <cfRule type="expression" dxfId="56" priority="57">
      <formula>#REF!&lt;&gt;""</formula>
    </cfRule>
  </conditionalFormatting>
  <conditionalFormatting sqref="B22 G22:AK22">
    <cfRule type="expression" dxfId="55" priority="58">
      <formula>#REF!&lt;&gt;""</formula>
    </cfRule>
  </conditionalFormatting>
  <conditionalFormatting sqref="B23 G23:AK23">
    <cfRule type="expression" dxfId="54" priority="59">
      <formula>#REF!&lt;&gt;""</formula>
    </cfRule>
  </conditionalFormatting>
  <conditionalFormatting sqref="B24 G24:AK24">
    <cfRule type="expression" dxfId="53" priority="60">
      <formula>#REF!&lt;&gt;""</formula>
    </cfRule>
  </conditionalFormatting>
  <conditionalFormatting sqref="B25 G25:AK25">
    <cfRule type="expression" dxfId="52" priority="61">
      <formula>#REF!&lt;&gt;""</formula>
    </cfRule>
  </conditionalFormatting>
  <conditionalFormatting sqref="B26 G26:AK26">
    <cfRule type="expression" dxfId="51" priority="62">
      <formula>#REF!&lt;&gt;""</formula>
    </cfRule>
  </conditionalFormatting>
  <conditionalFormatting sqref="B27 G27:AK27">
    <cfRule type="expression" dxfId="50" priority="63">
      <formula>#REF!&lt;&gt;""</formula>
    </cfRule>
  </conditionalFormatting>
  <conditionalFormatting sqref="B28 G28:AK28">
    <cfRule type="expression" dxfId="49" priority="64">
      <formula>#REF!&lt;&gt;""</formula>
    </cfRule>
  </conditionalFormatting>
  <conditionalFormatting sqref="B29 G29:AK29">
    <cfRule type="expression" dxfId="48" priority="65">
      <formula>#REF!&lt;&gt;""</formula>
    </cfRule>
  </conditionalFormatting>
  <conditionalFormatting sqref="B31 G31:AK31">
    <cfRule type="expression" dxfId="47" priority="66">
      <formula>#REF!&lt;&gt;""</formula>
    </cfRule>
  </conditionalFormatting>
  <conditionalFormatting sqref="B32 G32:AK32">
    <cfRule type="expression" dxfId="46" priority="67">
      <formula>#REF!&lt;&gt;""</formula>
    </cfRule>
  </conditionalFormatting>
  <conditionalFormatting sqref="B3:B17 G3:AK3 G4:AG17 L4:V32 AJ4:AK17">
    <cfRule type="expression" dxfId="45" priority="68">
      <formula>#REF!&lt;&gt;""</formula>
    </cfRule>
  </conditionalFormatting>
  <conditionalFormatting sqref="B30 G30:AK30">
    <cfRule type="expression" dxfId="44" priority="69">
      <formula>#REF!&lt;&gt;""</formula>
    </cfRule>
  </conditionalFormatting>
  <conditionalFormatting sqref="C3">
    <cfRule type="expression" dxfId="43" priority="70">
      <formula>#REF!&lt;&gt;""</formula>
    </cfRule>
  </conditionalFormatting>
  <conditionalFormatting sqref="C18">
    <cfRule type="expression" dxfId="42" priority="71">
      <formula>#REF!&lt;&gt;""</formula>
    </cfRule>
  </conditionalFormatting>
  <conditionalFormatting sqref="C19">
    <cfRule type="expression" dxfId="41" priority="72">
      <formula>#REF!&lt;&gt;""</formula>
    </cfRule>
  </conditionalFormatting>
  <conditionalFormatting sqref="C20">
    <cfRule type="expression" dxfId="40" priority="73">
      <formula>#REF!&lt;&gt;""</formula>
    </cfRule>
  </conditionalFormatting>
  <conditionalFormatting sqref="C21">
    <cfRule type="expression" dxfId="39" priority="74">
      <formula>#REF!&lt;&gt;""</formula>
    </cfRule>
  </conditionalFormatting>
  <conditionalFormatting sqref="C22">
    <cfRule type="expression" dxfId="38" priority="75">
      <formula>#REF!&lt;&gt;""</formula>
    </cfRule>
  </conditionalFormatting>
  <conditionalFormatting sqref="C23">
    <cfRule type="expression" dxfId="37" priority="76">
      <formula>#REF!&lt;&gt;""</formula>
    </cfRule>
  </conditionalFormatting>
  <conditionalFormatting sqref="C24">
    <cfRule type="expression" dxfId="36" priority="77">
      <formula>#REF!&lt;&gt;""</formula>
    </cfRule>
  </conditionalFormatting>
  <conditionalFormatting sqref="C25">
    <cfRule type="expression" dxfId="35" priority="78">
      <formula>#REF!&lt;&gt;""</formula>
    </cfRule>
  </conditionalFormatting>
  <conditionalFormatting sqref="C26">
    <cfRule type="expression" dxfId="34" priority="79">
      <formula>#REF!&lt;&gt;""</formula>
    </cfRule>
  </conditionalFormatting>
  <conditionalFormatting sqref="C27">
    <cfRule type="expression" dxfId="33" priority="80">
      <formula>#REF!&lt;&gt;""</formula>
    </cfRule>
  </conditionalFormatting>
  <conditionalFormatting sqref="C28">
    <cfRule type="expression" dxfId="32" priority="81">
      <formula>#REF!&lt;&gt;""</formula>
    </cfRule>
  </conditionalFormatting>
  <conditionalFormatting sqref="C29">
    <cfRule type="expression" dxfId="31" priority="82">
      <formula>#REF!&lt;&gt;""</formula>
    </cfRule>
  </conditionalFormatting>
  <conditionalFormatting sqref="C30">
    <cfRule type="expression" dxfId="30" priority="83">
      <formula>#REF!&lt;&gt;""</formula>
    </cfRule>
  </conditionalFormatting>
  <conditionalFormatting sqref="C31">
    <cfRule type="expression" dxfId="29" priority="84">
      <formula>#REF!&lt;&gt;""</formula>
    </cfRule>
  </conditionalFormatting>
  <conditionalFormatting sqref="C32">
    <cfRule type="expression" dxfId="28" priority="85">
      <formula>#REF!&lt;&gt;""</formula>
    </cfRule>
  </conditionalFormatting>
  <conditionalFormatting sqref="AH17:AI17">
    <cfRule type="expression" dxfId="27" priority="86">
      <formula>#REF!&lt;&gt;""</formula>
    </cfRule>
  </conditionalFormatting>
  <conditionalFormatting sqref="AH16:AI16">
    <cfRule type="expression" dxfId="26" priority="87">
      <formula>#REF!&lt;&gt;""</formula>
    </cfRule>
  </conditionalFormatting>
  <conditionalFormatting sqref="AH15:AI15">
    <cfRule type="expression" dxfId="25" priority="88">
      <formula>#REF!&lt;&gt;""</formula>
    </cfRule>
  </conditionalFormatting>
  <conditionalFormatting sqref="AH14:AI14">
    <cfRule type="expression" dxfId="24" priority="89">
      <formula>#REF!&lt;&gt;""</formula>
    </cfRule>
  </conditionalFormatting>
  <conditionalFormatting sqref="AH13:AI13">
    <cfRule type="expression" dxfId="23" priority="90">
      <formula>#REF!&lt;&gt;""</formula>
    </cfRule>
  </conditionalFormatting>
  <conditionalFormatting sqref="AH12:AI12">
    <cfRule type="expression" dxfId="22" priority="91">
      <formula>#REF!&lt;&gt;""</formula>
    </cfRule>
  </conditionalFormatting>
  <conditionalFormatting sqref="AH11:AI11">
    <cfRule type="expression" dxfId="21" priority="92">
      <formula>#REF!&lt;&gt;""</formula>
    </cfRule>
  </conditionalFormatting>
  <conditionalFormatting sqref="AH10:AI10">
    <cfRule type="expression" dxfId="20" priority="93">
      <formula>#REF!&lt;&gt;""</formula>
    </cfRule>
  </conditionalFormatting>
  <conditionalFormatting sqref="AH9:AI9">
    <cfRule type="expression" dxfId="19" priority="94">
      <formula>#REF!&lt;&gt;""</formula>
    </cfRule>
  </conditionalFormatting>
  <conditionalFormatting sqref="AH8:AI8">
    <cfRule type="expression" dxfId="18" priority="95">
      <formula>#REF!&lt;&gt;""</formula>
    </cfRule>
  </conditionalFormatting>
  <conditionalFormatting sqref="AH7:AI7">
    <cfRule type="expression" dxfId="17" priority="96">
      <formula>#REF!&lt;&gt;""</formula>
    </cfRule>
  </conditionalFormatting>
  <conditionalFormatting sqref="AH6:AI6">
    <cfRule type="expression" dxfId="16" priority="97">
      <formula>#REF!&lt;&gt;""</formula>
    </cfRule>
  </conditionalFormatting>
  <conditionalFormatting sqref="AH5:AI5">
    <cfRule type="expression" dxfId="15" priority="98">
      <formula>#REF!&lt;&gt;""</formula>
    </cfRule>
  </conditionalFormatting>
  <conditionalFormatting sqref="AH4:AI4">
    <cfRule type="expression" dxfId="14" priority="99">
      <formula>#REF!&lt;&gt;""</formula>
    </cfRule>
  </conditionalFormatting>
  <conditionalFormatting sqref="C4">
    <cfRule type="expression" dxfId="13" priority="100">
      <formula>#REF!&lt;&gt;""</formula>
    </cfRule>
  </conditionalFormatting>
  <conditionalFormatting sqref="C5">
    <cfRule type="expression" dxfId="12" priority="101">
      <formula>#REF!&lt;&gt;""</formula>
    </cfRule>
  </conditionalFormatting>
  <conditionalFormatting sqref="C6">
    <cfRule type="expression" dxfId="11" priority="102">
      <formula>#REF!&lt;&gt;""</formula>
    </cfRule>
  </conditionalFormatting>
  <conditionalFormatting sqref="C7">
    <cfRule type="expression" dxfId="10" priority="103">
      <formula>#REF!&lt;&gt;""</formula>
    </cfRule>
  </conditionalFormatting>
  <conditionalFormatting sqref="C8">
    <cfRule type="expression" dxfId="9" priority="104">
      <formula>#REF!&lt;&gt;""</formula>
    </cfRule>
  </conditionalFormatting>
  <conditionalFormatting sqref="C9">
    <cfRule type="expression" dxfId="8" priority="105">
      <formula>#REF!&lt;&gt;""</formula>
    </cfRule>
  </conditionalFormatting>
  <conditionalFormatting sqref="C10">
    <cfRule type="expression" dxfId="7" priority="106">
      <formula>#REF!&lt;&gt;""</formula>
    </cfRule>
  </conditionalFormatting>
  <conditionalFormatting sqref="C11">
    <cfRule type="expression" dxfId="6" priority="107">
      <formula>#REF!&lt;&gt;""</formula>
    </cfRule>
  </conditionalFormatting>
  <conditionalFormatting sqref="C12">
    <cfRule type="expression" dxfId="5" priority="108">
      <formula>#REF!&lt;&gt;""</formula>
    </cfRule>
  </conditionalFormatting>
  <conditionalFormatting sqref="C13">
    <cfRule type="expression" dxfId="4" priority="109">
      <formula>#REF!&lt;&gt;""</formula>
    </cfRule>
  </conditionalFormatting>
  <conditionalFormatting sqref="C14">
    <cfRule type="expression" dxfId="3" priority="110">
      <formula>#REF!&lt;&gt;""</formula>
    </cfRule>
  </conditionalFormatting>
  <conditionalFormatting sqref="C15">
    <cfRule type="expression" dxfId="2" priority="111">
      <formula>#REF!&lt;&gt;""</formula>
    </cfRule>
  </conditionalFormatting>
  <conditionalFormatting sqref="C16">
    <cfRule type="expression" dxfId="1" priority="112">
      <formula>#REF!&lt;&gt;""</formula>
    </cfRule>
  </conditionalFormatting>
  <conditionalFormatting sqref="C17">
    <cfRule type="expression" dxfId="0" priority="113">
      <formula>#REF!&lt;&gt;""</formula>
    </cfRule>
  </conditionalFormatting>
  <pageMargins left="0.23622047244094502" right="0.23622047244094502" top="0.74803149606299202" bottom="0.74803149606299202" header="0" footer="0"/>
  <pageSetup paperSize="9" orientation="landscape" cellComments="atEnd"/>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000"/>
  <sheetViews>
    <sheetView showGridLines="0" workbookViewId="0"/>
  </sheetViews>
  <sheetFormatPr defaultColWidth="14.42578125" defaultRowHeight="15" customHeight="1"/>
  <cols>
    <col min="1" max="1" width="2.140625" customWidth="1"/>
    <col min="2" max="2" width="7.85546875" customWidth="1"/>
    <col min="3" max="3" width="0.85546875" customWidth="1"/>
    <col min="4" max="4" width="5" customWidth="1"/>
    <col min="5" max="5" width="0.85546875" customWidth="1"/>
    <col min="6" max="6" width="5" customWidth="1"/>
    <col min="7" max="7" width="0.85546875" customWidth="1"/>
    <col min="8" max="8" width="5" customWidth="1"/>
    <col min="9" max="9" width="0.85546875" customWidth="1"/>
    <col min="10" max="10" width="5" customWidth="1"/>
    <col min="11" max="11" width="0.85546875" customWidth="1"/>
    <col min="12" max="12" width="5" customWidth="1"/>
    <col min="13" max="13" width="0.85546875" customWidth="1"/>
    <col min="14" max="14" width="5" customWidth="1"/>
    <col min="15" max="15" width="0.85546875" customWidth="1"/>
    <col min="16" max="16" width="2.140625" customWidth="1"/>
    <col min="17" max="17" width="7.85546875" customWidth="1"/>
    <col min="18" max="18" width="0.85546875" customWidth="1"/>
    <col min="19" max="19" width="5" customWidth="1"/>
    <col min="20" max="20" width="0.85546875" customWidth="1"/>
    <col min="21" max="21" width="5" customWidth="1"/>
    <col min="22" max="22" width="0.85546875" customWidth="1"/>
    <col min="23" max="23" width="5" customWidth="1"/>
    <col min="24" max="24" width="0.85546875" customWidth="1"/>
    <col min="25" max="25" width="5" customWidth="1"/>
    <col min="26" max="26" width="0.85546875" customWidth="1"/>
    <col min="27" max="27" width="5" customWidth="1"/>
    <col min="28" max="28" width="0.85546875" customWidth="1"/>
    <col min="29" max="29" width="5" customWidth="1"/>
    <col min="30" max="30" width="0.85546875" customWidth="1"/>
    <col min="31" max="31" width="2.140625" customWidth="1"/>
    <col min="32" max="32" width="7.85546875" customWidth="1"/>
    <col min="33" max="33" width="0.85546875" customWidth="1"/>
    <col min="34" max="34" width="5" customWidth="1"/>
    <col min="35" max="35" width="0.85546875" customWidth="1"/>
    <col min="36" max="36" width="5" customWidth="1"/>
    <col min="37" max="37" width="0.85546875" customWidth="1"/>
    <col min="38" max="38" width="5" customWidth="1"/>
    <col min="39" max="39" width="0.85546875" customWidth="1"/>
    <col min="40" max="40" width="5" customWidth="1"/>
    <col min="41" max="41" width="0.85546875" customWidth="1"/>
    <col min="42" max="42" width="5" customWidth="1"/>
    <col min="43" max="43" width="0.85546875" customWidth="1"/>
    <col min="44" max="44" width="5" customWidth="1"/>
    <col min="45" max="45" width="0.85546875" customWidth="1"/>
    <col min="46" max="46" width="2.140625" customWidth="1"/>
    <col min="47" max="47" width="7.85546875" customWidth="1"/>
    <col min="48" max="48" width="0.85546875" customWidth="1"/>
    <col min="49" max="49" width="5" customWidth="1"/>
    <col min="50" max="50" width="0.85546875" customWidth="1"/>
    <col min="51" max="51" width="5" customWidth="1"/>
    <col min="52" max="52" width="0.85546875" customWidth="1"/>
    <col min="53" max="53" width="5" customWidth="1"/>
    <col min="54" max="54" width="0.85546875" customWidth="1"/>
    <col min="55" max="55" width="5" customWidth="1"/>
    <col min="56" max="56" width="0.85546875" customWidth="1"/>
    <col min="57" max="57" width="5" customWidth="1"/>
    <col min="58" max="58" width="0.85546875" customWidth="1"/>
    <col min="59" max="59" width="5" customWidth="1"/>
    <col min="60" max="60" width="0.85546875" customWidth="1"/>
  </cols>
  <sheetData>
    <row r="1" spans="1:60" ht="11.2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row>
    <row r="2" spans="1:60" ht="4.5" customHeight="1">
      <c r="A2" s="2"/>
      <c r="B2" s="367"/>
      <c r="C2" s="179"/>
      <c r="D2" s="179"/>
      <c r="E2" s="179"/>
      <c r="F2" s="179"/>
      <c r="G2" s="179"/>
      <c r="H2" s="179"/>
      <c r="I2" s="179"/>
      <c r="J2" s="179"/>
      <c r="K2" s="179"/>
      <c r="L2" s="179"/>
      <c r="M2" s="179"/>
      <c r="N2" s="179"/>
      <c r="O2" s="179"/>
      <c r="P2" s="2"/>
      <c r="Q2" s="353" t="str">
        <f>IF(Roster!$A$2=0,"","#"&amp;Roster!$A$2)</f>
        <v>#1</v>
      </c>
      <c r="R2" s="179"/>
      <c r="S2" s="179"/>
      <c r="T2" s="179"/>
      <c r="U2" s="179"/>
      <c r="V2" s="179"/>
      <c r="W2" s="179"/>
      <c r="X2" s="179"/>
      <c r="Y2" s="179"/>
      <c r="Z2" s="179"/>
      <c r="AA2" s="179"/>
      <c r="AB2" s="179"/>
      <c r="AC2" s="179"/>
      <c r="AD2" s="179"/>
      <c r="AE2" s="2"/>
      <c r="AF2" s="353" t="str">
        <f>IF(Roster!$A$3=0,"","#"&amp;Roster!$A$3)</f>
        <v>#2</v>
      </c>
      <c r="AG2" s="179"/>
      <c r="AH2" s="179"/>
      <c r="AI2" s="179"/>
      <c r="AJ2" s="179"/>
      <c r="AK2" s="179"/>
      <c r="AL2" s="179"/>
      <c r="AM2" s="179"/>
      <c r="AN2" s="179"/>
      <c r="AO2" s="179"/>
      <c r="AP2" s="179"/>
      <c r="AQ2" s="179"/>
      <c r="AR2" s="179"/>
      <c r="AS2" s="179"/>
      <c r="AT2" s="2"/>
      <c r="AU2" s="353" t="str">
        <f>IF(Roster!$A$4=0,"","#"&amp;Roster!$A$4)</f>
        <v>#3</v>
      </c>
      <c r="AV2" s="179"/>
      <c r="AW2" s="179"/>
      <c r="AX2" s="179"/>
      <c r="AY2" s="179"/>
      <c r="AZ2" s="179"/>
      <c r="BA2" s="179"/>
      <c r="BB2" s="179"/>
      <c r="BC2" s="179"/>
      <c r="BD2" s="179"/>
      <c r="BE2" s="179"/>
      <c r="BF2" s="179"/>
      <c r="BG2" s="179"/>
      <c r="BH2" s="179"/>
    </row>
    <row r="3" spans="1:60" ht="15" customHeight="1">
      <c r="A3" s="2"/>
      <c r="B3" s="228"/>
      <c r="C3" s="351" t="str">
        <f>IF(Roster!$J$23=0,Roster!$C$23,Roster!$J$23)</f>
        <v>Midnight Stalkers</v>
      </c>
      <c r="D3" s="236"/>
      <c r="E3" s="236"/>
      <c r="F3" s="236"/>
      <c r="G3" s="236"/>
      <c r="H3" s="236"/>
      <c r="I3" s="236"/>
      <c r="J3" s="236"/>
      <c r="K3" s="236"/>
      <c r="L3" s="236"/>
      <c r="M3" s="236"/>
      <c r="N3" s="237"/>
      <c r="O3" s="179"/>
      <c r="P3" s="2"/>
      <c r="Q3" s="228"/>
      <c r="R3" s="351" t="str">
        <f>IF(Roster!$B$2=0,"",Roster!$B$2)</f>
        <v>Frankie Doodle</v>
      </c>
      <c r="S3" s="236"/>
      <c r="T3" s="236"/>
      <c r="U3" s="236"/>
      <c r="V3" s="236"/>
      <c r="W3" s="236"/>
      <c r="X3" s="236"/>
      <c r="Y3" s="236"/>
      <c r="Z3" s="236"/>
      <c r="AA3" s="236"/>
      <c r="AB3" s="236"/>
      <c r="AC3" s="237"/>
      <c r="AD3" s="179"/>
      <c r="AE3" s="2"/>
      <c r="AF3" s="228"/>
      <c r="AG3" s="351" t="str">
        <f>IF(Roster!$B$3=0,"",Roster!$B$3)</f>
        <v>Elton Joke</v>
      </c>
      <c r="AH3" s="236"/>
      <c r="AI3" s="236"/>
      <c r="AJ3" s="236"/>
      <c r="AK3" s="236"/>
      <c r="AL3" s="236"/>
      <c r="AM3" s="236"/>
      <c r="AN3" s="236"/>
      <c r="AO3" s="236"/>
      <c r="AP3" s="236"/>
      <c r="AQ3" s="236"/>
      <c r="AR3" s="237"/>
      <c r="AS3" s="179"/>
      <c r="AT3" s="2"/>
      <c r="AU3" s="228"/>
      <c r="AV3" s="351" t="str">
        <f>IF(Roster!$B$4=0,"",Roster!$B$4)</f>
        <v>Brown Sugar</v>
      </c>
      <c r="AW3" s="236"/>
      <c r="AX3" s="236"/>
      <c r="AY3" s="236"/>
      <c r="AZ3" s="236"/>
      <c r="BA3" s="236"/>
      <c r="BB3" s="236"/>
      <c r="BC3" s="236"/>
      <c r="BD3" s="236"/>
      <c r="BE3" s="236"/>
      <c r="BF3" s="236"/>
      <c r="BG3" s="237"/>
      <c r="BH3" s="179"/>
    </row>
    <row r="4" spans="1:60" ht="11.25" customHeight="1">
      <c r="A4" s="2"/>
      <c r="B4" s="228"/>
      <c r="C4" s="338" t="str">
        <f>IF(Roster!$J$20="SPONSORS",Roster!$J$22,Roster!$J$22&amp;"; Sponsor: "&amp;Roster!$J$20)</f>
        <v>Necromantic</v>
      </c>
      <c r="D4" s="236"/>
      <c r="E4" s="236"/>
      <c r="F4" s="236"/>
      <c r="G4" s="236"/>
      <c r="H4" s="236"/>
      <c r="I4" s="236"/>
      <c r="J4" s="236"/>
      <c r="K4" s="236"/>
      <c r="L4" s="236"/>
      <c r="M4" s="236"/>
      <c r="N4" s="237"/>
      <c r="O4" s="180"/>
      <c r="P4" s="2"/>
      <c r="Q4" s="229"/>
      <c r="R4" s="338" t="str">
        <f>IF(Roster!$C$2=0,"",Roster!$C$2)</f>
        <v>Flesh Golem</v>
      </c>
      <c r="S4" s="236"/>
      <c r="T4" s="236"/>
      <c r="U4" s="236"/>
      <c r="V4" s="236"/>
      <c r="W4" s="236"/>
      <c r="X4" s="236"/>
      <c r="Y4" s="236"/>
      <c r="Z4" s="236"/>
      <c r="AA4" s="236"/>
      <c r="AB4" s="236"/>
      <c r="AC4" s="237"/>
      <c r="AD4" s="180"/>
      <c r="AE4" s="2"/>
      <c r="AF4" s="229"/>
      <c r="AG4" s="338" t="str">
        <f>IF(Roster!$C$3=0,"",Roster!$C$3)</f>
        <v>Flesh Golem</v>
      </c>
      <c r="AH4" s="236"/>
      <c r="AI4" s="236"/>
      <c r="AJ4" s="236"/>
      <c r="AK4" s="236"/>
      <c r="AL4" s="236"/>
      <c r="AM4" s="236"/>
      <c r="AN4" s="236"/>
      <c r="AO4" s="236"/>
      <c r="AP4" s="236"/>
      <c r="AQ4" s="236"/>
      <c r="AR4" s="237"/>
      <c r="AS4" s="180"/>
      <c r="AT4" s="2"/>
      <c r="AU4" s="229"/>
      <c r="AV4" s="338" t="str">
        <f>IF(Roster!$C$4=0,"",Roster!$C$4)</f>
        <v>Werewolf</v>
      </c>
      <c r="AW4" s="236"/>
      <c r="AX4" s="236"/>
      <c r="AY4" s="236"/>
      <c r="AZ4" s="236"/>
      <c r="BA4" s="236"/>
      <c r="BB4" s="236"/>
      <c r="BC4" s="236"/>
      <c r="BD4" s="236"/>
      <c r="BE4" s="236"/>
      <c r="BF4" s="236"/>
      <c r="BG4" s="237"/>
      <c r="BH4" s="180"/>
    </row>
    <row r="5" spans="1:60" ht="11.25" customHeight="1">
      <c r="A5" s="2"/>
      <c r="B5" s="229"/>
      <c r="C5" s="181"/>
      <c r="D5" s="338" t="str">
        <f>IF(Roster!$C$31=0,"",Roster!$C$31)</f>
        <v>TEAM VALUE</v>
      </c>
      <c r="E5" s="236"/>
      <c r="F5" s="237"/>
      <c r="G5" s="182"/>
      <c r="H5" s="338" t="str">
        <f>IF(Roster!$C$25=0,"",Roster!$C$25)</f>
        <v>DEDICATED FANS</v>
      </c>
      <c r="I5" s="236"/>
      <c r="J5" s="237"/>
      <c r="K5" s="182"/>
      <c r="L5" s="338" t="str">
        <f>IF(Roster!$AD$20=0,"",Roster!$AD$20)</f>
        <v>TOTAL REROLLS</v>
      </c>
      <c r="M5" s="236"/>
      <c r="N5" s="237"/>
      <c r="O5" s="179"/>
      <c r="P5" s="2"/>
      <c r="Q5" s="183" t="str">
        <f>IF(Roster!$J$1=0,"",Roster!$J$1)</f>
        <v>MA</v>
      </c>
      <c r="R5" s="339"/>
      <c r="S5" s="340"/>
      <c r="T5" s="340"/>
      <c r="U5" s="340"/>
      <c r="V5" s="340"/>
      <c r="W5" s="340"/>
      <c r="X5" s="340"/>
      <c r="Y5" s="340"/>
      <c r="Z5" s="340"/>
      <c r="AA5" s="340"/>
      <c r="AB5" s="340"/>
      <c r="AC5" s="341"/>
      <c r="AD5" s="179"/>
      <c r="AE5" s="2"/>
      <c r="AF5" s="183" t="str">
        <f>IF(Roster!$J$1=0,"",Roster!$J$1)</f>
        <v>MA</v>
      </c>
      <c r="AG5" s="339"/>
      <c r="AH5" s="340"/>
      <c r="AI5" s="340"/>
      <c r="AJ5" s="340"/>
      <c r="AK5" s="340"/>
      <c r="AL5" s="340"/>
      <c r="AM5" s="340"/>
      <c r="AN5" s="340"/>
      <c r="AO5" s="340"/>
      <c r="AP5" s="340"/>
      <c r="AQ5" s="340"/>
      <c r="AR5" s="341"/>
      <c r="AS5" s="179"/>
      <c r="AT5" s="2"/>
      <c r="AU5" s="183" t="str">
        <f>IF(Roster!$J$1=0,"",Roster!$J$1)</f>
        <v>MA</v>
      </c>
      <c r="AV5" s="339"/>
      <c r="AW5" s="340"/>
      <c r="AX5" s="340"/>
      <c r="AY5" s="340"/>
      <c r="AZ5" s="340"/>
      <c r="BA5" s="340"/>
      <c r="BB5" s="340"/>
      <c r="BC5" s="340"/>
      <c r="BD5" s="340"/>
      <c r="BE5" s="340"/>
      <c r="BF5" s="340"/>
      <c r="BG5" s="341"/>
      <c r="BH5" s="179"/>
    </row>
    <row r="6" spans="1:60" ht="37.5" customHeight="1">
      <c r="A6" s="2"/>
      <c r="B6" s="368" t="str">
        <f>IF(Roster!$J$21=0,"",Roster!$J$21)</f>
        <v>Fabio Paride</v>
      </c>
      <c r="C6" s="184"/>
      <c r="D6" s="363">
        <f>Roster!$J$31</f>
        <v>1330</v>
      </c>
      <c r="E6" s="236"/>
      <c r="F6" s="237"/>
      <c r="G6" s="182"/>
      <c r="H6" s="363">
        <f>IF(Roster!$J$25=0,"",Roster!$J$25)</f>
        <v>3</v>
      </c>
      <c r="I6" s="236"/>
      <c r="J6" s="237"/>
      <c r="K6" s="182"/>
      <c r="L6" s="363">
        <f>Roster!$AI$21</f>
        <v>2</v>
      </c>
      <c r="M6" s="236"/>
      <c r="N6" s="237"/>
      <c r="O6" s="179"/>
      <c r="P6" s="2"/>
      <c r="Q6" s="185">
        <f>IF(Roster!$J$2=0,"",Roster!$J$2)</f>
        <v>4</v>
      </c>
      <c r="R6" s="342"/>
      <c r="S6" s="261"/>
      <c r="T6" s="261"/>
      <c r="U6" s="261"/>
      <c r="V6" s="261"/>
      <c r="W6" s="261"/>
      <c r="X6" s="261"/>
      <c r="Y6" s="261"/>
      <c r="Z6" s="261"/>
      <c r="AA6" s="261"/>
      <c r="AB6" s="261"/>
      <c r="AC6" s="328"/>
      <c r="AD6" s="179"/>
      <c r="AE6" s="2"/>
      <c r="AF6" s="185">
        <f>IF(Roster!$J$3=0,"",Roster!$J$3)</f>
        <v>4</v>
      </c>
      <c r="AG6" s="342"/>
      <c r="AH6" s="261"/>
      <c r="AI6" s="261"/>
      <c r="AJ6" s="261"/>
      <c r="AK6" s="261"/>
      <c r="AL6" s="261"/>
      <c r="AM6" s="261"/>
      <c r="AN6" s="261"/>
      <c r="AO6" s="261"/>
      <c r="AP6" s="261"/>
      <c r="AQ6" s="261"/>
      <c r="AR6" s="328"/>
      <c r="AS6" s="179"/>
      <c r="AT6" s="2"/>
      <c r="AU6" s="185">
        <f>IF(Roster!$J$4=0,"",Roster!$J$4)</f>
        <v>8</v>
      </c>
      <c r="AV6" s="342"/>
      <c r="AW6" s="261"/>
      <c r="AX6" s="261"/>
      <c r="AY6" s="261"/>
      <c r="AZ6" s="261"/>
      <c r="BA6" s="261"/>
      <c r="BB6" s="261"/>
      <c r="BC6" s="261"/>
      <c r="BD6" s="261"/>
      <c r="BE6" s="261"/>
      <c r="BF6" s="261"/>
      <c r="BG6" s="328"/>
      <c r="BH6" s="179"/>
    </row>
    <row r="7" spans="1:60" ht="11.25" customHeight="1">
      <c r="A7" s="2"/>
      <c r="B7" s="228"/>
      <c r="C7" s="183"/>
      <c r="D7" s="338" t="str">
        <f>IF(Roster!$R$21=0,"",Roster!$R$21)</f>
        <v>MORTUARY ASSISTANT</v>
      </c>
      <c r="E7" s="236"/>
      <c r="F7" s="237"/>
      <c r="G7" s="182"/>
      <c r="H7" s="338" t="str">
        <f>IF(Roster!$R$22=0,"",Roster!$R$22)</f>
        <v>CHEERLEADERS</v>
      </c>
      <c r="I7" s="236"/>
      <c r="J7" s="237"/>
      <c r="K7" s="182"/>
      <c r="L7" s="338" t="str">
        <f>IF(Roster!$R$23=0,"",Roster!$R$23)</f>
        <v>ASSISTANT COACHES</v>
      </c>
      <c r="M7" s="236"/>
      <c r="N7" s="237"/>
      <c r="O7" s="179"/>
      <c r="P7" s="2"/>
      <c r="Q7" s="183" t="str">
        <f>IF(Roster!$K$1=0,"",Roster!$K$1)</f>
        <v>ST</v>
      </c>
      <c r="R7" s="342"/>
      <c r="S7" s="261"/>
      <c r="T7" s="261"/>
      <c r="U7" s="261"/>
      <c r="V7" s="261"/>
      <c r="W7" s="261"/>
      <c r="X7" s="261"/>
      <c r="Y7" s="261"/>
      <c r="Z7" s="261"/>
      <c r="AA7" s="261"/>
      <c r="AB7" s="261"/>
      <c r="AC7" s="328"/>
      <c r="AD7" s="179"/>
      <c r="AE7" s="2"/>
      <c r="AF7" s="183" t="str">
        <f>IF(Roster!$K$1=0,"",Roster!$K$1)</f>
        <v>ST</v>
      </c>
      <c r="AG7" s="342"/>
      <c r="AH7" s="261"/>
      <c r="AI7" s="261"/>
      <c r="AJ7" s="261"/>
      <c r="AK7" s="261"/>
      <c r="AL7" s="261"/>
      <c r="AM7" s="261"/>
      <c r="AN7" s="261"/>
      <c r="AO7" s="261"/>
      <c r="AP7" s="261"/>
      <c r="AQ7" s="261"/>
      <c r="AR7" s="328"/>
      <c r="AS7" s="179"/>
      <c r="AT7" s="2"/>
      <c r="AU7" s="183" t="str">
        <f>IF(Roster!$K$1=0,"",Roster!$K$1)</f>
        <v>ST</v>
      </c>
      <c r="AV7" s="342"/>
      <c r="AW7" s="261"/>
      <c r="AX7" s="261"/>
      <c r="AY7" s="261"/>
      <c r="AZ7" s="261"/>
      <c r="BA7" s="261"/>
      <c r="BB7" s="261"/>
      <c r="BC7" s="261"/>
      <c r="BD7" s="261"/>
      <c r="BE7" s="261"/>
      <c r="BF7" s="261"/>
      <c r="BG7" s="328"/>
      <c r="BH7" s="179"/>
    </row>
    <row r="8" spans="1:60" ht="37.5" customHeight="1">
      <c r="A8" s="2"/>
      <c r="B8" s="228"/>
      <c r="C8" s="186"/>
      <c r="D8" s="363">
        <f>Roster!$W$21</f>
        <v>0</v>
      </c>
      <c r="E8" s="236"/>
      <c r="F8" s="237"/>
      <c r="G8" s="182"/>
      <c r="H8" s="363">
        <f>Roster!$W$22</f>
        <v>0</v>
      </c>
      <c r="I8" s="236"/>
      <c r="J8" s="237"/>
      <c r="K8" s="182"/>
      <c r="L8" s="363">
        <f>Roster!$W$23</f>
        <v>0</v>
      </c>
      <c r="M8" s="236"/>
      <c r="N8" s="237"/>
      <c r="O8" s="179"/>
      <c r="P8" s="2"/>
      <c r="Q8" s="185">
        <f>IF(Roster!$K$2=0,"",Roster!$K$2)</f>
        <v>4</v>
      </c>
      <c r="R8" s="342"/>
      <c r="S8" s="261"/>
      <c r="T8" s="261"/>
      <c r="U8" s="261"/>
      <c r="V8" s="261"/>
      <c r="W8" s="261"/>
      <c r="X8" s="261"/>
      <c r="Y8" s="261"/>
      <c r="Z8" s="261"/>
      <c r="AA8" s="261"/>
      <c r="AB8" s="261"/>
      <c r="AC8" s="328"/>
      <c r="AD8" s="179"/>
      <c r="AE8" s="2"/>
      <c r="AF8" s="185">
        <f>IF(Roster!$K$3=0,"",Roster!$K$3)</f>
        <v>4</v>
      </c>
      <c r="AG8" s="342"/>
      <c r="AH8" s="261"/>
      <c r="AI8" s="261"/>
      <c r="AJ8" s="261"/>
      <c r="AK8" s="261"/>
      <c r="AL8" s="261"/>
      <c r="AM8" s="261"/>
      <c r="AN8" s="261"/>
      <c r="AO8" s="261"/>
      <c r="AP8" s="261"/>
      <c r="AQ8" s="261"/>
      <c r="AR8" s="328"/>
      <c r="AS8" s="179"/>
      <c r="AT8" s="2"/>
      <c r="AU8" s="185">
        <f>IF(Roster!$K$4=0,"",Roster!$K$4)</f>
        <v>3</v>
      </c>
      <c r="AV8" s="342"/>
      <c r="AW8" s="261"/>
      <c r="AX8" s="261"/>
      <c r="AY8" s="261"/>
      <c r="AZ8" s="261"/>
      <c r="BA8" s="261"/>
      <c r="BB8" s="261"/>
      <c r="BC8" s="261"/>
      <c r="BD8" s="261"/>
      <c r="BE8" s="261"/>
      <c r="BF8" s="261"/>
      <c r="BG8" s="328"/>
      <c r="BH8" s="179"/>
    </row>
    <row r="9" spans="1:60" ht="11.25" customHeight="1">
      <c r="A9" s="2"/>
      <c r="B9" s="228"/>
      <c r="C9" s="181"/>
      <c r="D9" s="338" t="str">
        <f>IF(Roster!$R$24=0,"",Roster!$R$24)</f>
        <v>BLOODWEISER KEGS</v>
      </c>
      <c r="E9" s="236"/>
      <c r="F9" s="237"/>
      <c r="G9" s="182"/>
      <c r="H9" s="338" t="str">
        <f>IF(Roster!$R$28=0,"",Roster!$R$28)</f>
        <v>BRIBES</v>
      </c>
      <c r="I9" s="236"/>
      <c r="J9" s="237"/>
      <c r="K9" s="182"/>
      <c r="L9" s="338" t="str">
        <f>IF(Roster!$R$29=0,"",Roster!$R$29)</f>
        <v>MASTER CHEF</v>
      </c>
      <c r="M9" s="236"/>
      <c r="N9" s="237"/>
      <c r="O9" s="179"/>
      <c r="P9" s="2"/>
      <c r="Q9" s="183" t="str">
        <f>IF(Roster!$L$1=0,"",Roster!$L$1)</f>
        <v>AG</v>
      </c>
      <c r="R9" s="342"/>
      <c r="S9" s="261"/>
      <c r="T9" s="261"/>
      <c r="U9" s="261"/>
      <c r="V9" s="261"/>
      <c r="W9" s="261"/>
      <c r="X9" s="261"/>
      <c r="Y9" s="261"/>
      <c r="Z9" s="261"/>
      <c r="AA9" s="261"/>
      <c r="AB9" s="261"/>
      <c r="AC9" s="328"/>
      <c r="AD9" s="179"/>
      <c r="AE9" s="2"/>
      <c r="AF9" s="183" t="str">
        <f>IF(Roster!$L$1=0,"",Roster!$L$1)</f>
        <v>AG</v>
      </c>
      <c r="AG9" s="342"/>
      <c r="AH9" s="261"/>
      <c r="AI9" s="261"/>
      <c r="AJ9" s="261"/>
      <c r="AK9" s="261"/>
      <c r="AL9" s="261"/>
      <c r="AM9" s="261"/>
      <c r="AN9" s="261"/>
      <c r="AO9" s="261"/>
      <c r="AP9" s="261"/>
      <c r="AQ9" s="261"/>
      <c r="AR9" s="328"/>
      <c r="AS9" s="179"/>
      <c r="AT9" s="2"/>
      <c r="AU9" s="183" t="str">
        <f>IF(Roster!$L$1=0,"",Roster!$L$1)</f>
        <v>AG</v>
      </c>
      <c r="AV9" s="342"/>
      <c r="AW9" s="261"/>
      <c r="AX9" s="261"/>
      <c r="AY9" s="261"/>
      <c r="AZ9" s="261"/>
      <c r="BA9" s="261"/>
      <c r="BB9" s="261"/>
      <c r="BC9" s="261"/>
      <c r="BD9" s="261"/>
      <c r="BE9" s="261"/>
      <c r="BF9" s="261"/>
      <c r="BG9" s="328"/>
      <c r="BH9" s="179"/>
    </row>
    <row r="10" spans="1:60" ht="37.5" customHeight="1">
      <c r="A10" s="2"/>
      <c r="B10" s="228"/>
      <c r="C10" s="186"/>
      <c r="D10" s="363">
        <f>Roster!$W$24</f>
        <v>0</v>
      </c>
      <c r="E10" s="236"/>
      <c r="F10" s="237"/>
      <c r="G10" s="182"/>
      <c r="H10" s="363">
        <f>Roster!$W$28</f>
        <v>0</v>
      </c>
      <c r="I10" s="236"/>
      <c r="J10" s="237"/>
      <c r="K10" s="182"/>
      <c r="L10" s="363">
        <f>Roster!$W$29</f>
        <v>0</v>
      </c>
      <c r="M10" s="236"/>
      <c r="N10" s="237"/>
      <c r="O10" s="179"/>
      <c r="P10" s="2"/>
      <c r="Q10" s="185" t="str">
        <f>IF(Roster!$L$2=0&amp;"+","",Roster!$L$2)</f>
        <v>4+</v>
      </c>
      <c r="R10" s="342"/>
      <c r="S10" s="261"/>
      <c r="T10" s="261"/>
      <c r="U10" s="261"/>
      <c r="V10" s="261"/>
      <c r="W10" s="261"/>
      <c r="X10" s="261"/>
      <c r="Y10" s="261"/>
      <c r="Z10" s="261"/>
      <c r="AA10" s="261"/>
      <c r="AB10" s="261"/>
      <c r="AC10" s="328"/>
      <c r="AD10" s="179"/>
      <c r="AE10" s="2"/>
      <c r="AF10" s="185" t="str">
        <f>IF(Roster!$L$3=0&amp;"+","",Roster!$L$3)</f>
        <v>4+</v>
      </c>
      <c r="AG10" s="342"/>
      <c r="AH10" s="261"/>
      <c r="AI10" s="261"/>
      <c r="AJ10" s="261"/>
      <c r="AK10" s="261"/>
      <c r="AL10" s="261"/>
      <c r="AM10" s="261"/>
      <c r="AN10" s="261"/>
      <c r="AO10" s="261"/>
      <c r="AP10" s="261"/>
      <c r="AQ10" s="261"/>
      <c r="AR10" s="328"/>
      <c r="AS10" s="179"/>
      <c r="AT10" s="2"/>
      <c r="AU10" s="185" t="str">
        <f>IF(Roster!$L$4=0&amp;"+","",Roster!$L$4)</f>
        <v>3+</v>
      </c>
      <c r="AV10" s="342"/>
      <c r="AW10" s="261"/>
      <c r="AX10" s="261"/>
      <c r="AY10" s="261"/>
      <c r="AZ10" s="261"/>
      <c r="BA10" s="261"/>
      <c r="BB10" s="261"/>
      <c r="BC10" s="261"/>
      <c r="BD10" s="261"/>
      <c r="BE10" s="261"/>
      <c r="BF10" s="261"/>
      <c r="BG10" s="328"/>
      <c r="BH10" s="179"/>
    </row>
    <row r="11" spans="1:60" ht="11.25" customHeight="1">
      <c r="A11" s="2"/>
      <c r="B11" s="228"/>
      <c r="C11" s="183"/>
      <c r="D11" s="364" t="str">
        <f>IF(Roster!$R$30=0,"",Roster!$R$30)</f>
        <v>RIOTOUS ROOKIES</v>
      </c>
      <c r="E11" s="236"/>
      <c r="F11" s="237"/>
      <c r="G11" s="187"/>
      <c r="H11" s="364" t="str">
        <f>IF(Roster!$AD$24=0,"",Roster!$AD$24)</f>
        <v>WIZARDS</v>
      </c>
      <c r="I11" s="236"/>
      <c r="J11" s="237"/>
      <c r="K11" s="187"/>
      <c r="L11" s="338" t="str">
        <f>IF(Roster!$AD$23=0,"",Roster!$AD$23)</f>
        <v>WEATHER MAGE</v>
      </c>
      <c r="M11" s="236"/>
      <c r="N11" s="237"/>
      <c r="O11" s="188"/>
      <c r="P11" s="2"/>
      <c r="Q11" s="183" t="str">
        <f>IF(Roster!$M$1=0,"",Roster!$M$1)</f>
        <v>PA</v>
      </c>
      <c r="R11" s="342"/>
      <c r="S11" s="261"/>
      <c r="T11" s="261"/>
      <c r="U11" s="261"/>
      <c r="V11" s="261"/>
      <c r="W11" s="261"/>
      <c r="X11" s="261"/>
      <c r="Y11" s="261"/>
      <c r="Z11" s="261"/>
      <c r="AA11" s="261"/>
      <c r="AB11" s="261"/>
      <c r="AC11" s="328"/>
      <c r="AD11" s="188"/>
      <c r="AE11" s="2"/>
      <c r="AF11" s="183" t="str">
        <f>IF(Roster!$M$1=0,"",Roster!$M$1)</f>
        <v>PA</v>
      </c>
      <c r="AG11" s="342"/>
      <c r="AH11" s="261"/>
      <c r="AI11" s="261"/>
      <c r="AJ11" s="261"/>
      <c r="AK11" s="261"/>
      <c r="AL11" s="261"/>
      <c r="AM11" s="261"/>
      <c r="AN11" s="261"/>
      <c r="AO11" s="261"/>
      <c r="AP11" s="261"/>
      <c r="AQ11" s="261"/>
      <c r="AR11" s="328"/>
      <c r="AS11" s="188"/>
      <c r="AT11" s="2"/>
      <c r="AU11" s="183" t="str">
        <f>IF(Roster!$M$1=0,"",Roster!$M$1)</f>
        <v>PA</v>
      </c>
      <c r="AV11" s="342"/>
      <c r="AW11" s="261"/>
      <c r="AX11" s="261"/>
      <c r="AY11" s="261"/>
      <c r="AZ11" s="261"/>
      <c r="BA11" s="261"/>
      <c r="BB11" s="261"/>
      <c r="BC11" s="261"/>
      <c r="BD11" s="261"/>
      <c r="BE11" s="261"/>
      <c r="BF11" s="261"/>
      <c r="BG11" s="328"/>
      <c r="BH11" s="188"/>
    </row>
    <row r="12" spans="1:60" ht="6" customHeight="1">
      <c r="A12" s="2"/>
      <c r="B12" s="228"/>
      <c r="C12" s="184"/>
      <c r="D12" s="365">
        <f>Roster!$W$30</f>
        <v>0</v>
      </c>
      <c r="E12" s="340"/>
      <c r="F12" s="341"/>
      <c r="G12" s="189"/>
      <c r="H12" s="365">
        <f>Roster!$AI$24</f>
        <v>0</v>
      </c>
      <c r="I12" s="340"/>
      <c r="J12" s="341"/>
      <c r="K12" s="189"/>
      <c r="L12" s="365">
        <f>Roster!$AI$23</f>
        <v>0</v>
      </c>
      <c r="M12" s="340"/>
      <c r="N12" s="341"/>
      <c r="O12" s="190"/>
      <c r="P12" s="2"/>
      <c r="Q12" s="346" t="str">
        <f>IF(Roster!$M$2=0&amp;"+","",Roster!$M$2)</f>
        <v/>
      </c>
      <c r="R12" s="343"/>
      <c r="S12" s="344"/>
      <c r="T12" s="344"/>
      <c r="U12" s="344"/>
      <c r="V12" s="344"/>
      <c r="W12" s="344"/>
      <c r="X12" s="344"/>
      <c r="Y12" s="344"/>
      <c r="Z12" s="344"/>
      <c r="AA12" s="344"/>
      <c r="AB12" s="344"/>
      <c r="AC12" s="345"/>
      <c r="AD12" s="190"/>
      <c r="AE12" s="2"/>
      <c r="AF12" s="346" t="str">
        <f>IF(Roster!$M$3=0&amp;"+","",Roster!$M$3)</f>
        <v/>
      </c>
      <c r="AG12" s="343"/>
      <c r="AH12" s="344"/>
      <c r="AI12" s="344"/>
      <c r="AJ12" s="344"/>
      <c r="AK12" s="344"/>
      <c r="AL12" s="344"/>
      <c r="AM12" s="344"/>
      <c r="AN12" s="344"/>
      <c r="AO12" s="344"/>
      <c r="AP12" s="344"/>
      <c r="AQ12" s="344"/>
      <c r="AR12" s="345"/>
      <c r="AS12" s="190"/>
      <c r="AT12" s="2"/>
      <c r="AU12" s="346" t="str">
        <f>IF(Roster!$M$4=0&amp;"+","",Roster!$M$4)</f>
        <v>4+</v>
      </c>
      <c r="AV12" s="343"/>
      <c r="AW12" s="344"/>
      <c r="AX12" s="344"/>
      <c r="AY12" s="344"/>
      <c r="AZ12" s="344"/>
      <c r="BA12" s="344"/>
      <c r="BB12" s="344"/>
      <c r="BC12" s="344"/>
      <c r="BD12" s="344"/>
      <c r="BE12" s="344"/>
      <c r="BF12" s="344"/>
      <c r="BG12" s="345"/>
      <c r="BH12" s="190"/>
    </row>
    <row r="13" spans="1:60" ht="4.5" customHeight="1">
      <c r="A13" s="2"/>
      <c r="B13" s="228"/>
      <c r="C13" s="184"/>
      <c r="D13" s="342"/>
      <c r="E13" s="261"/>
      <c r="F13" s="328"/>
      <c r="G13" s="189"/>
      <c r="H13" s="342"/>
      <c r="I13" s="261"/>
      <c r="J13" s="328"/>
      <c r="K13" s="189"/>
      <c r="L13" s="342"/>
      <c r="M13" s="261"/>
      <c r="N13" s="328"/>
      <c r="O13" s="190"/>
      <c r="P13" s="2"/>
      <c r="Q13" s="228"/>
      <c r="R13" s="182"/>
      <c r="S13" s="179"/>
      <c r="T13" s="189"/>
      <c r="U13" s="179"/>
      <c r="V13" s="189"/>
      <c r="W13" s="179"/>
      <c r="X13" s="189"/>
      <c r="Y13" s="179"/>
      <c r="Z13" s="189"/>
      <c r="AA13" s="179"/>
      <c r="AB13" s="189"/>
      <c r="AC13" s="179"/>
      <c r="AD13" s="190"/>
      <c r="AE13" s="2"/>
      <c r="AF13" s="228"/>
      <c r="AG13" s="182"/>
      <c r="AH13" s="179"/>
      <c r="AI13" s="189"/>
      <c r="AJ13" s="179"/>
      <c r="AK13" s="189"/>
      <c r="AL13" s="179"/>
      <c r="AM13" s="189"/>
      <c r="AN13" s="179"/>
      <c r="AO13" s="189"/>
      <c r="AP13" s="179"/>
      <c r="AQ13" s="189"/>
      <c r="AR13" s="179"/>
      <c r="AS13" s="190"/>
      <c r="AT13" s="2"/>
      <c r="AU13" s="228"/>
      <c r="AV13" s="182"/>
      <c r="AW13" s="179"/>
      <c r="AX13" s="189"/>
      <c r="AY13" s="179"/>
      <c r="AZ13" s="189"/>
      <c r="BA13" s="179"/>
      <c r="BB13" s="189"/>
      <c r="BC13" s="179"/>
      <c r="BD13" s="189"/>
      <c r="BE13" s="179"/>
      <c r="BF13" s="189"/>
      <c r="BG13" s="179"/>
      <c r="BH13" s="190"/>
    </row>
    <row r="14" spans="1:60" ht="11.25" customHeight="1">
      <c r="A14" s="2"/>
      <c r="B14" s="228"/>
      <c r="C14" s="184"/>
      <c r="D14" s="342"/>
      <c r="E14" s="261"/>
      <c r="F14" s="328"/>
      <c r="G14" s="189"/>
      <c r="H14" s="342"/>
      <c r="I14" s="261"/>
      <c r="J14" s="328"/>
      <c r="K14" s="189"/>
      <c r="L14" s="342"/>
      <c r="M14" s="261"/>
      <c r="N14" s="328"/>
      <c r="O14" s="190"/>
      <c r="P14" s="2"/>
      <c r="Q14" s="228"/>
      <c r="R14" s="182"/>
      <c r="S14" s="191" t="str">
        <f>IF(Roster!$AA$1=0,"",Roster!$AA$1)</f>
        <v>SPE</v>
      </c>
      <c r="T14" s="189"/>
      <c r="U14" s="191" t="str">
        <f>IF(Roster!$AB$1=0,"",Roster!$AB$1)</f>
        <v>CP</v>
      </c>
      <c r="V14" s="189"/>
      <c r="W14" s="191" t="str">
        <f>IF(Roster!$AC$1=0,"",Roster!$AC$1)</f>
        <v>TD</v>
      </c>
      <c r="X14" s="189"/>
      <c r="Y14" s="191" t="str">
        <f>IF(Roster!$AD$1=0,"",Roster!$AD$1)</f>
        <v>DEF</v>
      </c>
      <c r="Z14" s="189"/>
      <c r="AA14" s="191" t="str">
        <f>IF(Roster!$AE$1=0,"",Roster!$AE$1)</f>
        <v>INT</v>
      </c>
      <c r="AB14" s="189"/>
      <c r="AC14" s="191" t="str">
        <f>IF(Roster!$AF$1=0,"",Roster!$AF$1)</f>
        <v>BH</v>
      </c>
      <c r="AD14" s="190"/>
      <c r="AE14" s="2"/>
      <c r="AF14" s="228"/>
      <c r="AG14" s="182"/>
      <c r="AH14" s="191" t="str">
        <f>IF(Roster!$AA$1=0,"",Roster!$AA$1)</f>
        <v>SPE</v>
      </c>
      <c r="AI14" s="189"/>
      <c r="AJ14" s="191" t="str">
        <f>IF(Roster!$AB$1=0,"",Roster!$AB$1)</f>
        <v>CP</v>
      </c>
      <c r="AK14" s="189"/>
      <c r="AL14" s="191" t="str">
        <f>IF(Roster!$AC$1=0,"",Roster!$AC$1)</f>
        <v>TD</v>
      </c>
      <c r="AM14" s="189"/>
      <c r="AN14" s="191" t="str">
        <f>IF(Roster!$AD$1=0,"",Roster!$AD$1)</f>
        <v>DEF</v>
      </c>
      <c r="AO14" s="189"/>
      <c r="AP14" s="191" t="str">
        <f>IF(Roster!$AE$1=0,"",Roster!$AE$1)</f>
        <v>INT</v>
      </c>
      <c r="AQ14" s="189"/>
      <c r="AR14" s="191" t="str">
        <f>IF(Roster!$AF$1=0,"",Roster!$AF$1)</f>
        <v>BH</v>
      </c>
      <c r="AS14" s="190"/>
      <c r="AT14" s="2"/>
      <c r="AU14" s="228"/>
      <c r="AV14" s="182"/>
      <c r="AW14" s="191" t="str">
        <f>IF(Roster!$AA$1=0,"",Roster!$AA$1)</f>
        <v>SPE</v>
      </c>
      <c r="AX14" s="189"/>
      <c r="AY14" s="191" t="str">
        <f>IF(Roster!$AB$1=0,"",Roster!$AB$1)</f>
        <v>CP</v>
      </c>
      <c r="AZ14" s="189"/>
      <c r="BA14" s="191" t="str">
        <f>IF(Roster!$AC$1=0,"",Roster!$AC$1)</f>
        <v>TD</v>
      </c>
      <c r="BB14" s="189"/>
      <c r="BC14" s="191" t="str">
        <f>IF(Roster!$AD$1=0,"",Roster!$AD$1)</f>
        <v>DEF</v>
      </c>
      <c r="BD14" s="189"/>
      <c r="BE14" s="191" t="str">
        <f>IF(Roster!$AE$1=0,"",Roster!$AE$1)</f>
        <v>INT</v>
      </c>
      <c r="BF14" s="189"/>
      <c r="BG14" s="191" t="str">
        <f>IF(Roster!$AF$1=0,"",Roster!$AF$1)</f>
        <v>BH</v>
      </c>
      <c r="BH14" s="190"/>
    </row>
    <row r="15" spans="1:60" ht="15" customHeight="1">
      <c r="A15" s="2"/>
      <c r="B15" s="228"/>
      <c r="C15" s="184"/>
      <c r="D15" s="342"/>
      <c r="E15" s="261"/>
      <c r="F15" s="328"/>
      <c r="G15" s="184"/>
      <c r="H15" s="342"/>
      <c r="I15" s="261"/>
      <c r="J15" s="328"/>
      <c r="K15" s="184"/>
      <c r="L15" s="342"/>
      <c r="M15" s="261"/>
      <c r="N15" s="328"/>
      <c r="O15" s="190"/>
      <c r="P15" s="2"/>
      <c r="Q15" s="228"/>
      <c r="R15" s="184"/>
      <c r="S15" s="192" t="str">
        <f>IF(Roster!$AA$2=0,"",Roster!$AA$2)</f>
        <v/>
      </c>
      <c r="T15" s="184"/>
      <c r="U15" s="192" t="str">
        <f>IF(Roster!$AB$2=0,"",Roster!$AB$2)</f>
        <v/>
      </c>
      <c r="V15" s="184"/>
      <c r="W15" s="192" t="str">
        <f>IF(Roster!$AC$2=0,"",Roster!$AC$2)</f>
        <v/>
      </c>
      <c r="X15" s="184"/>
      <c r="Y15" s="192" t="str">
        <f>IF(Roster!$AD$2=0,"",Roster!$AD$2)</f>
        <v/>
      </c>
      <c r="Z15" s="184"/>
      <c r="AA15" s="192" t="str">
        <f>IF(Roster!$AE$2=0,"",Roster!$AE$2)</f>
        <v/>
      </c>
      <c r="AB15" s="184"/>
      <c r="AC15" s="192" t="str">
        <f>IF(Roster!$AF$2=0,"",Roster!$AF$2)</f>
        <v/>
      </c>
      <c r="AD15" s="190"/>
      <c r="AE15" s="2"/>
      <c r="AF15" s="228"/>
      <c r="AG15" s="184"/>
      <c r="AH15" s="192" t="str">
        <f>IF(Roster!$AA$3=0,"",Roster!$AA$3)</f>
        <v/>
      </c>
      <c r="AI15" s="184"/>
      <c r="AJ15" s="192" t="str">
        <f>IF(Roster!$AB$3=0,"",Roster!$AB$3)</f>
        <v/>
      </c>
      <c r="AK15" s="184"/>
      <c r="AL15" s="192" t="str">
        <f>IF(Roster!$AC$3=0,"",Roster!$AC$3)</f>
        <v/>
      </c>
      <c r="AM15" s="184"/>
      <c r="AN15" s="192" t="str">
        <f>IF(Roster!$AD$3=0,"",Roster!$AD$3)</f>
        <v/>
      </c>
      <c r="AO15" s="184"/>
      <c r="AP15" s="192" t="str">
        <f>IF(Roster!$AE$3=0,"",Roster!$AE$3)</f>
        <v/>
      </c>
      <c r="AQ15" s="184"/>
      <c r="AR15" s="192" t="str">
        <f>IF(Roster!$AF$3=0,"",Roster!$AF$3)</f>
        <v/>
      </c>
      <c r="AS15" s="190"/>
      <c r="AT15" s="2"/>
      <c r="AU15" s="228"/>
      <c r="AV15" s="184"/>
      <c r="AW15" s="192" t="str">
        <f>IF(Roster!$AA$4=0,"",Roster!$AA$4)</f>
        <v/>
      </c>
      <c r="AX15" s="184"/>
      <c r="AY15" s="192" t="str">
        <f>IF(Roster!$AB$4=0,"",Roster!$AB$4)</f>
        <v/>
      </c>
      <c r="AZ15" s="184"/>
      <c r="BA15" s="192">
        <f>IF(Roster!$AC$4=0,"",Roster!$AC$4)</f>
        <v>1</v>
      </c>
      <c r="BB15" s="184"/>
      <c r="BC15" s="192" t="str">
        <f>IF(Roster!$AD$4=0,"",Roster!$AD$4)</f>
        <v/>
      </c>
      <c r="BD15" s="184"/>
      <c r="BE15" s="192" t="str">
        <f>IF(Roster!$AE$4=0,"",Roster!$AE$4)</f>
        <v/>
      </c>
      <c r="BF15" s="184"/>
      <c r="BG15" s="192" t="str">
        <f>IF(Roster!$AF$4=0,"",Roster!$AF$4)</f>
        <v/>
      </c>
      <c r="BH15" s="190"/>
    </row>
    <row r="16" spans="1:60" ht="4.5" customHeight="1">
      <c r="A16" s="2"/>
      <c r="B16" s="228"/>
      <c r="C16" s="184"/>
      <c r="D16" s="343"/>
      <c r="E16" s="344"/>
      <c r="F16" s="345"/>
      <c r="G16" s="184"/>
      <c r="H16" s="343"/>
      <c r="I16" s="344"/>
      <c r="J16" s="345"/>
      <c r="K16" s="184"/>
      <c r="L16" s="343"/>
      <c r="M16" s="344"/>
      <c r="N16" s="345"/>
      <c r="O16" s="190"/>
      <c r="P16" s="2"/>
      <c r="Q16" s="229"/>
      <c r="R16" s="184"/>
      <c r="S16" s="193"/>
      <c r="T16" s="184"/>
      <c r="U16" s="193"/>
      <c r="V16" s="184"/>
      <c r="W16" s="193"/>
      <c r="X16" s="184"/>
      <c r="Y16" s="193"/>
      <c r="Z16" s="184"/>
      <c r="AA16" s="193"/>
      <c r="AB16" s="184"/>
      <c r="AC16" s="193"/>
      <c r="AD16" s="190"/>
      <c r="AE16" s="2"/>
      <c r="AF16" s="229"/>
      <c r="AG16" s="184"/>
      <c r="AH16" s="193"/>
      <c r="AI16" s="184"/>
      <c r="AJ16" s="193"/>
      <c r="AK16" s="184"/>
      <c r="AL16" s="193"/>
      <c r="AM16" s="184"/>
      <c r="AN16" s="193"/>
      <c r="AO16" s="184"/>
      <c r="AP16" s="193"/>
      <c r="AQ16" s="184"/>
      <c r="AR16" s="193"/>
      <c r="AS16" s="190"/>
      <c r="AT16" s="2"/>
      <c r="AU16" s="229"/>
      <c r="AV16" s="184"/>
      <c r="AW16" s="193"/>
      <c r="AX16" s="184"/>
      <c r="AY16" s="193"/>
      <c r="AZ16" s="184"/>
      <c r="BA16" s="193"/>
      <c r="BB16" s="184"/>
      <c r="BC16" s="193"/>
      <c r="BD16" s="184"/>
      <c r="BE16" s="193"/>
      <c r="BF16" s="184"/>
      <c r="BG16" s="193"/>
      <c r="BH16" s="190"/>
    </row>
    <row r="17" spans="1:60" ht="11.25" customHeight="1">
      <c r="A17" s="2"/>
      <c r="B17" s="228"/>
      <c r="C17" s="183"/>
      <c r="D17" s="338" t="str">
        <f>IF(Roster!$R$25=0,"",Roster!$R$25)</f>
        <v>SPECIAL CARD</v>
      </c>
      <c r="E17" s="236"/>
      <c r="F17" s="237"/>
      <c r="G17" s="183"/>
      <c r="H17" s="364" t="str">
        <f>IF(Roster!$AD$25=0,"",Roster!$AD$25)</f>
        <v>(IN)FAMOUS COACHES</v>
      </c>
      <c r="I17" s="236"/>
      <c r="J17" s="237"/>
      <c r="K17" s="183"/>
      <c r="L17" s="364" t="str">
        <f>IF(Roster!$AD$26=0,"",Roster!$AD$26)</f>
        <v>(IN)FAMOUS COACHES</v>
      </c>
      <c r="M17" s="236"/>
      <c r="N17" s="237"/>
      <c r="O17" s="179"/>
      <c r="P17" s="2"/>
      <c r="Q17" s="183" t="str">
        <f>IF(Roster!$N$1=0,"",Roster!$N$1)</f>
        <v>AV</v>
      </c>
      <c r="R17" s="183"/>
      <c r="S17" s="191" t="str">
        <f>IF(Roster!$AF$1=0,"",Roster!$AF$1)</f>
        <v>BH</v>
      </c>
      <c r="T17" s="183"/>
      <c r="U17" s="191" t="str">
        <f>IF(Roster!$AG$1=0,"",Roster!$AG$1)</f>
        <v>SI</v>
      </c>
      <c r="V17" s="183"/>
      <c r="W17" s="191" t="str">
        <f>IF(Roster!$AH$1=0,"",Roster!$AH$1)</f>
        <v>KILL</v>
      </c>
      <c r="X17" s="183"/>
      <c r="Y17" s="191" t="str">
        <f>IF(Roster!$AI$1=0,"",Roster!$AI$1)</f>
        <v>MVP</v>
      </c>
      <c r="Z17" s="183"/>
      <c r="AA17" s="191" t="str">
        <f>IF(Roster!$AI$1=0,"",Roster!$AI$1)</f>
        <v>MVP</v>
      </c>
      <c r="AB17" s="183"/>
      <c r="AC17" s="191" t="s">
        <v>309</v>
      </c>
      <c r="AD17" s="179"/>
      <c r="AE17" s="2"/>
      <c r="AF17" s="183" t="str">
        <f>IF(Roster!$N$1=0,"",Roster!$N$1)</f>
        <v>AV</v>
      </c>
      <c r="AG17" s="183"/>
      <c r="AH17" s="191" t="str">
        <f>IF(Roster!$AF$1=0,"",Roster!$AF$1)</f>
        <v>BH</v>
      </c>
      <c r="AI17" s="183"/>
      <c r="AJ17" s="191" t="str">
        <f>IF(Roster!$AG$1=0,"",Roster!$AG$1)</f>
        <v>SI</v>
      </c>
      <c r="AK17" s="183"/>
      <c r="AL17" s="191" t="str">
        <f>IF(Roster!$AH$1=0,"",Roster!$AH$1)</f>
        <v>KILL</v>
      </c>
      <c r="AM17" s="183"/>
      <c r="AN17" s="191" t="str">
        <f>IF(Roster!$AI$1=0,"",Roster!$AI$1)</f>
        <v>MVP</v>
      </c>
      <c r="AO17" s="183"/>
      <c r="AP17" s="191" t="str">
        <f>IF(Roster!$AI$1=0,"",Roster!$AI$1)</f>
        <v>MVP</v>
      </c>
      <c r="AQ17" s="183"/>
      <c r="AR17" s="191" t="s">
        <v>309</v>
      </c>
      <c r="AS17" s="179"/>
      <c r="AT17" s="2"/>
      <c r="AU17" s="183" t="str">
        <f>IF(Roster!$N$1=0,"",Roster!$N$1)</f>
        <v>AV</v>
      </c>
      <c r="AV17" s="183"/>
      <c r="AW17" s="191" t="str">
        <f>IF(Roster!$AF$1=0,"",Roster!$AF$1)</f>
        <v>BH</v>
      </c>
      <c r="AX17" s="183"/>
      <c r="AY17" s="191" t="str">
        <f>IF(Roster!$AG$1=0,"",Roster!$AG$1)</f>
        <v>SI</v>
      </c>
      <c r="AZ17" s="183"/>
      <c r="BA17" s="191" t="str">
        <f>IF(Roster!$AH$1=0,"",Roster!$AH$1)</f>
        <v>KILL</v>
      </c>
      <c r="BB17" s="183"/>
      <c r="BC17" s="191" t="str">
        <f>IF(Roster!$AI$1=0,"",Roster!$AI$1)</f>
        <v>MVP</v>
      </c>
      <c r="BD17" s="183"/>
      <c r="BE17" s="191" t="str">
        <f>IF(Roster!$AI$1=0,"",Roster!$AI$1)</f>
        <v>MVP</v>
      </c>
      <c r="BF17" s="183"/>
      <c r="BG17" s="191" t="s">
        <v>309</v>
      </c>
      <c r="BH17" s="179"/>
    </row>
    <row r="18" spans="1:60" ht="15" customHeight="1">
      <c r="A18" s="2"/>
      <c r="B18" s="228"/>
      <c r="C18" s="184"/>
      <c r="D18" s="365">
        <f>Roster!$W$25</f>
        <v>0</v>
      </c>
      <c r="E18" s="340"/>
      <c r="F18" s="341"/>
      <c r="G18" s="184"/>
      <c r="H18" s="365">
        <f>Roster!$AI$25</f>
        <v>0</v>
      </c>
      <c r="I18" s="340"/>
      <c r="J18" s="341"/>
      <c r="K18" s="184"/>
      <c r="L18" s="365">
        <f>Roster!$AI$26</f>
        <v>0</v>
      </c>
      <c r="M18" s="340"/>
      <c r="N18" s="341"/>
      <c r="O18" s="194"/>
      <c r="P18" s="2"/>
      <c r="Q18" s="346" t="str">
        <f>IF(Roster!$N$2=0&amp;"+","",Roster!$N$2)</f>
        <v>10+</v>
      </c>
      <c r="R18" s="184"/>
      <c r="S18" s="192" t="str">
        <f>IF(Roster!$AF$2=0,"",Roster!$AF$2)</f>
        <v/>
      </c>
      <c r="T18" s="184"/>
      <c r="U18" s="192">
        <f>IF(Roster!$AG$2=0,"",Roster!$AG$2)</f>
        <v>3</v>
      </c>
      <c r="V18" s="184"/>
      <c r="W18" s="192" t="str">
        <f>IF(Roster!$AH$2=0,"",Roster!$AH$2)</f>
        <v/>
      </c>
      <c r="X18" s="184"/>
      <c r="Y18" s="192" t="str">
        <f>IF(Roster!$AI$2=0,"",Roster!$AI$2)</f>
        <v/>
      </c>
      <c r="Z18" s="184"/>
      <c r="AA18" s="192" t="str">
        <f>IF(Roster!$AI$2=0,"",Roster!$AI$2)</f>
        <v/>
      </c>
      <c r="AB18" s="184"/>
      <c r="AC18" s="192">
        <f>IF(Roster!$AJ$2=0,"",Roster!$AJ$2)</f>
        <v>6</v>
      </c>
      <c r="AD18" s="194"/>
      <c r="AE18" s="2"/>
      <c r="AF18" s="346" t="str">
        <f>IF(Roster!$N$3=0&amp;"+","",Roster!$N$3)</f>
        <v>10+</v>
      </c>
      <c r="AG18" s="184"/>
      <c r="AH18" s="192" t="str">
        <f>IF(Roster!$AF$3=0,"",Roster!$AF$3)</f>
        <v/>
      </c>
      <c r="AI18" s="184"/>
      <c r="AJ18" s="192">
        <f>IF(Roster!$AG$3=0,"",Roster!$AG$3)</f>
        <v>1</v>
      </c>
      <c r="AK18" s="184"/>
      <c r="AL18" s="192" t="str">
        <f>IF(Roster!$AH$3=0,"",Roster!$AH$3)</f>
        <v/>
      </c>
      <c r="AM18" s="184"/>
      <c r="AN18" s="192" t="str">
        <f>IF(Roster!$AI$3=0,"",Roster!$AI$3)</f>
        <v/>
      </c>
      <c r="AO18" s="184"/>
      <c r="AP18" s="192" t="str">
        <f>IF(Roster!$AI$3=0,"",Roster!$AI$3)</f>
        <v/>
      </c>
      <c r="AQ18" s="184"/>
      <c r="AR18" s="192">
        <f>IF(Roster!$AJ$3=0,"",Roster!$AJ$3)</f>
        <v>2</v>
      </c>
      <c r="AS18" s="194"/>
      <c r="AT18" s="2"/>
      <c r="AU18" s="346" t="str">
        <f>IF(Roster!$N$4=0&amp;"+","",Roster!$N$4)</f>
        <v>9+</v>
      </c>
      <c r="AV18" s="184"/>
      <c r="AW18" s="192" t="str">
        <f>IF(Roster!$AF$4=0,"",Roster!$AF$4)</f>
        <v/>
      </c>
      <c r="AX18" s="184"/>
      <c r="AY18" s="192" t="str">
        <f>IF(Roster!$AG$4=0,"",Roster!$AG$4)</f>
        <v/>
      </c>
      <c r="AZ18" s="184"/>
      <c r="BA18" s="192" t="str">
        <f>IF(Roster!$AH$4=0,"",Roster!$AH$4)</f>
        <v/>
      </c>
      <c r="BB18" s="184"/>
      <c r="BC18" s="192">
        <f>IF(Roster!$AI$4=0,"",Roster!$AI$4)</f>
        <v>1</v>
      </c>
      <c r="BD18" s="184"/>
      <c r="BE18" s="192">
        <f>IF(Roster!$AI$4=0,"",Roster!$AI$4)</f>
        <v>1</v>
      </c>
      <c r="BF18" s="184"/>
      <c r="BG18" s="192">
        <f>IF(Roster!$AJ$4=0,"",Roster!$AJ$4)</f>
        <v>7</v>
      </c>
      <c r="BH18" s="194"/>
    </row>
    <row r="19" spans="1:60" ht="4.5" customHeight="1">
      <c r="A19" s="2"/>
      <c r="B19" s="228"/>
      <c r="C19" s="184"/>
      <c r="D19" s="342"/>
      <c r="E19" s="261"/>
      <c r="F19" s="328"/>
      <c r="G19" s="184"/>
      <c r="H19" s="342"/>
      <c r="I19" s="261"/>
      <c r="J19" s="328"/>
      <c r="K19" s="184"/>
      <c r="L19" s="342"/>
      <c r="M19" s="261"/>
      <c r="N19" s="328"/>
      <c r="O19" s="194"/>
      <c r="P19" s="2"/>
      <c r="Q19" s="228"/>
      <c r="R19" s="184"/>
      <c r="S19" s="184"/>
      <c r="T19" s="184"/>
      <c r="U19" s="184"/>
      <c r="V19" s="184"/>
      <c r="W19" s="184"/>
      <c r="X19" s="184"/>
      <c r="Y19" s="184"/>
      <c r="Z19" s="184"/>
      <c r="AA19" s="184"/>
      <c r="AB19" s="184"/>
      <c r="AC19" s="190"/>
      <c r="AD19" s="194"/>
      <c r="AE19" s="2"/>
      <c r="AF19" s="228"/>
      <c r="AG19" s="184"/>
      <c r="AH19" s="184"/>
      <c r="AI19" s="184"/>
      <c r="AJ19" s="184"/>
      <c r="AK19" s="184"/>
      <c r="AL19" s="184"/>
      <c r="AM19" s="184"/>
      <c r="AN19" s="184"/>
      <c r="AO19" s="184"/>
      <c r="AP19" s="184"/>
      <c r="AQ19" s="184"/>
      <c r="AR19" s="190"/>
      <c r="AS19" s="194"/>
      <c r="AT19" s="2"/>
      <c r="AU19" s="228"/>
      <c r="AV19" s="184"/>
      <c r="AW19" s="184"/>
      <c r="AX19" s="184"/>
      <c r="AY19" s="184"/>
      <c r="AZ19" s="184"/>
      <c r="BA19" s="184"/>
      <c r="BB19" s="184"/>
      <c r="BC19" s="184"/>
      <c r="BD19" s="184"/>
      <c r="BE19" s="184"/>
      <c r="BF19" s="184"/>
      <c r="BG19" s="190"/>
      <c r="BH19" s="194"/>
    </row>
    <row r="20" spans="1:60" ht="11.25" customHeight="1">
      <c r="A20" s="2"/>
      <c r="B20" s="228"/>
      <c r="C20" s="184"/>
      <c r="D20" s="342"/>
      <c r="E20" s="261"/>
      <c r="F20" s="328"/>
      <c r="G20" s="188"/>
      <c r="H20" s="342"/>
      <c r="I20" s="261"/>
      <c r="J20" s="328"/>
      <c r="K20" s="188"/>
      <c r="L20" s="342"/>
      <c r="M20" s="261"/>
      <c r="N20" s="328"/>
      <c r="O20" s="194"/>
      <c r="P20" s="2"/>
      <c r="Q20" s="228"/>
      <c r="R20" s="184"/>
      <c r="S20" s="347" t="str">
        <f>IF(Roster!$J$24="Español","HABILIDADES Y RASGOS","SKILLS &amp; TRAITS")</f>
        <v>SKILLS &amp; TRAITS</v>
      </c>
      <c r="T20" s="236"/>
      <c r="U20" s="236"/>
      <c r="V20" s="236"/>
      <c r="W20" s="236"/>
      <c r="X20" s="236"/>
      <c r="Y20" s="236"/>
      <c r="Z20" s="236"/>
      <c r="AA20" s="236"/>
      <c r="AB20" s="236"/>
      <c r="AC20" s="237"/>
      <c r="AD20" s="194"/>
      <c r="AE20" s="2"/>
      <c r="AF20" s="228"/>
      <c r="AG20" s="184"/>
      <c r="AH20" s="347" t="str">
        <f>IF(Roster!$J$24="Español","HABILIDADES Y RASGOS","SKILLS &amp; TRAITS")</f>
        <v>SKILLS &amp; TRAITS</v>
      </c>
      <c r="AI20" s="236"/>
      <c r="AJ20" s="236"/>
      <c r="AK20" s="236"/>
      <c r="AL20" s="236"/>
      <c r="AM20" s="236"/>
      <c r="AN20" s="236"/>
      <c r="AO20" s="236"/>
      <c r="AP20" s="236"/>
      <c r="AQ20" s="236"/>
      <c r="AR20" s="237"/>
      <c r="AS20" s="194"/>
      <c r="AT20" s="2"/>
      <c r="AU20" s="228"/>
      <c r="AV20" s="184"/>
      <c r="AW20" s="347" t="str">
        <f>IF(Roster!$J$24="Español","HABILIDADES Y RASGOS","SKILLS &amp; TRAITS")</f>
        <v>SKILLS &amp; TRAITS</v>
      </c>
      <c r="AX20" s="236"/>
      <c r="AY20" s="236"/>
      <c r="AZ20" s="236"/>
      <c r="BA20" s="236"/>
      <c r="BB20" s="236"/>
      <c r="BC20" s="236"/>
      <c r="BD20" s="236"/>
      <c r="BE20" s="236"/>
      <c r="BF20" s="236"/>
      <c r="BG20" s="237"/>
      <c r="BH20" s="194"/>
    </row>
    <row r="21" spans="1:60" ht="6.75" customHeight="1">
      <c r="A21" s="2"/>
      <c r="B21" s="228"/>
      <c r="C21" s="184"/>
      <c r="D21" s="343"/>
      <c r="E21" s="344"/>
      <c r="F21" s="345"/>
      <c r="G21" s="195"/>
      <c r="H21" s="343"/>
      <c r="I21" s="344"/>
      <c r="J21" s="345"/>
      <c r="K21" s="195"/>
      <c r="L21" s="343"/>
      <c r="M21" s="344"/>
      <c r="N21" s="345"/>
      <c r="O21" s="194"/>
      <c r="P21" s="2"/>
      <c r="Q21" s="229"/>
      <c r="R21" s="184"/>
      <c r="S21" s="348" t="str">
        <f>IF(Roster!$O$2=0&amp;BF2,"",Roster!$O$2)</f>
        <v>Regeneration, Stand Firm, Thick Skull, Block -  NI</v>
      </c>
      <c r="T21" s="340"/>
      <c r="U21" s="340"/>
      <c r="V21" s="340"/>
      <c r="W21" s="340"/>
      <c r="X21" s="340"/>
      <c r="Y21" s="340"/>
      <c r="Z21" s="340"/>
      <c r="AA21" s="340"/>
      <c r="AB21" s="340"/>
      <c r="AC21" s="341"/>
      <c r="AD21" s="194"/>
      <c r="AE21" s="2"/>
      <c r="AF21" s="229"/>
      <c r="AG21" s="184"/>
      <c r="AH21" s="348" t="str">
        <f>IF(Roster!$O$3=0&amp;BF3,"",Roster!$O$3)</f>
        <v>Regeneration, Stand Firm, Thick Skull</v>
      </c>
      <c r="AI21" s="340"/>
      <c r="AJ21" s="340"/>
      <c r="AK21" s="340"/>
      <c r="AL21" s="340"/>
      <c r="AM21" s="340"/>
      <c r="AN21" s="340"/>
      <c r="AO21" s="340"/>
      <c r="AP21" s="340"/>
      <c r="AQ21" s="340"/>
      <c r="AR21" s="341"/>
      <c r="AS21" s="194"/>
      <c r="AT21" s="2"/>
      <c r="AU21" s="229"/>
      <c r="AV21" s="184"/>
      <c r="AW21" s="348" t="str">
        <f>IF(Roster!$O$4=0&amp;BF4,"",Roster!$O$4)</f>
        <v>Claws, Frenzy, Regeneration, Block</v>
      </c>
      <c r="AX21" s="340"/>
      <c r="AY21" s="340"/>
      <c r="AZ21" s="340"/>
      <c r="BA21" s="340"/>
      <c r="BB21" s="340"/>
      <c r="BC21" s="340"/>
      <c r="BD21" s="340"/>
      <c r="BE21" s="340"/>
      <c r="BF21" s="340"/>
      <c r="BG21" s="341"/>
      <c r="BH21" s="194"/>
    </row>
    <row r="22" spans="1:60" ht="11.25" customHeight="1">
      <c r="A22" s="2"/>
      <c r="B22" s="228"/>
      <c r="C22" s="181"/>
      <c r="D22" s="364" t="str">
        <f>IF(Roster!$AD$27=0,"",Roster!$AD$27)</f>
        <v>BIASED REFEREE</v>
      </c>
      <c r="E22" s="236"/>
      <c r="F22" s="237"/>
      <c r="G22" s="195"/>
      <c r="H22" s="364" t="str">
        <f>IF(Roster!$AD$28=0,"",Roster!$AD$28)</f>
        <v>OTHER INDUCEMENTS</v>
      </c>
      <c r="I22" s="236"/>
      <c r="J22" s="237"/>
      <c r="K22" s="195"/>
      <c r="L22" s="338" t="str">
        <f>IF(Roster!$AD$30=0,"",Roster!$AD$30)</f>
        <v>WANDERING APO</v>
      </c>
      <c r="M22" s="236"/>
      <c r="N22" s="237"/>
      <c r="O22" s="195"/>
      <c r="P22" s="2"/>
      <c r="Q22" s="183" t="str">
        <f>IF(Roster!$AN$1=0,"",Roster!$AN$1)</f>
        <v>COST</v>
      </c>
      <c r="R22" s="183"/>
      <c r="S22" s="342"/>
      <c r="T22" s="261"/>
      <c r="U22" s="261"/>
      <c r="V22" s="261"/>
      <c r="W22" s="261"/>
      <c r="X22" s="261"/>
      <c r="Y22" s="261"/>
      <c r="Z22" s="261"/>
      <c r="AA22" s="261"/>
      <c r="AB22" s="261"/>
      <c r="AC22" s="328"/>
      <c r="AD22" s="195"/>
      <c r="AE22" s="2"/>
      <c r="AF22" s="183" t="str">
        <f>IF(Roster!$AN$1=0,"",Roster!$AN$1)</f>
        <v>COST</v>
      </c>
      <c r="AG22" s="183"/>
      <c r="AH22" s="342"/>
      <c r="AI22" s="261"/>
      <c r="AJ22" s="261"/>
      <c r="AK22" s="261"/>
      <c r="AL22" s="261"/>
      <c r="AM22" s="261"/>
      <c r="AN22" s="261"/>
      <c r="AO22" s="261"/>
      <c r="AP22" s="261"/>
      <c r="AQ22" s="261"/>
      <c r="AR22" s="328"/>
      <c r="AS22" s="195"/>
      <c r="AT22" s="2"/>
      <c r="AU22" s="183" t="str">
        <f>IF(Roster!$AN$1=0,"",Roster!$AN$1)</f>
        <v>COST</v>
      </c>
      <c r="AV22" s="183"/>
      <c r="AW22" s="342"/>
      <c r="AX22" s="261"/>
      <c r="AY22" s="261"/>
      <c r="AZ22" s="261"/>
      <c r="BA22" s="261"/>
      <c r="BB22" s="261"/>
      <c r="BC22" s="261"/>
      <c r="BD22" s="261"/>
      <c r="BE22" s="261"/>
      <c r="BF22" s="261"/>
      <c r="BG22" s="328"/>
      <c r="BH22" s="195"/>
    </row>
    <row r="23" spans="1:60" ht="34.5" customHeight="1">
      <c r="A23" s="2"/>
      <c r="B23" s="229"/>
      <c r="C23" s="196"/>
      <c r="D23" s="366">
        <f>Roster!$AI$27</f>
        <v>0</v>
      </c>
      <c r="E23" s="236"/>
      <c r="F23" s="237"/>
      <c r="G23" s="195"/>
      <c r="H23" s="366">
        <f>Roster!$AI$28</f>
        <v>0</v>
      </c>
      <c r="I23" s="236"/>
      <c r="J23" s="237"/>
      <c r="K23" s="195"/>
      <c r="L23" s="366">
        <f>Roster!$AI$30</f>
        <v>0</v>
      </c>
      <c r="M23" s="236"/>
      <c r="N23" s="237"/>
      <c r="O23" s="195"/>
      <c r="P23" s="2"/>
      <c r="Q23" s="197">
        <f>IF(Roster!$AN$2=0,"",Roster!$AN$2)</f>
        <v>135000</v>
      </c>
      <c r="R23" s="198"/>
      <c r="S23" s="343"/>
      <c r="T23" s="344"/>
      <c r="U23" s="344"/>
      <c r="V23" s="344"/>
      <c r="W23" s="344"/>
      <c r="X23" s="344"/>
      <c r="Y23" s="344"/>
      <c r="Z23" s="344"/>
      <c r="AA23" s="344"/>
      <c r="AB23" s="344"/>
      <c r="AC23" s="345"/>
      <c r="AD23" s="195"/>
      <c r="AE23" s="2"/>
      <c r="AF23" s="197">
        <f>IF(Roster!$AN$3=0,"",Roster!$AN$3)</f>
        <v>115000</v>
      </c>
      <c r="AG23" s="198"/>
      <c r="AH23" s="343"/>
      <c r="AI23" s="344"/>
      <c r="AJ23" s="344"/>
      <c r="AK23" s="344"/>
      <c r="AL23" s="344"/>
      <c r="AM23" s="344"/>
      <c r="AN23" s="344"/>
      <c r="AO23" s="344"/>
      <c r="AP23" s="344"/>
      <c r="AQ23" s="344"/>
      <c r="AR23" s="345"/>
      <c r="AS23" s="195"/>
      <c r="AT23" s="2"/>
      <c r="AU23" s="197">
        <f>IF(Roster!$AN$4=0,"",Roster!$AN$4)</f>
        <v>145000</v>
      </c>
      <c r="AV23" s="198"/>
      <c r="AW23" s="343"/>
      <c r="AX23" s="344"/>
      <c r="AY23" s="344"/>
      <c r="AZ23" s="344"/>
      <c r="BA23" s="344"/>
      <c r="BB23" s="344"/>
      <c r="BC23" s="344"/>
      <c r="BD23" s="344"/>
      <c r="BE23" s="344"/>
      <c r="BF23" s="344"/>
      <c r="BG23" s="345"/>
      <c r="BH23" s="195"/>
    </row>
    <row r="24" spans="1:60" ht="4.5" customHeight="1">
      <c r="A24" s="2"/>
      <c r="B24" s="362"/>
      <c r="C24" s="236"/>
      <c r="D24" s="236"/>
      <c r="E24" s="236"/>
      <c r="F24" s="236"/>
      <c r="G24" s="236"/>
      <c r="H24" s="236"/>
      <c r="I24" s="236"/>
      <c r="J24" s="236"/>
      <c r="K24" s="236"/>
      <c r="L24" s="236"/>
      <c r="M24" s="236"/>
      <c r="N24" s="237"/>
      <c r="O24" s="195"/>
      <c r="P24" s="2"/>
      <c r="Q24" s="362"/>
      <c r="R24" s="236"/>
      <c r="S24" s="236"/>
      <c r="T24" s="236"/>
      <c r="U24" s="236"/>
      <c r="V24" s="236"/>
      <c r="W24" s="236"/>
      <c r="X24" s="236"/>
      <c r="Y24" s="236"/>
      <c r="Z24" s="236"/>
      <c r="AA24" s="236"/>
      <c r="AB24" s="236"/>
      <c r="AC24" s="237"/>
      <c r="AD24" s="195"/>
      <c r="AE24" s="2"/>
      <c r="AF24" s="362"/>
      <c r="AG24" s="236"/>
      <c r="AH24" s="236"/>
      <c r="AI24" s="236"/>
      <c r="AJ24" s="236"/>
      <c r="AK24" s="236"/>
      <c r="AL24" s="236"/>
      <c r="AM24" s="236"/>
      <c r="AN24" s="236"/>
      <c r="AO24" s="236"/>
      <c r="AP24" s="236"/>
      <c r="AQ24" s="236"/>
      <c r="AR24" s="237"/>
      <c r="AS24" s="195"/>
      <c r="AT24" s="2"/>
      <c r="AU24" s="179"/>
      <c r="AV24" s="179"/>
      <c r="AW24" s="179"/>
      <c r="AX24" s="179"/>
      <c r="AY24" s="179"/>
      <c r="AZ24" s="179"/>
      <c r="BA24" s="179"/>
      <c r="BB24" s="179"/>
      <c r="BC24" s="179"/>
      <c r="BD24" s="179"/>
      <c r="BE24" s="179"/>
      <c r="BF24" s="179"/>
      <c r="BG24" s="195"/>
      <c r="BH24" s="195"/>
    </row>
    <row r="25" spans="1:60" ht="11.25" customHeight="1">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row>
    <row r="26" spans="1:60" ht="4.5" customHeight="1">
      <c r="A26" s="2"/>
      <c r="B26" s="353" t="str">
        <f>IF(Roster!$A$5=0,"","#"&amp;Roster!$A$5)</f>
        <v>#4</v>
      </c>
      <c r="C26" s="179"/>
      <c r="D26" s="179"/>
      <c r="E26" s="179"/>
      <c r="F26" s="179"/>
      <c r="G26" s="179"/>
      <c r="H26" s="179"/>
      <c r="I26" s="179"/>
      <c r="J26" s="179"/>
      <c r="K26" s="179"/>
      <c r="L26" s="179"/>
      <c r="M26" s="179"/>
      <c r="N26" s="179"/>
      <c r="O26" s="179"/>
      <c r="P26" s="2"/>
      <c r="Q26" s="353" t="str">
        <f>IF(Roster!$A$6=0,"","#"&amp;Roster!$A$6)</f>
        <v>#5</v>
      </c>
      <c r="R26" s="179"/>
      <c r="S26" s="179"/>
      <c r="T26" s="179"/>
      <c r="U26" s="179"/>
      <c r="V26" s="179"/>
      <c r="W26" s="179"/>
      <c r="X26" s="179"/>
      <c r="Y26" s="179"/>
      <c r="Z26" s="179"/>
      <c r="AA26" s="179"/>
      <c r="AB26" s="179"/>
      <c r="AC26" s="179"/>
      <c r="AD26" s="179"/>
      <c r="AE26" s="2"/>
      <c r="AF26" s="353" t="str">
        <f>IF(Roster!$A$7=0,"","#"&amp;Roster!$A$7)</f>
        <v>#6</v>
      </c>
      <c r="AG26" s="179"/>
      <c r="AH26" s="179"/>
      <c r="AI26" s="179"/>
      <c r="AJ26" s="179"/>
      <c r="AK26" s="179"/>
      <c r="AL26" s="179"/>
      <c r="AM26" s="179"/>
      <c r="AN26" s="179"/>
      <c r="AO26" s="179"/>
      <c r="AP26" s="179"/>
      <c r="AQ26" s="179"/>
      <c r="AR26" s="179"/>
      <c r="AS26" s="179"/>
      <c r="AT26" s="2"/>
      <c r="AU26" s="353" t="str">
        <f>IF(Roster!$A$8=0,"","#"&amp;Roster!$A$8)</f>
        <v>#7</v>
      </c>
      <c r="AV26" s="179"/>
      <c r="AW26" s="179"/>
      <c r="AX26" s="179"/>
      <c r="AY26" s="179"/>
      <c r="AZ26" s="179"/>
      <c r="BA26" s="179"/>
      <c r="BB26" s="179"/>
      <c r="BC26" s="179"/>
      <c r="BD26" s="179"/>
      <c r="BE26" s="179"/>
      <c r="BF26" s="179"/>
      <c r="BG26" s="179"/>
      <c r="BH26" s="179"/>
    </row>
    <row r="27" spans="1:60" ht="15" customHeight="1">
      <c r="A27" s="2"/>
      <c r="B27" s="228"/>
      <c r="C27" s="351" t="str">
        <f>IF(Roster!$B$5=0,"",Roster!$B$5)</f>
        <v>Coal Chamber</v>
      </c>
      <c r="D27" s="236"/>
      <c r="E27" s="236"/>
      <c r="F27" s="236"/>
      <c r="G27" s="236"/>
      <c r="H27" s="236"/>
      <c r="I27" s="236"/>
      <c r="J27" s="236"/>
      <c r="K27" s="236"/>
      <c r="L27" s="236"/>
      <c r="M27" s="236"/>
      <c r="N27" s="237"/>
      <c r="O27" s="179"/>
      <c r="P27" s="2"/>
      <c r="Q27" s="228"/>
      <c r="R27" s="351" t="str">
        <f>IF(Roster!$B$6=0,"",Roster!$B$6)</f>
        <v>Slender Jet</v>
      </c>
      <c r="S27" s="236"/>
      <c r="T27" s="236"/>
      <c r="U27" s="236"/>
      <c r="V27" s="236"/>
      <c r="W27" s="236"/>
      <c r="X27" s="236"/>
      <c r="Y27" s="236"/>
      <c r="Z27" s="236"/>
      <c r="AA27" s="236"/>
      <c r="AB27" s="236"/>
      <c r="AC27" s="237"/>
      <c r="AD27" s="179"/>
      <c r="AE27" s="2"/>
      <c r="AF27" s="228"/>
      <c r="AG27" s="351" t="str">
        <f>IF(Roster!$B$7=0,"",Roster!$B$7)</f>
        <v>Spekter Grey</v>
      </c>
      <c r="AH27" s="236"/>
      <c r="AI27" s="236"/>
      <c r="AJ27" s="236"/>
      <c r="AK27" s="236"/>
      <c r="AL27" s="236"/>
      <c r="AM27" s="236"/>
      <c r="AN27" s="236"/>
      <c r="AO27" s="236"/>
      <c r="AP27" s="236"/>
      <c r="AQ27" s="236"/>
      <c r="AR27" s="237"/>
      <c r="AS27" s="179"/>
      <c r="AT27" s="2"/>
      <c r="AU27" s="228"/>
      <c r="AV27" s="351" t="str">
        <f>IF(Roster!$B$8=0,"",Roster!$B$8)</f>
        <v>Jon Slow</v>
      </c>
      <c r="AW27" s="236"/>
      <c r="AX27" s="236"/>
      <c r="AY27" s="236"/>
      <c r="AZ27" s="236"/>
      <c r="BA27" s="236"/>
      <c r="BB27" s="236"/>
      <c r="BC27" s="236"/>
      <c r="BD27" s="236"/>
      <c r="BE27" s="236"/>
      <c r="BF27" s="236"/>
      <c r="BG27" s="237"/>
      <c r="BH27" s="179"/>
    </row>
    <row r="28" spans="1:60" ht="11.25" customHeight="1">
      <c r="A28" s="2"/>
      <c r="B28" s="229"/>
      <c r="C28" s="338" t="str">
        <f>IF(Roster!$C$5=0,"",Roster!$C$5)</f>
        <v>Werewolf</v>
      </c>
      <c r="D28" s="236"/>
      <c r="E28" s="236"/>
      <c r="F28" s="236"/>
      <c r="G28" s="236"/>
      <c r="H28" s="236"/>
      <c r="I28" s="236"/>
      <c r="J28" s="236"/>
      <c r="K28" s="236"/>
      <c r="L28" s="236"/>
      <c r="M28" s="236"/>
      <c r="N28" s="237"/>
      <c r="O28" s="180"/>
      <c r="P28" s="2"/>
      <c r="Q28" s="229"/>
      <c r="R28" s="338" t="str">
        <f>IF(Roster!$C$6=0,"",Roster!$C$6)</f>
        <v>Ghoul</v>
      </c>
      <c r="S28" s="236"/>
      <c r="T28" s="236"/>
      <c r="U28" s="236"/>
      <c r="V28" s="236"/>
      <c r="W28" s="236"/>
      <c r="X28" s="236"/>
      <c r="Y28" s="236"/>
      <c r="Z28" s="236"/>
      <c r="AA28" s="236"/>
      <c r="AB28" s="236"/>
      <c r="AC28" s="237"/>
      <c r="AD28" s="180"/>
      <c r="AE28" s="2"/>
      <c r="AF28" s="229"/>
      <c r="AG28" s="338" t="str">
        <f>IF(Roster!$C$7=0,"",Roster!$C$7)</f>
        <v>Wraiths</v>
      </c>
      <c r="AH28" s="236"/>
      <c r="AI28" s="236"/>
      <c r="AJ28" s="236"/>
      <c r="AK28" s="236"/>
      <c r="AL28" s="236"/>
      <c r="AM28" s="236"/>
      <c r="AN28" s="236"/>
      <c r="AO28" s="236"/>
      <c r="AP28" s="236"/>
      <c r="AQ28" s="236"/>
      <c r="AR28" s="237"/>
      <c r="AS28" s="180"/>
      <c r="AT28" s="2"/>
      <c r="AU28" s="229"/>
      <c r="AV28" s="338" t="str">
        <f>IF(Roster!$C$8=0,"",Roster!$C$8)</f>
        <v>Zombie</v>
      </c>
      <c r="AW28" s="236"/>
      <c r="AX28" s="236"/>
      <c r="AY28" s="236"/>
      <c r="AZ28" s="236"/>
      <c r="BA28" s="236"/>
      <c r="BB28" s="236"/>
      <c r="BC28" s="236"/>
      <c r="BD28" s="236"/>
      <c r="BE28" s="236"/>
      <c r="BF28" s="236"/>
      <c r="BG28" s="237"/>
      <c r="BH28" s="180"/>
    </row>
    <row r="29" spans="1:60" ht="11.25" customHeight="1">
      <c r="A29" s="2"/>
      <c r="B29" s="183" t="str">
        <f>IF(Roster!$J$1=0,"",Roster!$J$1)</f>
        <v>MA</v>
      </c>
      <c r="C29" s="339"/>
      <c r="D29" s="340"/>
      <c r="E29" s="340"/>
      <c r="F29" s="340"/>
      <c r="G29" s="340"/>
      <c r="H29" s="340"/>
      <c r="I29" s="340"/>
      <c r="J29" s="340"/>
      <c r="K29" s="340"/>
      <c r="L29" s="340"/>
      <c r="M29" s="340"/>
      <c r="N29" s="341"/>
      <c r="O29" s="179"/>
      <c r="P29" s="2"/>
      <c r="Q29" s="183" t="str">
        <f>IF(Roster!$J$1=0,"",Roster!$J$1)</f>
        <v>MA</v>
      </c>
      <c r="R29" s="339"/>
      <c r="S29" s="340"/>
      <c r="T29" s="340"/>
      <c r="U29" s="340"/>
      <c r="V29" s="340"/>
      <c r="W29" s="340"/>
      <c r="X29" s="340"/>
      <c r="Y29" s="340"/>
      <c r="Z29" s="340"/>
      <c r="AA29" s="340"/>
      <c r="AB29" s="340"/>
      <c r="AC29" s="341"/>
      <c r="AD29" s="179"/>
      <c r="AE29" s="2"/>
      <c r="AF29" s="183" t="str">
        <f>IF(Roster!$J$1=0,"",Roster!$J$1)</f>
        <v>MA</v>
      </c>
      <c r="AG29" s="339"/>
      <c r="AH29" s="340"/>
      <c r="AI29" s="340"/>
      <c r="AJ29" s="340"/>
      <c r="AK29" s="340"/>
      <c r="AL29" s="340"/>
      <c r="AM29" s="340"/>
      <c r="AN29" s="340"/>
      <c r="AO29" s="340"/>
      <c r="AP29" s="340"/>
      <c r="AQ29" s="340"/>
      <c r="AR29" s="341"/>
      <c r="AS29" s="179"/>
      <c r="AT29" s="2"/>
      <c r="AU29" s="183" t="str">
        <f>IF(Roster!$J$1=0,"",Roster!$J$1)</f>
        <v>MA</v>
      </c>
      <c r="AV29" s="339"/>
      <c r="AW29" s="340"/>
      <c r="AX29" s="340"/>
      <c r="AY29" s="340"/>
      <c r="AZ29" s="340"/>
      <c r="BA29" s="340"/>
      <c r="BB29" s="340"/>
      <c r="BC29" s="340"/>
      <c r="BD29" s="340"/>
      <c r="BE29" s="340"/>
      <c r="BF29" s="340"/>
      <c r="BG29" s="341"/>
      <c r="BH29" s="179"/>
    </row>
    <row r="30" spans="1:60" ht="37.5" customHeight="1">
      <c r="A30" s="2"/>
      <c r="B30" s="185">
        <f>IF(Roster!$J$5=0,"",Roster!$J$5)</f>
        <v>8</v>
      </c>
      <c r="C30" s="342"/>
      <c r="D30" s="261"/>
      <c r="E30" s="261"/>
      <c r="F30" s="261"/>
      <c r="G30" s="261"/>
      <c r="H30" s="261"/>
      <c r="I30" s="261"/>
      <c r="J30" s="261"/>
      <c r="K30" s="261"/>
      <c r="L30" s="261"/>
      <c r="M30" s="261"/>
      <c r="N30" s="328"/>
      <c r="O30" s="179"/>
      <c r="P30" s="2"/>
      <c r="Q30" s="185">
        <f>IF(Roster!$J$6=0,"",Roster!$J$6)</f>
        <v>7</v>
      </c>
      <c r="R30" s="342"/>
      <c r="S30" s="261"/>
      <c r="T30" s="261"/>
      <c r="U30" s="261"/>
      <c r="V30" s="261"/>
      <c r="W30" s="261"/>
      <c r="X30" s="261"/>
      <c r="Y30" s="261"/>
      <c r="Z30" s="261"/>
      <c r="AA30" s="261"/>
      <c r="AB30" s="261"/>
      <c r="AC30" s="328"/>
      <c r="AD30" s="179"/>
      <c r="AE30" s="2"/>
      <c r="AF30" s="185">
        <f>IF(Roster!$J$7=0,"",Roster!$J$7)</f>
        <v>6</v>
      </c>
      <c r="AG30" s="342"/>
      <c r="AH30" s="261"/>
      <c r="AI30" s="261"/>
      <c r="AJ30" s="261"/>
      <c r="AK30" s="261"/>
      <c r="AL30" s="261"/>
      <c r="AM30" s="261"/>
      <c r="AN30" s="261"/>
      <c r="AO30" s="261"/>
      <c r="AP30" s="261"/>
      <c r="AQ30" s="261"/>
      <c r="AR30" s="328"/>
      <c r="AS30" s="179"/>
      <c r="AT30" s="2"/>
      <c r="AU30" s="185">
        <f>IF(Roster!$J$8=0,"",Roster!$J$8)</f>
        <v>4</v>
      </c>
      <c r="AV30" s="342"/>
      <c r="AW30" s="261"/>
      <c r="AX30" s="261"/>
      <c r="AY30" s="261"/>
      <c r="AZ30" s="261"/>
      <c r="BA30" s="261"/>
      <c r="BB30" s="261"/>
      <c r="BC30" s="261"/>
      <c r="BD30" s="261"/>
      <c r="BE30" s="261"/>
      <c r="BF30" s="261"/>
      <c r="BG30" s="328"/>
      <c r="BH30" s="179"/>
    </row>
    <row r="31" spans="1:60" ht="11.25" customHeight="1">
      <c r="A31" s="2"/>
      <c r="B31" s="183" t="str">
        <f>IF(Roster!$K$1=0,"",Roster!$K$1)</f>
        <v>ST</v>
      </c>
      <c r="C31" s="342"/>
      <c r="D31" s="261"/>
      <c r="E31" s="261"/>
      <c r="F31" s="261"/>
      <c r="G31" s="261"/>
      <c r="H31" s="261"/>
      <c r="I31" s="261"/>
      <c r="J31" s="261"/>
      <c r="K31" s="261"/>
      <c r="L31" s="261"/>
      <c r="M31" s="261"/>
      <c r="N31" s="328"/>
      <c r="O31" s="179"/>
      <c r="P31" s="2"/>
      <c r="Q31" s="183" t="str">
        <f>IF(Roster!$K$1=0,"",Roster!$K$1)</f>
        <v>ST</v>
      </c>
      <c r="R31" s="342"/>
      <c r="S31" s="261"/>
      <c r="T31" s="261"/>
      <c r="U31" s="261"/>
      <c r="V31" s="261"/>
      <c r="W31" s="261"/>
      <c r="X31" s="261"/>
      <c r="Y31" s="261"/>
      <c r="Z31" s="261"/>
      <c r="AA31" s="261"/>
      <c r="AB31" s="261"/>
      <c r="AC31" s="328"/>
      <c r="AD31" s="179"/>
      <c r="AE31" s="2"/>
      <c r="AF31" s="183" t="str">
        <f>IF(Roster!$K$1=0,"",Roster!$K$1)</f>
        <v>ST</v>
      </c>
      <c r="AG31" s="342"/>
      <c r="AH31" s="261"/>
      <c r="AI31" s="261"/>
      <c r="AJ31" s="261"/>
      <c r="AK31" s="261"/>
      <c r="AL31" s="261"/>
      <c r="AM31" s="261"/>
      <c r="AN31" s="261"/>
      <c r="AO31" s="261"/>
      <c r="AP31" s="261"/>
      <c r="AQ31" s="261"/>
      <c r="AR31" s="328"/>
      <c r="AS31" s="179"/>
      <c r="AT31" s="2"/>
      <c r="AU31" s="183" t="str">
        <f>IF(Roster!$K$1=0,"",Roster!$K$1)</f>
        <v>ST</v>
      </c>
      <c r="AV31" s="342"/>
      <c r="AW31" s="261"/>
      <c r="AX31" s="261"/>
      <c r="AY31" s="261"/>
      <c r="AZ31" s="261"/>
      <c r="BA31" s="261"/>
      <c r="BB31" s="261"/>
      <c r="BC31" s="261"/>
      <c r="BD31" s="261"/>
      <c r="BE31" s="261"/>
      <c r="BF31" s="261"/>
      <c r="BG31" s="328"/>
      <c r="BH31" s="179"/>
    </row>
    <row r="32" spans="1:60" ht="37.5" customHeight="1">
      <c r="A32" s="2"/>
      <c r="B32" s="185">
        <f>IF(Roster!$K$5=0,"",Roster!$K$5)</f>
        <v>3</v>
      </c>
      <c r="C32" s="342"/>
      <c r="D32" s="261"/>
      <c r="E32" s="261"/>
      <c r="F32" s="261"/>
      <c r="G32" s="261"/>
      <c r="H32" s="261"/>
      <c r="I32" s="261"/>
      <c r="J32" s="261"/>
      <c r="K32" s="261"/>
      <c r="L32" s="261"/>
      <c r="M32" s="261"/>
      <c r="N32" s="328"/>
      <c r="O32" s="179"/>
      <c r="P32" s="2"/>
      <c r="Q32" s="185">
        <f>IF(Roster!$K$6=0,"",Roster!$K$6)</f>
        <v>3</v>
      </c>
      <c r="R32" s="342"/>
      <c r="S32" s="261"/>
      <c r="T32" s="261"/>
      <c r="U32" s="261"/>
      <c r="V32" s="261"/>
      <c r="W32" s="261"/>
      <c r="X32" s="261"/>
      <c r="Y32" s="261"/>
      <c r="Z32" s="261"/>
      <c r="AA32" s="261"/>
      <c r="AB32" s="261"/>
      <c r="AC32" s="328"/>
      <c r="AD32" s="179"/>
      <c r="AE32" s="2"/>
      <c r="AF32" s="185">
        <f>IF(Roster!$K$7=0,"",Roster!$K$7)</f>
        <v>3</v>
      </c>
      <c r="AG32" s="342"/>
      <c r="AH32" s="261"/>
      <c r="AI32" s="261"/>
      <c r="AJ32" s="261"/>
      <c r="AK32" s="261"/>
      <c r="AL32" s="261"/>
      <c r="AM32" s="261"/>
      <c r="AN32" s="261"/>
      <c r="AO32" s="261"/>
      <c r="AP32" s="261"/>
      <c r="AQ32" s="261"/>
      <c r="AR32" s="328"/>
      <c r="AS32" s="179"/>
      <c r="AT32" s="2"/>
      <c r="AU32" s="185">
        <f>IF(Roster!$K$8=0,"",Roster!$K$8)</f>
        <v>3</v>
      </c>
      <c r="AV32" s="342"/>
      <c r="AW32" s="261"/>
      <c r="AX32" s="261"/>
      <c r="AY32" s="261"/>
      <c r="AZ32" s="261"/>
      <c r="BA32" s="261"/>
      <c r="BB32" s="261"/>
      <c r="BC32" s="261"/>
      <c r="BD32" s="261"/>
      <c r="BE32" s="261"/>
      <c r="BF32" s="261"/>
      <c r="BG32" s="328"/>
      <c r="BH32" s="179"/>
    </row>
    <row r="33" spans="1:60" ht="11.25" customHeight="1">
      <c r="A33" s="2"/>
      <c r="B33" s="183" t="str">
        <f>IF(Roster!$L$1=0,"",Roster!$L$1)</f>
        <v>AG</v>
      </c>
      <c r="C33" s="342"/>
      <c r="D33" s="261"/>
      <c r="E33" s="261"/>
      <c r="F33" s="261"/>
      <c r="G33" s="261"/>
      <c r="H33" s="261"/>
      <c r="I33" s="261"/>
      <c r="J33" s="261"/>
      <c r="K33" s="261"/>
      <c r="L33" s="261"/>
      <c r="M33" s="261"/>
      <c r="N33" s="328"/>
      <c r="O33" s="179"/>
      <c r="P33" s="2"/>
      <c r="Q33" s="183" t="str">
        <f>IF(Roster!$L$1=0,"",Roster!$L$1)</f>
        <v>AG</v>
      </c>
      <c r="R33" s="342"/>
      <c r="S33" s="261"/>
      <c r="T33" s="261"/>
      <c r="U33" s="261"/>
      <c r="V33" s="261"/>
      <c r="W33" s="261"/>
      <c r="X33" s="261"/>
      <c r="Y33" s="261"/>
      <c r="Z33" s="261"/>
      <c r="AA33" s="261"/>
      <c r="AB33" s="261"/>
      <c r="AC33" s="328"/>
      <c r="AD33" s="179"/>
      <c r="AE33" s="2"/>
      <c r="AF33" s="183" t="str">
        <f>IF(Roster!$L$1=0,"",Roster!$L$1)</f>
        <v>AG</v>
      </c>
      <c r="AG33" s="342"/>
      <c r="AH33" s="261"/>
      <c r="AI33" s="261"/>
      <c r="AJ33" s="261"/>
      <c r="AK33" s="261"/>
      <c r="AL33" s="261"/>
      <c r="AM33" s="261"/>
      <c r="AN33" s="261"/>
      <c r="AO33" s="261"/>
      <c r="AP33" s="261"/>
      <c r="AQ33" s="261"/>
      <c r="AR33" s="328"/>
      <c r="AS33" s="179"/>
      <c r="AT33" s="2"/>
      <c r="AU33" s="183" t="str">
        <f>IF(Roster!$L$1=0,"",Roster!$L$1)</f>
        <v>AG</v>
      </c>
      <c r="AV33" s="342"/>
      <c r="AW33" s="261"/>
      <c r="AX33" s="261"/>
      <c r="AY33" s="261"/>
      <c r="AZ33" s="261"/>
      <c r="BA33" s="261"/>
      <c r="BB33" s="261"/>
      <c r="BC33" s="261"/>
      <c r="BD33" s="261"/>
      <c r="BE33" s="261"/>
      <c r="BF33" s="261"/>
      <c r="BG33" s="328"/>
      <c r="BH33" s="179"/>
    </row>
    <row r="34" spans="1:60" ht="37.5" customHeight="1">
      <c r="A34" s="2"/>
      <c r="B34" s="185" t="str">
        <f>IF(Roster!$L$5=0&amp;"+","",Roster!$L$5)</f>
        <v>3+</v>
      </c>
      <c r="C34" s="342"/>
      <c r="D34" s="261"/>
      <c r="E34" s="261"/>
      <c r="F34" s="261"/>
      <c r="G34" s="261"/>
      <c r="H34" s="261"/>
      <c r="I34" s="261"/>
      <c r="J34" s="261"/>
      <c r="K34" s="261"/>
      <c r="L34" s="261"/>
      <c r="M34" s="261"/>
      <c r="N34" s="328"/>
      <c r="O34" s="179"/>
      <c r="P34" s="2"/>
      <c r="Q34" s="185" t="str">
        <f>IF(Roster!$L$6=0&amp;"+","",Roster!$L$6)</f>
        <v>3+</v>
      </c>
      <c r="R34" s="342"/>
      <c r="S34" s="261"/>
      <c r="T34" s="261"/>
      <c r="U34" s="261"/>
      <c r="V34" s="261"/>
      <c r="W34" s="261"/>
      <c r="X34" s="261"/>
      <c r="Y34" s="261"/>
      <c r="Z34" s="261"/>
      <c r="AA34" s="261"/>
      <c r="AB34" s="261"/>
      <c r="AC34" s="328"/>
      <c r="AD34" s="179"/>
      <c r="AE34" s="2"/>
      <c r="AF34" s="185" t="str">
        <f>IF(Roster!$L$7=0&amp;"+","",Roster!$L$7)</f>
        <v>3+</v>
      </c>
      <c r="AG34" s="342"/>
      <c r="AH34" s="261"/>
      <c r="AI34" s="261"/>
      <c r="AJ34" s="261"/>
      <c r="AK34" s="261"/>
      <c r="AL34" s="261"/>
      <c r="AM34" s="261"/>
      <c r="AN34" s="261"/>
      <c r="AO34" s="261"/>
      <c r="AP34" s="261"/>
      <c r="AQ34" s="261"/>
      <c r="AR34" s="328"/>
      <c r="AS34" s="179"/>
      <c r="AT34" s="2"/>
      <c r="AU34" s="185" t="str">
        <f>IF(Roster!$L$8=0&amp;"+","",Roster!$L$8)</f>
        <v>4+</v>
      </c>
      <c r="AV34" s="342"/>
      <c r="AW34" s="261"/>
      <c r="AX34" s="261"/>
      <c r="AY34" s="261"/>
      <c r="AZ34" s="261"/>
      <c r="BA34" s="261"/>
      <c r="BB34" s="261"/>
      <c r="BC34" s="261"/>
      <c r="BD34" s="261"/>
      <c r="BE34" s="261"/>
      <c r="BF34" s="261"/>
      <c r="BG34" s="328"/>
      <c r="BH34" s="179"/>
    </row>
    <row r="35" spans="1:60" ht="11.25" customHeight="1">
      <c r="A35" s="2"/>
      <c r="B35" s="183" t="str">
        <f>IF(Roster!$M$1=0,"",Roster!$M$1)</f>
        <v>PA</v>
      </c>
      <c r="C35" s="342"/>
      <c r="D35" s="261"/>
      <c r="E35" s="261"/>
      <c r="F35" s="261"/>
      <c r="G35" s="261"/>
      <c r="H35" s="261"/>
      <c r="I35" s="261"/>
      <c r="J35" s="261"/>
      <c r="K35" s="261"/>
      <c r="L35" s="261"/>
      <c r="M35" s="261"/>
      <c r="N35" s="328"/>
      <c r="O35" s="188"/>
      <c r="P35" s="2"/>
      <c r="Q35" s="183" t="str">
        <f>IF(Roster!$M$1=0,"",Roster!$M$1)</f>
        <v>PA</v>
      </c>
      <c r="R35" s="342"/>
      <c r="S35" s="261"/>
      <c r="T35" s="261"/>
      <c r="U35" s="261"/>
      <c r="V35" s="261"/>
      <c r="W35" s="261"/>
      <c r="X35" s="261"/>
      <c r="Y35" s="261"/>
      <c r="Z35" s="261"/>
      <c r="AA35" s="261"/>
      <c r="AB35" s="261"/>
      <c r="AC35" s="328"/>
      <c r="AD35" s="188"/>
      <c r="AE35" s="2"/>
      <c r="AF35" s="183" t="str">
        <f>IF(Roster!$M$1=0,"",Roster!$M$1)</f>
        <v>PA</v>
      </c>
      <c r="AG35" s="342"/>
      <c r="AH35" s="261"/>
      <c r="AI35" s="261"/>
      <c r="AJ35" s="261"/>
      <c r="AK35" s="261"/>
      <c r="AL35" s="261"/>
      <c r="AM35" s="261"/>
      <c r="AN35" s="261"/>
      <c r="AO35" s="261"/>
      <c r="AP35" s="261"/>
      <c r="AQ35" s="261"/>
      <c r="AR35" s="328"/>
      <c r="AS35" s="188"/>
      <c r="AT35" s="2"/>
      <c r="AU35" s="183" t="str">
        <f>IF(Roster!$M$1=0,"",Roster!$M$1)</f>
        <v>PA</v>
      </c>
      <c r="AV35" s="342"/>
      <c r="AW35" s="261"/>
      <c r="AX35" s="261"/>
      <c r="AY35" s="261"/>
      <c r="AZ35" s="261"/>
      <c r="BA35" s="261"/>
      <c r="BB35" s="261"/>
      <c r="BC35" s="261"/>
      <c r="BD35" s="261"/>
      <c r="BE35" s="261"/>
      <c r="BF35" s="261"/>
      <c r="BG35" s="328"/>
      <c r="BH35" s="188"/>
    </row>
    <row r="36" spans="1:60" ht="6" customHeight="1">
      <c r="A36" s="2"/>
      <c r="B36" s="346" t="str">
        <f>IF(Roster!$M$5=0&amp;"+","",Roster!$M$5)</f>
        <v>4+</v>
      </c>
      <c r="C36" s="343"/>
      <c r="D36" s="344"/>
      <c r="E36" s="344"/>
      <c r="F36" s="344"/>
      <c r="G36" s="344"/>
      <c r="H36" s="344"/>
      <c r="I36" s="344"/>
      <c r="J36" s="344"/>
      <c r="K36" s="344"/>
      <c r="L36" s="344"/>
      <c r="M36" s="344"/>
      <c r="N36" s="345"/>
      <c r="O36" s="190"/>
      <c r="P36" s="2"/>
      <c r="Q36" s="346" t="str">
        <f>IF(Roster!$M$6=0&amp;"+","",Roster!$M$6)</f>
        <v>4+</v>
      </c>
      <c r="R36" s="343"/>
      <c r="S36" s="344"/>
      <c r="T36" s="344"/>
      <c r="U36" s="344"/>
      <c r="V36" s="344"/>
      <c r="W36" s="344"/>
      <c r="X36" s="344"/>
      <c r="Y36" s="344"/>
      <c r="Z36" s="344"/>
      <c r="AA36" s="344"/>
      <c r="AB36" s="344"/>
      <c r="AC36" s="345"/>
      <c r="AD36" s="190"/>
      <c r="AE36" s="2"/>
      <c r="AF36" s="346" t="str">
        <f>IF(Roster!$M$7=0&amp;"+","",Roster!$M$7)</f>
        <v/>
      </c>
      <c r="AG36" s="343"/>
      <c r="AH36" s="344"/>
      <c r="AI36" s="344"/>
      <c r="AJ36" s="344"/>
      <c r="AK36" s="344"/>
      <c r="AL36" s="344"/>
      <c r="AM36" s="344"/>
      <c r="AN36" s="344"/>
      <c r="AO36" s="344"/>
      <c r="AP36" s="344"/>
      <c r="AQ36" s="344"/>
      <c r="AR36" s="345"/>
      <c r="AS36" s="190"/>
      <c r="AT36" s="2"/>
      <c r="AU36" s="346" t="str">
        <f>IF(Roster!$M$8=0&amp;"+","",Roster!$M$8)</f>
        <v/>
      </c>
      <c r="AV36" s="343"/>
      <c r="AW36" s="344"/>
      <c r="AX36" s="344"/>
      <c r="AY36" s="344"/>
      <c r="AZ36" s="344"/>
      <c r="BA36" s="344"/>
      <c r="BB36" s="344"/>
      <c r="BC36" s="344"/>
      <c r="BD36" s="344"/>
      <c r="BE36" s="344"/>
      <c r="BF36" s="344"/>
      <c r="BG36" s="345"/>
      <c r="BH36" s="190"/>
    </row>
    <row r="37" spans="1:60" ht="4.5" customHeight="1">
      <c r="A37" s="2"/>
      <c r="B37" s="228"/>
      <c r="C37" s="182"/>
      <c r="D37" s="179"/>
      <c r="E37" s="189"/>
      <c r="F37" s="179"/>
      <c r="G37" s="189"/>
      <c r="H37" s="179"/>
      <c r="I37" s="189"/>
      <c r="J37" s="179"/>
      <c r="K37" s="189"/>
      <c r="L37" s="179"/>
      <c r="M37" s="189"/>
      <c r="N37" s="179"/>
      <c r="O37" s="190"/>
      <c r="P37" s="2"/>
      <c r="Q37" s="228"/>
      <c r="R37" s="182"/>
      <c r="S37" s="179"/>
      <c r="T37" s="189"/>
      <c r="U37" s="179"/>
      <c r="V37" s="189"/>
      <c r="W37" s="179"/>
      <c r="X37" s="189"/>
      <c r="Y37" s="179"/>
      <c r="Z37" s="189"/>
      <c r="AA37" s="179"/>
      <c r="AB37" s="189"/>
      <c r="AC37" s="179"/>
      <c r="AD37" s="190"/>
      <c r="AE37" s="2"/>
      <c r="AF37" s="228"/>
      <c r="AG37" s="182"/>
      <c r="AH37" s="179"/>
      <c r="AI37" s="189"/>
      <c r="AJ37" s="179"/>
      <c r="AK37" s="189"/>
      <c r="AL37" s="179"/>
      <c r="AM37" s="189"/>
      <c r="AN37" s="179"/>
      <c r="AO37" s="189"/>
      <c r="AP37" s="179"/>
      <c r="AQ37" s="189"/>
      <c r="AR37" s="179"/>
      <c r="AS37" s="190"/>
      <c r="AT37" s="2"/>
      <c r="AU37" s="228"/>
      <c r="AV37" s="182"/>
      <c r="AW37" s="179"/>
      <c r="AX37" s="189"/>
      <c r="AY37" s="179"/>
      <c r="AZ37" s="189"/>
      <c r="BA37" s="179"/>
      <c r="BB37" s="189"/>
      <c r="BC37" s="179"/>
      <c r="BD37" s="189"/>
      <c r="BE37" s="179"/>
      <c r="BF37" s="189"/>
      <c r="BG37" s="179"/>
      <c r="BH37" s="190"/>
    </row>
    <row r="38" spans="1:60" ht="11.25" customHeight="1">
      <c r="A38" s="2"/>
      <c r="B38" s="228"/>
      <c r="C38" s="182"/>
      <c r="D38" s="191" t="str">
        <f>IF(Roster!$AA$1=0,"",Roster!$AA$1)</f>
        <v>SPE</v>
      </c>
      <c r="E38" s="189"/>
      <c r="F38" s="191" t="str">
        <f>IF(Roster!$AB$1=0,"",Roster!$AB$1)</f>
        <v>CP</v>
      </c>
      <c r="G38" s="189"/>
      <c r="H38" s="191" t="str">
        <f>IF(Roster!$AC$1=0,"",Roster!$AC$1)</f>
        <v>TD</v>
      </c>
      <c r="I38" s="189"/>
      <c r="J38" s="191" t="str">
        <f>IF(Roster!$AD$1=0,"",Roster!$AD$1)</f>
        <v>DEF</v>
      </c>
      <c r="K38" s="189"/>
      <c r="L38" s="191" t="str">
        <f>IF(Roster!$AE$1=0,"",Roster!$AE$1)</f>
        <v>INT</v>
      </c>
      <c r="M38" s="189"/>
      <c r="N38" s="191" t="str">
        <f>IF(Roster!$AF$1=0,"",Roster!$AF$1)</f>
        <v>BH</v>
      </c>
      <c r="O38" s="190"/>
      <c r="P38" s="2"/>
      <c r="Q38" s="228"/>
      <c r="R38" s="182"/>
      <c r="S38" s="191" t="str">
        <f>IF(Roster!$AA$1=0,"",Roster!$AA$1)</f>
        <v>SPE</v>
      </c>
      <c r="T38" s="189"/>
      <c r="U38" s="191" t="str">
        <f>IF(Roster!$AB$1=0,"",Roster!$AB$1)</f>
        <v>CP</v>
      </c>
      <c r="V38" s="189"/>
      <c r="W38" s="191" t="str">
        <f>IF(Roster!$AC$1=0,"",Roster!$AC$1)</f>
        <v>TD</v>
      </c>
      <c r="X38" s="189"/>
      <c r="Y38" s="191" t="str">
        <f>IF(Roster!$AD$1=0,"",Roster!$AD$1)</f>
        <v>DEF</v>
      </c>
      <c r="Z38" s="189"/>
      <c r="AA38" s="191" t="str">
        <f>IF(Roster!$AE$1=0,"",Roster!$AE$1)</f>
        <v>INT</v>
      </c>
      <c r="AB38" s="189"/>
      <c r="AC38" s="191" t="str">
        <f>IF(Roster!$AF$1=0,"",Roster!$AF$1)</f>
        <v>BH</v>
      </c>
      <c r="AD38" s="190"/>
      <c r="AE38" s="2"/>
      <c r="AF38" s="228"/>
      <c r="AG38" s="182"/>
      <c r="AH38" s="191" t="str">
        <f>IF(Roster!$AA$1=0,"",Roster!$AA$1)</f>
        <v>SPE</v>
      </c>
      <c r="AI38" s="189"/>
      <c r="AJ38" s="191" t="str">
        <f>IF(Roster!$AB$1=0,"",Roster!$AB$1)</f>
        <v>CP</v>
      </c>
      <c r="AK38" s="189"/>
      <c r="AL38" s="191" t="str">
        <f>IF(Roster!$AC$1=0,"",Roster!$AC$1)</f>
        <v>TD</v>
      </c>
      <c r="AM38" s="189"/>
      <c r="AN38" s="191" t="str">
        <f>IF(Roster!$AD$1=0,"",Roster!$AD$1)</f>
        <v>DEF</v>
      </c>
      <c r="AO38" s="189"/>
      <c r="AP38" s="191" t="str">
        <f>IF(Roster!$AE$1=0,"",Roster!$AE$1)</f>
        <v>INT</v>
      </c>
      <c r="AQ38" s="189"/>
      <c r="AR38" s="191" t="str">
        <f>IF(Roster!$AF$1=0,"",Roster!$AF$1)</f>
        <v>BH</v>
      </c>
      <c r="AS38" s="190"/>
      <c r="AT38" s="2"/>
      <c r="AU38" s="228"/>
      <c r="AV38" s="182"/>
      <c r="AW38" s="191" t="str">
        <f>IF(Roster!$AA$1=0,"",Roster!$AA$1)</f>
        <v>SPE</v>
      </c>
      <c r="AX38" s="189"/>
      <c r="AY38" s="191" t="str">
        <f>IF(Roster!$AB$1=0,"",Roster!$AB$1)</f>
        <v>CP</v>
      </c>
      <c r="AZ38" s="189"/>
      <c r="BA38" s="191" t="str">
        <f>IF(Roster!$AC$1=0,"",Roster!$AC$1)</f>
        <v>TD</v>
      </c>
      <c r="BB38" s="189"/>
      <c r="BC38" s="191" t="str">
        <f>IF(Roster!$AD$1=0,"",Roster!$AD$1)</f>
        <v>DEF</v>
      </c>
      <c r="BD38" s="189"/>
      <c r="BE38" s="191" t="str">
        <f>IF(Roster!$AE$1=0,"",Roster!$AE$1)</f>
        <v>INT</v>
      </c>
      <c r="BF38" s="189"/>
      <c r="BG38" s="191" t="str">
        <f>IF(Roster!$AF$1=0,"",Roster!$AF$1)</f>
        <v>BH</v>
      </c>
      <c r="BH38" s="190"/>
    </row>
    <row r="39" spans="1:60" ht="15" customHeight="1">
      <c r="A39" s="2"/>
      <c r="B39" s="228"/>
      <c r="C39" s="184"/>
      <c r="D39" s="192" t="str">
        <f>IF(Roster!$AA$5=0,"",Roster!$AA$5)</f>
        <v/>
      </c>
      <c r="E39" s="184"/>
      <c r="F39" s="192" t="str">
        <f>IF(Roster!$AB$5=0,"",Roster!$AB$5)</f>
        <v/>
      </c>
      <c r="G39" s="184"/>
      <c r="H39" s="192">
        <f>IF(Roster!$AC$5=0,"",Roster!$AC$5)</f>
        <v>1</v>
      </c>
      <c r="I39" s="184"/>
      <c r="J39" s="192" t="str">
        <f>IF(Roster!$AD$5=0,"",Roster!$AD$5)</f>
        <v/>
      </c>
      <c r="K39" s="184"/>
      <c r="L39" s="192" t="str">
        <f>IF(Roster!$AE$5=0,"",Roster!$AE$5)</f>
        <v/>
      </c>
      <c r="M39" s="184"/>
      <c r="N39" s="192" t="str">
        <f>IF(Roster!$AF$5=0,"",Roster!$AF$5)</f>
        <v/>
      </c>
      <c r="O39" s="190"/>
      <c r="P39" s="2"/>
      <c r="Q39" s="228"/>
      <c r="R39" s="184"/>
      <c r="S39" s="192" t="str">
        <f>IF(Roster!$AA$6=0,"",Roster!$AA$6)</f>
        <v/>
      </c>
      <c r="T39" s="184"/>
      <c r="U39" s="192" t="str">
        <f>IF(Roster!$AB$6=0,"",Roster!$AB$6)</f>
        <v/>
      </c>
      <c r="V39" s="184"/>
      <c r="W39" s="192">
        <f>IF(Roster!$AC$6=0,"",Roster!$AC$6)</f>
        <v>5</v>
      </c>
      <c r="X39" s="184"/>
      <c r="Y39" s="192" t="str">
        <f>IF(Roster!$AD$6=0,"",Roster!$AD$6)</f>
        <v/>
      </c>
      <c r="Z39" s="184"/>
      <c r="AA39" s="192" t="str">
        <f>IF(Roster!$AE$6=0,"",Roster!$AE$6)</f>
        <v/>
      </c>
      <c r="AB39" s="184"/>
      <c r="AC39" s="192" t="str">
        <f>IF(Roster!$AF$6=0,"",Roster!$AF$6)</f>
        <v/>
      </c>
      <c r="AD39" s="190"/>
      <c r="AE39" s="2"/>
      <c r="AF39" s="228"/>
      <c r="AG39" s="184"/>
      <c r="AH39" s="192" t="str">
        <f>IF(Roster!$AA$7=0,"",Roster!$AA$7)</f>
        <v/>
      </c>
      <c r="AI39" s="184"/>
      <c r="AJ39" s="192" t="str">
        <f>IF(Roster!$AB$7=0,"",Roster!$AB$7)</f>
        <v/>
      </c>
      <c r="AK39" s="184"/>
      <c r="AL39" s="192" t="str">
        <f>IF(Roster!$AC$7=0,"",Roster!$AC$7)</f>
        <v/>
      </c>
      <c r="AM39" s="184"/>
      <c r="AN39" s="192" t="str">
        <f>IF(Roster!$AD$7=0,"",Roster!$AD$7)</f>
        <v/>
      </c>
      <c r="AO39" s="184"/>
      <c r="AP39" s="192" t="str">
        <f>IF(Roster!$AE$7=0,"",Roster!$AE$7)</f>
        <v/>
      </c>
      <c r="AQ39" s="184"/>
      <c r="AR39" s="192" t="str">
        <f>IF(Roster!$AF$7=0,"",Roster!$AF$7)</f>
        <v/>
      </c>
      <c r="AS39" s="190"/>
      <c r="AT39" s="2"/>
      <c r="AU39" s="228"/>
      <c r="AV39" s="184"/>
      <c r="AW39" s="192" t="str">
        <f>IF(Roster!$AA$8=0,"",Roster!$AA$8)</f>
        <v/>
      </c>
      <c r="AX39" s="184"/>
      <c r="AY39" s="192" t="str">
        <f>IF(Roster!$AB$8=0,"",Roster!$AB$8)</f>
        <v/>
      </c>
      <c r="AZ39" s="184"/>
      <c r="BA39" s="192" t="str">
        <f>IF(Roster!$AC$8=0,"",Roster!$AC$8)</f>
        <v/>
      </c>
      <c r="BB39" s="184"/>
      <c r="BC39" s="192" t="str">
        <f>IF(Roster!$AD$8=0,"",Roster!$AD$8)</f>
        <v/>
      </c>
      <c r="BD39" s="184"/>
      <c r="BE39" s="192">
        <f>IF(Roster!$AE$8=0,"",Roster!$AE$8)</f>
        <v>1</v>
      </c>
      <c r="BF39" s="184"/>
      <c r="BG39" s="192" t="str">
        <f>IF(Roster!$AF$8=0,"",Roster!$AF$8)</f>
        <v/>
      </c>
      <c r="BH39" s="190"/>
    </row>
    <row r="40" spans="1:60" ht="4.5" customHeight="1">
      <c r="A40" s="2"/>
      <c r="B40" s="229"/>
      <c r="C40" s="184"/>
      <c r="D40" s="193"/>
      <c r="E40" s="184"/>
      <c r="F40" s="193"/>
      <c r="G40" s="184"/>
      <c r="H40" s="193"/>
      <c r="I40" s="184"/>
      <c r="J40" s="193"/>
      <c r="K40" s="184"/>
      <c r="L40" s="193"/>
      <c r="M40" s="184"/>
      <c r="N40" s="193"/>
      <c r="O40" s="190"/>
      <c r="P40" s="2"/>
      <c r="Q40" s="229"/>
      <c r="R40" s="184"/>
      <c r="S40" s="193"/>
      <c r="T40" s="184"/>
      <c r="U40" s="193"/>
      <c r="V40" s="184"/>
      <c r="W40" s="193"/>
      <c r="X40" s="184"/>
      <c r="Y40" s="193"/>
      <c r="Z40" s="184"/>
      <c r="AA40" s="193"/>
      <c r="AB40" s="184"/>
      <c r="AC40" s="193"/>
      <c r="AD40" s="190"/>
      <c r="AE40" s="2"/>
      <c r="AF40" s="229"/>
      <c r="AG40" s="184"/>
      <c r="AH40" s="193"/>
      <c r="AI40" s="184"/>
      <c r="AJ40" s="193"/>
      <c r="AK40" s="184"/>
      <c r="AL40" s="193"/>
      <c r="AM40" s="184"/>
      <c r="AN40" s="193"/>
      <c r="AO40" s="184"/>
      <c r="AP40" s="193"/>
      <c r="AQ40" s="184"/>
      <c r="AR40" s="193"/>
      <c r="AS40" s="190"/>
      <c r="AT40" s="2"/>
      <c r="AU40" s="229"/>
      <c r="AV40" s="184"/>
      <c r="AW40" s="193"/>
      <c r="AX40" s="184"/>
      <c r="AY40" s="193"/>
      <c r="AZ40" s="184"/>
      <c r="BA40" s="193"/>
      <c r="BB40" s="184"/>
      <c r="BC40" s="193"/>
      <c r="BD40" s="184"/>
      <c r="BE40" s="193"/>
      <c r="BF40" s="184"/>
      <c r="BG40" s="193"/>
      <c r="BH40" s="190"/>
    </row>
    <row r="41" spans="1:60" ht="11.25" customHeight="1">
      <c r="A41" s="2"/>
      <c r="B41" s="183" t="str">
        <f>IF(Roster!$N$1=0,"",Roster!$N$1)</f>
        <v>AV</v>
      </c>
      <c r="C41" s="183"/>
      <c r="D41" s="191" t="str">
        <f>IF(Roster!$AF$1=0,"",Roster!$AF$1)</f>
        <v>BH</v>
      </c>
      <c r="E41" s="183"/>
      <c r="F41" s="191" t="str">
        <f>IF(Roster!$AG$1=0,"",Roster!$AG$1)</f>
        <v>SI</v>
      </c>
      <c r="G41" s="183"/>
      <c r="H41" s="191" t="str">
        <f>IF(Roster!$AH$1=0,"",Roster!$AH$1)</f>
        <v>KILL</v>
      </c>
      <c r="I41" s="183"/>
      <c r="J41" s="191" t="str">
        <f>IF(Roster!$AI$1=0,"",Roster!$AI$1)</f>
        <v>MVP</v>
      </c>
      <c r="K41" s="183"/>
      <c r="L41" s="191" t="str">
        <f>IF(Roster!$AI$1=0,"",Roster!$AI$1)</f>
        <v>MVP</v>
      </c>
      <c r="M41" s="183"/>
      <c r="N41" s="191" t="s">
        <v>309</v>
      </c>
      <c r="O41" s="179"/>
      <c r="P41" s="2"/>
      <c r="Q41" s="183" t="str">
        <f>IF(Roster!$N$1=0,"",Roster!$N$1)</f>
        <v>AV</v>
      </c>
      <c r="R41" s="183"/>
      <c r="S41" s="191" t="str">
        <f>IF(Roster!$AF$1=0,"",Roster!$AF$1)</f>
        <v>BH</v>
      </c>
      <c r="T41" s="183"/>
      <c r="U41" s="191" t="str">
        <f>IF(Roster!$AG$1=0,"",Roster!$AG$1)</f>
        <v>SI</v>
      </c>
      <c r="V41" s="183"/>
      <c r="W41" s="191" t="str">
        <f>IF(Roster!$AH$1=0,"",Roster!$AH$1)</f>
        <v>KILL</v>
      </c>
      <c r="X41" s="183"/>
      <c r="Y41" s="191" t="str">
        <f>IF(Roster!$AI$1=0,"",Roster!$AI$1)</f>
        <v>MVP</v>
      </c>
      <c r="Z41" s="183"/>
      <c r="AA41" s="191" t="str">
        <f>IF(Roster!$AI$1=0,"",Roster!$AI$1)</f>
        <v>MVP</v>
      </c>
      <c r="AB41" s="183"/>
      <c r="AC41" s="191" t="s">
        <v>309</v>
      </c>
      <c r="AD41" s="179"/>
      <c r="AE41" s="2"/>
      <c r="AF41" s="183" t="str">
        <f>IF(Roster!$N$1=0,"",Roster!$N$1)</f>
        <v>AV</v>
      </c>
      <c r="AG41" s="183"/>
      <c r="AH41" s="191" t="str">
        <f>IF(Roster!$AF$1=0,"",Roster!$AF$1)</f>
        <v>BH</v>
      </c>
      <c r="AI41" s="183"/>
      <c r="AJ41" s="191" t="str">
        <f>IF(Roster!$AG$1=0,"",Roster!$AG$1)</f>
        <v>SI</v>
      </c>
      <c r="AK41" s="183"/>
      <c r="AL41" s="191" t="str">
        <f>IF(Roster!$AH$1=0,"",Roster!$AH$1)</f>
        <v>KILL</v>
      </c>
      <c r="AM41" s="183"/>
      <c r="AN41" s="191" t="str">
        <f>IF(Roster!$AI$1=0,"",Roster!$AI$1)</f>
        <v>MVP</v>
      </c>
      <c r="AO41" s="183"/>
      <c r="AP41" s="191" t="str">
        <f>IF(Roster!$AI$1=0,"",Roster!$AI$1)</f>
        <v>MVP</v>
      </c>
      <c r="AQ41" s="183"/>
      <c r="AR41" s="191" t="s">
        <v>309</v>
      </c>
      <c r="AS41" s="179"/>
      <c r="AT41" s="2"/>
      <c r="AU41" s="183" t="str">
        <f>IF(Roster!$N$1=0,"",Roster!$N$1)</f>
        <v>AV</v>
      </c>
      <c r="AV41" s="183"/>
      <c r="AW41" s="191" t="str">
        <f>IF(Roster!$AF$1=0,"",Roster!$AF$1)</f>
        <v>BH</v>
      </c>
      <c r="AX41" s="183"/>
      <c r="AY41" s="191" t="str">
        <f>IF(Roster!$AG$1=0,"",Roster!$AG$1)</f>
        <v>SI</v>
      </c>
      <c r="AZ41" s="183"/>
      <c r="BA41" s="191" t="str">
        <f>IF(Roster!$AH$1=0,"",Roster!$AH$1)</f>
        <v>KILL</v>
      </c>
      <c r="BB41" s="183"/>
      <c r="BC41" s="191" t="str">
        <f>IF(Roster!$AI$1=0,"",Roster!$AI$1)</f>
        <v>MVP</v>
      </c>
      <c r="BD41" s="183"/>
      <c r="BE41" s="191" t="str">
        <f>IF(Roster!$AI$1=0,"",Roster!$AI$1)</f>
        <v>MVP</v>
      </c>
      <c r="BF41" s="183"/>
      <c r="BG41" s="191" t="s">
        <v>309</v>
      </c>
      <c r="BH41" s="179"/>
    </row>
    <row r="42" spans="1:60" ht="15" customHeight="1">
      <c r="A42" s="2"/>
      <c r="B42" s="346" t="str">
        <f>IF(Roster!$N$5=0&amp;"+","",Roster!$N$5)</f>
        <v>9+</v>
      </c>
      <c r="C42" s="184"/>
      <c r="D42" s="192" t="str">
        <f>IF(Roster!$AF$5=0,"",Roster!$AF$5)</f>
        <v/>
      </c>
      <c r="E42" s="184"/>
      <c r="F42" s="192" t="str">
        <f>IF(Roster!$AG$5=0,"",Roster!$AG$5)</f>
        <v/>
      </c>
      <c r="G42" s="184"/>
      <c r="H42" s="192" t="str">
        <f>IF(Roster!$AH$5=0,"",Roster!$AH$5)</f>
        <v/>
      </c>
      <c r="I42" s="184"/>
      <c r="J42" s="192">
        <f>IF(Roster!$AI$5=0,"",Roster!$AI$5)</f>
        <v>1</v>
      </c>
      <c r="K42" s="184"/>
      <c r="L42" s="192">
        <f>IF(Roster!$AI$5=0,"",Roster!$AI$5)</f>
        <v>1</v>
      </c>
      <c r="M42" s="184"/>
      <c r="N42" s="192">
        <f>IF(Roster!$AJ$5=0,"",Roster!$AJ$5)</f>
        <v>7</v>
      </c>
      <c r="O42" s="194"/>
      <c r="P42" s="2"/>
      <c r="Q42" s="346" t="str">
        <f>IF(Roster!$N$6=0&amp;"+","",Roster!$N$6)</f>
        <v>8+</v>
      </c>
      <c r="R42" s="184"/>
      <c r="S42" s="192" t="str">
        <f>IF(Roster!$AF$6=0,"",Roster!$AF$6)</f>
        <v/>
      </c>
      <c r="T42" s="184"/>
      <c r="U42" s="192" t="str">
        <f>IF(Roster!$AG$6=0,"",Roster!$AG$6)</f>
        <v/>
      </c>
      <c r="V42" s="184"/>
      <c r="W42" s="192" t="str">
        <f>IF(Roster!$AH$6=0,"",Roster!$AH$6)</f>
        <v/>
      </c>
      <c r="X42" s="184"/>
      <c r="Y42" s="192">
        <f>IF(Roster!$AI$6=0,"",Roster!$AI$6)</f>
        <v>1</v>
      </c>
      <c r="Z42" s="184"/>
      <c r="AA42" s="192">
        <f>IF(Roster!$AI$6=0,"",Roster!$AI$6)</f>
        <v>1</v>
      </c>
      <c r="AB42" s="184"/>
      <c r="AC42" s="192">
        <f>IF(Roster!$AJ$6=0,"",Roster!$AJ$6)</f>
        <v>19</v>
      </c>
      <c r="AD42" s="194"/>
      <c r="AE42" s="2"/>
      <c r="AF42" s="346" t="str">
        <f>IF(Roster!$N$7=0&amp;"+","",Roster!$N$7)</f>
        <v>9+</v>
      </c>
      <c r="AG42" s="184"/>
      <c r="AH42" s="192" t="str">
        <f>IF(Roster!$AF$7=0,"",Roster!$AF$7)</f>
        <v/>
      </c>
      <c r="AI42" s="184"/>
      <c r="AJ42" s="192" t="str">
        <f>IF(Roster!$AG$7=0,"",Roster!$AG$7)</f>
        <v/>
      </c>
      <c r="AK42" s="184"/>
      <c r="AL42" s="192" t="str">
        <f>IF(Roster!$AH$7=0,"",Roster!$AH$7)</f>
        <v/>
      </c>
      <c r="AM42" s="184"/>
      <c r="AN42" s="192">
        <f>IF(Roster!$AI$7=0,"",Roster!$AI$7)</f>
        <v>2</v>
      </c>
      <c r="AO42" s="184"/>
      <c r="AP42" s="192">
        <f>IF(Roster!$AI$7=0,"",Roster!$AI$7)</f>
        <v>2</v>
      </c>
      <c r="AQ42" s="184"/>
      <c r="AR42" s="192">
        <f>IF(Roster!$AJ$7=0,"",Roster!$AJ$7)</f>
        <v>8</v>
      </c>
      <c r="AS42" s="194"/>
      <c r="AT42" s="2"/>
      <c r="AU42" s="346" t="str">
        <f>IF(Roster!$N$8=0&amp;"+","",Roster!$N$8)</f>
        <v>9+</v>
      </c>
      <c r="AV42" s="184"/>
      <c r="AW42" s="192" t="str">
        <f>IF(Roster!$AF$8=0,"",Roster!$AF$8)</f>
        <v/>
      </c>
      <c r="AX42" s="184"/>
      <c r="AY42" s="192" t="str">
        <f>IF(Roster!$AG$8=0,"",Roster!$AG$8)</f>
        <v/>
      </c>
      <c r="AZ42" s="184"/>
      <c r="BA42" s="192" t="str">
        <f>IF(Roster!$AH$8=0,"",Roster!$AH$8)</f>
        <v/>
      </c>
      <c r="BB42" s="184"/>
      <c r="BC42" s="192" t="str">
        <f>IF(Roster!$AI$8=0,"",Roster!$AI$8)</f>
        <v/>
      </c>
      <c r="BD42" s="184"/>
      <c r="BE42" s="192" t="str">
        <f>IF(Roster!$AI$8=0,"",Roster!$AI$8)</f>
        <v/>
      </c>
      <c r="BF42" s="184"/>
      <c r="BG42" s="192">
        <f>IF(Roster!$AJ$8=0,"",Roster!$AJ$8)</f>
        <v>2</v>
      </c>
      <c r="BH42" s="194"/>
    </row>
    <row r="43" spans="1:60" ht="4.5" customHeight="1">
      <c r="A43" s="2"/>
      <c r="B43" s="228"/>
      <c r="C43" s="184"/>
      <c r="D43" s="184"/>
      <c r="E43" s="184"/>
      <c r="F43" s="184"/>
      <c r="G43" s="184"/>
      <c r="H43" s="184"/>
      <c r="I43" s="184"/>
      <c r="J43" s="184"/>
      <c r="K43" s="184"/>
      <c r="L43" s="184"/>
      <c r="M43" s="184"/>
      <c r="N43" s="190"/>
      <c r="O43" s="194"/>
      <c r="P43" s="2"/>
      <c r="Q43" s="228"/>
      <c r="R43" s="184"/>
      <c r="S43" s="184"/>
      <c r="T43" s="184"/>
      <c r="U43" s="184"/>
      <c r="V43" s="184"/>
      <c r="W43" s="184"/>
      <c r="X43" s="184"/>
      <c r="Y43" s="184"/>
      <c r="Z43" s="184"/>
      <c r="AA43" s="184"/>
      <c r="AB43" s="184"/>
      <c r="AC43" s="190"/>
      <c r="AD43" s="194"/>
      <c r="AE43" s="2"/>
      <c r="AF43" s="228"/>
      <c r="AG43" s="184"/>
      <c r="AH43" s="184"/>
      <c r="AI43" s="184"/>
      <c r="AJ43" s="184"/>
      <c r="AK43" s="184"/>
      <c r="AL43" s="184"/>
      <c r="AM43" s="184"/>
      <c r="AN43" s="184"/>
      <c r="AO43" s="184"/>
      <c r="AP43" s="184"/>
      <c r="AQ43" s="184"/>
      <c r="AR43" s="190"/>
      <c r="AS43" s="194"/>
      <c r="AT43" s="2"/>
      <c r="AU43" s="228"/>
      <c r="AV43" s="184"/>
      <c r="AW43" s="184"/>
      <c r="AX43" s="184"/>
      <c r="AY43" s="184"/>
      <c r="AZ43" s="184"/>
      <c r="BA43" s="184"/>
      <c r="BB43" s="184"/>
      <c r="BC43" s="184"/>
      <c r="BD43" s="184"/>
      <c r="BE43" s="184"/>
      <c r="BF43" s="184"/>
      <c r="BG43" s="190"/>
      <c r="BH43" s="194"/>
    </row>
    <row r="44" spans="1:60" ht="11.25" customHeight="1">
      <c r="A44" s="2"/>
      <c r="B44" s="228"/>
      <c r="C44" s="184"/>
      <c r="D44" s="347" t="str">
        <f>IF(Roster!$J$24="Español","HABILIDADES Y RASGOS","SKILLS &amp; TRAITS")</f>
        <v>SKILLS &amp; TRAITS</v>
      </c>
      <c r="E44" s="236"/>
      <c r="F44" s="236"/>
      <c r="G44" s="236"/>
      <c r="H44" s="236"/>
      <c r="I44" s="236"/>
      <c r="J44" s="236"/>
      <c r="K44" s="236"/>
      <c r="L44" s="236"/>
      <c r="M44" s="236"/>
      <c r="N44" s="237"/>
      <c r="O44" s="194"/>
      <c r="P44" s="2"/>
      <c r="Q44" s="228"/>
      <c r="R44" s="184"/>
      <c r="S44" s="347" t="str">
        <f>IF(Roster!$J$24="Español","HABILIDADES Y RASGOS","SKILLS &amp; TRAITS")</f>
        <v>SKILLS &amp; TRAITS</v>
      </c>
      <c r="T44" s="236"/>
      <c r="U44" s="236"/>
      <c r="V44" s="236"/>
      <c r="W44" s="236"/>
      <c r="X44" s="236"/>
      <c r="Y44" s="236"/>
      <c r="Z44" s="236"/>
      <c r="AA44" s="236"/>
      <c r="AB44" s="236"/>
      <c r="AC44" s="237"/>
      <c r="AD44" s="194"/>
      <c r="AE44" s="2"/>
      <c r="AF44" s="228"/>
      <c r="AG44" s="184"/>
      <c r="AH44" s="347" t="str">
        <f>IF(Roster!$J$24="Español","HABILIDADES Y RASGOS","SKILLS &amp; TRAITS")</f>
        <v>SKILLS &amp; TRAITS</v>
      </c>
      <c r="AI44" s="236"/>
      <c r="AJ44" s="236"/>
      <c r="AK44" s="236"/>
      <c r="AL44" s="236"/>
      <c r="AM44" s="236"/>
      <c r="AN44" s="236"/>
      <c r="AO44" s="236"/>
      <c r="AP44" s="236"/>
      <c r="AQ44" s="236"/>
      <c r="AR44" s="237"/>
      <c r="AS44" s="194"/>
      <c r="AT44" s="2"/>
      <c r="AU44" s="228"/>
      <c r="AV44" s="184"/>
      <c r="AW44" s="347" t="str">
        <f>IF(Roster!$J$24="Español","HABILIDADES Y RASGOS","SKILLS &amp; TRAITS")</f>
        <v>SKILLS &amp; TRAITS</v>
      </c>
      <c r="AX44" s="236"/>
      <c r="AY44" s="236"/>
      <c r="AZ44" s="236"/>
      <c r="BA44" s="236"/>
      <c r="BB44" s="236"/>
      <c r="BC44" s="236"/>
      <c r="BD44" s="236"/>
      <c r="BE44" s="236"/>
      <c r="BF44" s="236"/>
      <c r="BG44" s="237"/>
      <c r="BH44" s="194"/>
    </row>
    <row r="45" spans="1:60" ht="6.75" customHeight="1">
      <c r="A45" s="2"/>
      <c r="B45" s="229"/>
      <c r="C45" s="184"/>
      <c r="D45" s="348" t="str">
        <f>IF(Roster!$O$5=0&amp;BF5,"",Roster!$O$5)</f>
        <v>Claws, Frenzy, Regeneration, Block</v>
      </c>
      <c r="E45" s="340"/>
      <c r="F45" s="340"/>
      <c r="G45" s="340"/>
      <c r="H45" s="340"/>
      <c r="I45" s="340"/>
      <c r="J45" s="340"/>
      <c r="K45" s="340"/>
      <c r="L45" s="340"/>
      <c r="M45" s="340"/>
      <c r="N45" s="341"/>
      <c r="O45" s="194"/>
      <c r="P45" s="2"/>
      <c r="Q45" s="229"/>
      <c r="R45" s="184"/>
      <c r="S45" s="348" t="str">
        <f>IF(Roster!$O$6=0&amp;BF6,"",Roster!$O$6)</f>
        <v>Dodge, Block, Sure Hands</v>
      </c>
      <c r="T45" s="340"/>
      <c r="U45" s="340"/>
      <c r="V45" s="340"/>
      <c r="W45" s="340"/>
      <c r="X45" s="340"/>
      <c r="Y45" s="340"/>
      <c r="Z45" s="340"/>
      <c r="AA45" s="340"/>
      <c r="AB45" s="340"/>
      <c r="AC45" s="341"/>
      <c r="AD45" s="194"/>
      <c r="AE45" s="2"/>
      <c r="AF45" s="229"/>
      <c r="AG45" s="184"/>
      <c r="AH45" s="348" t="str">
        <f>IF(Roster!$O$7=0&amp;BF7,"",Roster!$O$7)</f>
        <v>Block, Foul Appearance, No Hands, Regeneration, Side Step, Guard</v>
      </c>
      <c r="AI45" s="340"/>
      <c r="AJ45" s="340"/>
      <c r="AK45" s="340"/>
      <c r="AL45" s="340"/>
      <c r="AM45" s="340"/>
      <c r="AN45" s="340"/>
      <c r="AO45" s="340"/>
      <c r="AP45" s="340"/>
      <c r="AQ45" s="340"/>
      <c r="AR45" s="341"/>
      <c r="AS45" s="194"/>
      <c r="AT45" s="2"/>
      <c r="AU45" s="229"/>
      <c r="AV45" s="184"/>
      <c r="AW45" s="348" t="str">
        <f>IF(Roster!$O$8=0&amp;BF8,"",Roster!$O$8)</f>
        <v>Regeneration</v>
      </c>
      <c r="AX45" s="340"/>
      <c r="AY45" s="340"/>
      <c r="AZ45" s="340"/>
      <c r="BA45" s="340"/>
      <c r="BB45" s="340"/>
      <c r="BC45" s="340"/>
      <c r="BD45" s="340"/>
      <c r="BE45" s="340"/>
      <c r="BF45" s="340"/>
      <c r="BG45" s="341"/>
      <c r="BH45" s="194"/>
    </row>
    <row r="46" spans="1:60" ht="11.25" customHeight="1">
      <c r="A46" s="2"/>
      <c r="B46" s="183" t="str">
        <f>IF(Roster!$AN$1=0,"",Roster!$AN$1)</f>
        <v>COST</v>
      </c>
      <c r="C46" s="183"/>
      <c r="D46" s="342"/>
      <c r="E46" s="261"/>
      <c r="F46" s="261"/>
      <c r="G46" s="261"/>
      <c r="H46" s="261"/>
      <c r="I46" s="261"/>
      <c r="J46" s="261"/>
      <c r="K46" s="261"/>
      <c r="L46" s="261"/>
      <c r="M46" s="261"/>
      <c r="N46" s="328"/>
      <c r="O46" s="195"/>
      <c r="P46" s="2"/>
      <c r="Q46" s="183" t="str">
        <f>IF(Roster!$AN$1=0,"",Roster!$AN$1)</f>
        <v>COST</v>
      </c>
      <c r="R46" s="183"/>
      <c r="S46" s="342"/>
      <c r="T46" s="261"/>
      <c r="U46" s="261"/>
      <c r="V46" s="261"/>
      <c r="W46" s="261"/>
      <c r="X46" s="261"/>
      <c r="Y46" s="261"/>
      <c r="Z46" s="261"/>
      <c r="AA46" s="261"/>
      <c r="AB46" s="261"/>
      <c r="AC46" s="328"/>
      <c r="AD46" s="195"/>
      <c r="AE46" s="2"/>
      <c r="AF46" s="183" t="str">
        <f>IF(Roster!$AN$1=0,"",Roster!$AN$1)</f>
        <v>COST</v>
      </c>
      <c r="AG46" s="183"/>
      <c r="AH46" s="342"/>
      <c r="AI46" s="261"/>
      <c r="AJ46" s="261"/>
      <c r="AK46" s="261"/>
      <c r="AL46" s="261"/>
      <c r="AM46" s="261"/>
      <c r="AN46" s="261"/>
      <c r="AO46" s="261"/>
      <c r="AP46" s="261"/>
      <c r="AQ46" s="261"/>
      <c r="AR46" s="328"/>
      <c r="AS46" s="195"/>
      <c r="AT46" s="2"/>
      <c r="AU46" s="183" t="str">
        <f>IF(Roster!$AN$1=0,"",Roster!$AN$1)</f>
        <v>COST</v>
      </c>
      <c r="AV46" s="183"/>
      <c r="AW46" s="342"/>
      <c r="AX46" s="261"/>
      <c r="AY46" s="261"/>
      <c r="AZ46" s="261"/>
      <c r="BA46" s="261"/>
      <c r="BB46" s="261"/>
      <c r="BC46" s="261"/>
      <c r="BD46" s="261"/>
      <c r="BE46" s="261"/>
      <c r="BF46" s="261"/>
      <c r="BG46" s="328"/>
      <c r="BH46" s="195"/>
    </row>
    <row r="47" spans="1:60" ht="34.5" customHeight="1">
      <c r="A47" s="2"/>
      <c r="B47" s="197">
        <f>IF(Roster!$AN$5=0,"",Roster!$AN$5)</f>
        <v>145000</v>
      </c>
      <c r="C47" s="198"/>
      <c r="D47" s="343"/>
      <c r="E47" s="344"/>
      <c r="F47" s="344"/>
      <c r="G47" s="344"/>
      <c r="H47" s="344"/>
      <c r="I47" s="344"/>
      <c r="J47" s="344"/>
      <c r="K47" s="344"/>
      <c r="L47" s="344"/>
      <c r="M47" s="344"/>
      <c r="N47" s="345"/>
      <c r="O47" s="195"/>
      <c r="P47" s="2"/>
      <c r="Q47" s="197">
        <f>IF(Roster!$AN$6=0,"",Roster!$AN$6)</f>
        <v>115000</v>
      </c>
      <c r="R47" s="198"/>
      <c r="S47" s="343"/>
      <c r="T47" s="344"/>
      <c r="U47" s="344"/>
      <c r="V47" s="344"/>
      <c r="W47" s="344"/>
      <c r="X47" s="344"/>
      <c r="Y47" s="344"/>
      <c r="Z47" s="344"/>
      <c r="AA47" s="344"/>
      <c r="AB47" s="344"/>
      <c r="AC47" s="345"/>
      <c r="AD47" s="195"/>
      <c r="AE47" s="2"/>
      <c r="AF47" s="197">
        <f>IF(Roster!$AN$7=0,"",Roster!$AN$7)</f>
        <v>115000</v>
      </c>
      <c r="AG47" s="198"/>
      <c r="AH47" s="343"/>
      <c r="AI47" s="344"/>
      <c r="AJ47" s="344"/>
      <c r="AK47" s="344"/>
      <c r="AL47" s="344"/>
      <c r="AM47" s="344"/>
      <c r="AN47" s="344"/>
      <c r="AO47" s="344"/>
      <c r="AP47" s="344"/>
      <c r="AQ47" s="344"/>
      <c r="AR47" s="345"/>
      <c r="AS47" s="195"/>
      <c r="AT47" s="2"/>
      <c r="AU47" s="197">
        <f>IF(Roster!$AN$8=0,"",Roster!$AN$8)</f>
        <v>40000</v>
      </c>
      <c r="AV47" s="198"/>
      <c r="AW47" s="343"/>
      <c r="AX47" s="344"/>
      <c r="AY47" s="344"/>
      <c r="AZ47" s="344"/>
      <c r="BA47" s="344"/>
      <c r="BB47" s="344"/>
      <c r="BC47" s="344"/>
      <c r="BD47" s="344"/>
      <c r="BE47" s="344"/>
      <c r="BF47" s="344"/>
      <c r="BG47" s="345"/>
      <c r="BH47" s="195"/>
    </row>
    <row r="48" spans="1:60" ht="4.5" customHeight="1">
      <c r="A48" s="2"/>
      <c r="B48" s="179"/>
      <c r="C48" s="179"/>
      <c r="D48" s="179"/>
      <c r="E48" s="179"/>
      <c r="F48" s="179"/>
      <c r="G48" s="179"/>
      <c r="H48" s="179"/>
      <c r="I48" s="179"/>
      <c r="J48" s="179"/>
      <c r="K48" s="179"/>
      <c r="L48" s="179"/>
      <c r="M48" s="179"/>
      <c r="N48" s="195"/>
      <c r="O48" s="195"/>
      <c r="P48" s="2"/>
      <c r="Q48" s="179"/>
      <c r="R48" s="179"/>
      <c r="S48" s="179"/>
      <c r="T48" s="179"/>
      <c r="U48" s="179"/>
      <c r="V48" s="179"/>
      <c r="W48" s="179"/>
      <c r="X48" s="179"/>
      <c r="Y48" s="179"/>
      <c r="Z48" s="179"/>
      <c r="AA48" s="179"/>
      <c r="AB48" s="179"/>
      <c r="AC48" s="195"/>
      <c r="AD48" s="195"/>
      <c r="AE48" s="2"/>
      <c r="AF48" s="179"/>
      <c r="AG48" s="179"/>
      <c r="AH48" s="179"/>
      <c r="AI48" s="179"/>
      <c r="AJ48" s="179"/>
      <c r="AK48" s="179"/>
      <c r="AL48" s="179"/>
      <c r="AM48" s="179"/>
      <c r="AN48" s="179"/>
      <c r="AO48" s="179"/>
      <c r="AP48" s="179"/>
      <c r="AQ48" s="179"/>
      <c r="AR48" s="195"/>
      <c r="AS48" s="195"/>
      <c r="AT48" s="2"/>
      <c r="AU48" s="179"/>
      <c r="AV48" s="179"/>
      <c r="AW48" s="179"/>
      <c r="AX48" s="179"/>
      <c r="AY48" s="179"/>
      <c r="AZ48" s="179"/>
      <c r="BA48" s="179"/>
      <c r="BB48" s="179"/>
      <c r="BC48" s="179"/>
      <c r="BD48" s="179"/>
      <c r="BE48" s="179"/>
      <c r="BF48" s="179"/>
      <c r="BG48" s="195"/>
      <c r="BH48" s="195"/>
    </row>
    <row r="49" spans="1:60" ht="11.2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row>
    <row r="50" spans="1:60" ht="4.5" customHeight="1">
      <c r="A50" s="2"/>
      <c r="B50" s="353" t="str">
        <f>IF(Roster!$A$9=0,"","#"&amp;Roster!$A$9)</f>
        <v>#8</v>
      </c>
      <c r="C50" s="179"/>
      <c r="D50" s="179"/>
      <c r="E50" s="179"/>
      <c r="F50" s="179"/>
      <c r="G50" s="179"/>
      <c r="H50" s="179"/>
      <c r="I50" s="179"/>
      <c r="J50" s="179"/>
      <c r="K50" s="179"/>
      <c r="L50" s="179"/>
      <c r="M50" s="179"/>
      <c r="N50" s="179"/>
      <c r="O50" s="179"/>
      <c r="P50" s="2"/>
      <c r="Q50" s="353" t="str">
        <f>IF(Roster!$A$10=0,"","#"&amp;Roster!$A$10)</f>
        <v>#9</v>
      </c>
      <c r="R50" s="179"/>
      <c r="S50" s="179"/>
      <c r="T50" s="179"/>
      <c r="U50" s="179"/>
      <c r="V50" s="179"/>
      <c r="W50" s="179"/>
      <c r="X50" s="179"/>
      <c r="Y50" s="179"/>
      <c r="Z50" s="179"/>
      <c r="AA50" s="179"/>
      <c r="AB50" s="179"/>
      <c r="AC50" s="179"/>
      <c r="AD50" s="179"/>
      <c r="AE50" s="2"/>
      <c r="AF50" s="353" t="str">
        <f>IF(Roster!$A$11=0,"","#"&amp;Roster!$A$11)</f>
        <v>#10</v>
      </c>
      <c r="AG50" s="179"/>
      <c r="AH50" s="179"/>
      <c r="AI50" s="179"/>
      <c r="AJ50" s="179"/>
      <c r="AK50" s="179"/>
      <c r="AL50" s="179"/>
      <c r="AM50" s="179"/>
      <c r="AN50" s="179"/>
      <c r="AO50" s="179"/>
      <c r="AP50" s="179"/>
      <c r="AQ50" s="179"/>
      <c r="AR50" s="179"/>
      <c r="AS50" s="179"/>
      <c r="AT50" s="2"/>
      <c r="AU50" s="353" t="str">
        <f>IF(Roster!$A$12=0,"","#"&amp;Roster!$A$12)</f>
        <v>#11</v>
      </c>
      <c r="AV50" s="179"/>
      <c r="AW50" s="179"/>
      <c r="AX50" s="179"/>
      <c r="AY50" s="179"/>
      <c r="AZ50" s="179"/>
      <c r="BA50" s="179"/>
      <c r="BB50" s="179"/>
      <c r="BC50" s="179"/>
      <c r="BD50" s="179"/>
      <c r="BE50" s="179"/>
      <c r="BF50" s="179"/>
      <c r="BG50" s="179"/>
      <c r="BH50" s="179"/>
    </row>
    <row r="51" spans="1:60" ht="15" customHeight="1">
      <c r="A51" s="2"/>
      <c r="B51" s="228"/>
      <c r="C51" s="351" t="str">
        <f>IF(Roster!$B$9=0,"",Roster!$B$9)</f>
        <v>Muuvt</v>
      </c>
      <c r="D51" s="236"/>
      <c r="E51" s="236"/>
      <c r="F51" s="236"/>
      <c r="G51" s="236"/>
      <c r="H51" s="236"/>
      <c r="I51" s="236"/>
      <c r="J51" s="236"/>
      <c r="K51" s="236"/>
      <c r="L51" s="236"/>
      <c r="M51" s="236"/>
      <c r="N51" s="237"/>
      <c r="O51" s="179"/>
      <c r="P51" s="2"/>
      <c r="Q51" s="228"/>
      <c r="R51" s="351" t="str">
        <f>IF(Roster!$B$10=0,"",Roster!$B$10)</f>
        <v>Jimmy Pace</v>
      </c>
      <c r="S51" s="236"/>
      <c r="T51" s="236"/>
      <c r="U51" s="236"/>
      <c r="V51" s="236"/>
      <c r="W51" s="236"/>
      <c r="X51" s="236"/>
      <c r="Y51" s="236"/>
      <c r="Z51" s="236"/>
      <c r="AA51" s="236"/>
      <c r="AB51" s="236"/>
      <c r="AC51" s="237"/>
      <c r="AD51" s="179"/>
      <c r="AE51" s="2"/>
      <c r="AF51" s="228"/>
      <c r="AG51" s="351" t="str">
        <f>IF(Roster!$B$11=0,"",Roster!$B$11)</f>
        <v>Ronnie Boh</v>
      </c>
      <c r="AH51" s="236"/>
      <c r="AI51" s="236"/>
      <c r="AJ51" s="236"/>
      <c r="AK51" s="236"/>
      <c r="AL51" s="236"/>
      <c r="AM51" s="236"/>
      <c r="AN51" s="236"/>
      <c r="AO51" s="236"/>
      <c r="AP51" s="236"/>
      <c r="AQ51" s="236"/>
      <c r="AR51" s="237"/>
      <c r="AS51" s="179"/>
      <c r="AT51" s="2"/>
      <c r="AU51" s="228"/>
      <c r="AV51" s="351" t="str">
        <f>IF(Roster!$B$12=0,"",Roster!$B$12)</f>
        <v>Cam Maybe</v>
      </c>
      <c r="AW51" s="236"/>
      <c r="AX51" s="236"/>
      <c r="AY51" s="236"/>
      <c r="AZ51" s="236"/>
      <c r="BA51" s="236"/>
      <c r="BB51" s="236"/>
      <c r="BC51" s="236"/>
      <c r="BD51" s="236"/>
      <c r="BE51" s="236"/>
      <c r="BF51" s="236"/>
      <c r="BG51" s="237"/>
      <c r="BH51" s="179"/>
    </row>
    <row r="52" spans="1:60" ht="11.25" customHeight="1">
      <c r="A52" s="2"/>
      <c r="B52" s="229"/>
      <c r="C52" s="338" t="str">
        <f>IF(Roster!$C$9=0,"",Roster!$C$9)</f>
        <v>Ghoul</v>
      </c>
      <c r="D52" s="236"/>
      <c r="E52" s="236"/>
      <c r="F52" s="236"/>
      <c r="G52" s="236"/>
      <c r="H52" s="236"/>
      <c r="I52" s="236"/>
      <c r="J52" s="236"/>
      <c r="K52" s="236"/>
      <c r="L52" s="236"/>
      <c r="M52" s="236"/>
      <c r="N52" s="237"/>
      <c r="O52" s="180"/>
      <c r="P52" s="2"/>
      <c r="Q52" s="229"/>
      <c r="R52" s="338" t="str">
        <f>IF(Roster!$C$10=0,"",Roster!$C$10)</f>
        <v>Zombie</v>
      </c>
      <c r="S52" s="236"/>
      <c r="T52" s="236"/>
      <c r="U52" s="236"/>
      <c r="V52" s="236"/>
      <c r="W52" s="236"/>
      <c r="X52" s="236"/>
      <c r="Y52" s="236"/>
      <c r="Z52" s="236"/>
      <c r="AA52" s="236"/>
      <c r="AB52" s="236"/>
      <c r="AC52" s="237"/>
      <c r="AD52" s="180"/>
      <c r="AE52" s="2"/>
      <c r="AF52" s="229"/>
      <c r="AG52" s="338" t="str">
        <f>IF(Roster!$C$11=0,"",Roster!$C$11)</f>
        <v>Zombie</v>
      </c>
      <c r="AH52" s="236"/>
      <c r="AI52" s="236"/>
      <c r="AJ52" s="236"/>
      <c r="AK52" s="236"/>
      <c r="AL52" s="236"/>
      <c r="AM52" s="236"/>
      <c r="AN52" s="236"/>
      <c r="AO52" s="236"/>
      <c r="AP52" s="236"/>
      <c r="AQ52" s="236"/>
      <c r="AR52" s="237"/>
      <c r="AS52" s="180"/>
      <c r="AT52" s="2"/>
      <c r="AU52" s="229"/>
      <c r="AV52" s="338" t="str">
        <f>IF(Roster!$C$12=0,"",Roster!$C$12)</f>
        <v>Zombie</v>
      </c>
      <c r="AW52" s="236"/>
      <c r="AX52" s="236"/>
      <c r="AY52" s="236"/>
      <c r="AZ52" s="236"/>
      <c r="BA52" s="236"/>
      <c r="BB52" s="236"/>
      <c r="BC52" s="236"/>
      <c r="BD52" s="236"/>
      <c r="BE52" s="236"/>
      <c r="BF52" s="236"/>
      <c r="BG52" s="237"/>
      <c r="BH52" s="180"/>
    </row>
    <row r="53" spans="1:60" ht="11.25" customHeight="1">
      <c r="A53" s="2"/>
      <c r="B53" s="183" t="str">
        <f>IF(Roster!$J$1=0,"",Roster!$J$1)</f>
        <v>MA</v>
      </c>
      <c r="C53" s="339"/>
      <c r="D53" s="340"/>
      <c r="E53" s="340"/>
      <c r="F53" s="340"/>
      <c r="G53" s="340"/>
      <c r="H53" s="340"/>
      <c r="I53" s="340"/>
      <c r="J53" s="340"/>
      <c r="K53" s="340"/>
      <c r="L53" s="340"/>
      <c r="M53" s="340"/>
      <c r="N53" s="341"/>
      <c r="O53" s="179"/>
      <c r="P53" s="2"/>
      <c r="Q53" s="183" t="str">
        <f>IF(Roster!$J$1=0,"",Roster!$J$1)</f>
        <v>MA</v>
      </c>
      <c r="R53" s="339"/>
      <c r="S53" s="340"/>
      <c r="T53" s="340"/>
      <c r="U53" s="340"/>
      <c r="V53" s="340"/>
      <c r="W53" s="340"/>
      <c r="X53" s="340"/>
      <c r="Y53" s="340"/>
      <c r="Z53" s="340"/>
      <c r="AA53" s="340"/>
      <c r="AB53" s="340"/>
      <c r="AC53" s="341"/>
      <c r="AD53" s="179"/>
      <c r="AE53" s="2"/>
      <c r="AF53" s="183" t="str">
        <f>IF(Roster!$J$1=0,"",Roster!$J$1)</f>
        <v>MA</v>
      </c>
      <c r="AG53" s="339"/>
      <c r="AH53" s="340"/>
      <c r="AI53" s="340"/>
      <c r="AJ53" s="340"/>
      <c r="AK53" s="340"/>
      <c r="AL53" s="340"/>
      <c r="AM53" s="340"/>
      <c r="AN53" s="340"/>
      <c r="AO53" s="340"/>
      <c r="AP53" s="340"/>
      <c r="AQ53" s="340"/>
      <c r="AR53" s="341"/>
      <c r="AS53" s="179"/>
      <c r="AT53" s="2"/>
      <c r="AU53" s="183" t="str">
        <f>IF(Roster!$J$1=0,"",Roster!$J$1)</f>
        <v>MA</v>
      </c>
      <c r="AV53" s="339"/>
      <c r="AW53" s="340"/>
      <c r="AX53" s="340"/>
      <c r="AY53" s="340"/>
      <c r="AZ53" s="340"/>
      <c r="BA53" s="340"/>
      <c r="BB53" s="340"/>
      <c r="BC53" s="340"/>
      <c r="BD53" s="340"/>
      <c r="BE53" s="340"/>
      <c r="BF53" s="340"/>
      <c r="BG53" s="341"/>
      <c r="BH53" s="179"/>
    </row>
    <row r="54" spans="1:60" ht="37.5" customHeight="1">
      <c r="A54" s="2"/>
      <c r="B54" s="185">
        <f>IF(Roster!$J$9=0,"",Roster!$J$9)</f>
        <v>7</v>
      </c>
      <c r="C54" s="342"/>
      <c r="D54" s="261"/>
      <c r="E54" s="261"/>
      <c r="F54" s="261"/>
      <c r="G54" s="261"/>
      <c r="H54" s="261"/>
      <c r="I54" s="261"/>
      <c r="J54" s="261"/>
      <c r="K54" s="261"/>
      <c r="L54" s="261"/>
      <c r="M54" s="261"/>
      <c r="N54" s="328"/>
      <c r="O54" s="179"/>
      <c r="P54" s="2"/>
      <c r="Q54" s="185">
        <f>IF(Roster!$J$10=0,"",Roster!$J$10)</f>
        <v>4</v>
      </c>
      <c r="R54" s="342"/>
      <c r="S54" s="261"/>
      <c r="T54" s="261"/>
      <c r="U54" s="261"/>
      <c r="V54" s="261"/>
      <c r="W54" s="261"/>
      <c r="X54" s="261"/>
      <c r="Y54" s="261"/>
      <c r="Z54" s="261"/>
      <c r="AA54" s="261"/>
      <c r="AB54" s="261"/>
      <c r="AC54" s="328"/>
      <c r="AD54" s="179"/>
      <c r="AE54" s="2"/>
      <c r="AF54" s="185">
        <f>IF(Roster!$J$11=0,"",Roster!$J$11)</f>
        <v>4</v>
      </c>
      <c r="AG54" s="342"/>
      <c r="AH54" s="261"/>
      <c r="AI54" s="261"/>
      <c r="AJ54" s="261"/>
      <c r="AK54" s="261"/>
      <c r="AL54" s="261"/>
      <c r="AM54" s="261"/>
      <c r="AN54" s="261"/>
      <c r="AO54" s="261"/>
      <c r="AP54" s="261"/>
      <c r="AQ54" s="261"/>
      <c r="AR54" s="328"/>
      <c r="AS54" s="179"/>
      <c r="AT54" s="2"/>
      <c r="AU54" s="185">
        <f>IF(Roster!$J$12=0,"",Roster!$J$12)</f>
        <v>4</v>
      </c>
      <c r="AV54" s="342"/>
      <c r="AW54" s="261"/>
      <c r="AX54" s="261"/>
      <c r="AY54" s="261"/>
      <c r="AZ54" s="261"/>
      <c r="BA54" s="261"/>
      <c r="BB54" s="261"/>
      <c r="BC54" s="261"/>
      <c r="BD54" s="261"/>
      <c r="BE54" s="261"/>
      <c r="BF54" s="261"/>
      <c r="BG54" s="328"/>
      <c r="BH54" s="179"/>
    </row>
    <row r="55" spans="1:60" ht="11.25" customHeight="1">
      <c r="A55" s="2"/>
      <c r="B55" s="183" t="str">
        <f>IF(Roster!$K$1=0,"",Roster!$K$1)</f>
        <v>ST</v>
      </c>
      <c r="C55" s="342"/>
      <c r="D55" s="261"/>
      <c r="E55" s="261"/>
      <c r="F55" s="261"/>
      <c r="G55" s="261"/>
      <c r="H55" s="261"/>
      <c r="I55" s="261"/>
      <c r="J55" s="261"/>
      <c r="K55" s="261"/>
      <c r="L55" s="261"/>
      <c r="M55" s="261"/>
      <c r="N55" s="328"/>
      <c r="O55" s="179"/>
      <c r="P55" s="2"/>
      <c r="Q55" s="183" t="str">
        <f>IF(Roster!$K$1=0,"",Roster!$K$1)</f>
        <v>ST</v>
      </c>
      <c r="R55" s="342"/>
      <c r="S55" s="261"/>
      <c r="T55" s="261"/>
      <c r="U55" s="261"/>
      <c r="V55" s="261"/>
      <c r="W55" s="261"/>
      <c r="X55" s="261"/>
      <c r="Y55" s="261"/>
      <c r="Z55" s="261"/>
      <c r="AA55" s="261"/>
      <c r="AB55" s="261"/>
      <c r="AC55" s="328"/>
      <c r="AD55" s="179"/>
      <c r="AE55" s="2"/>
      <c r="AF55" s="183" t="str">
        <f>IF(Roster!$K$1=0,"",Roster!$K$1)</f>
        <v>ST</v>
      </c>
      <c r="AG55" s="342"/>
      <c r="AH55" s="261"/>
      <c r="AI55" s="261"/>
      <c r="AJ55" s="261"/>
      <c r="AK55" s="261"/>
      <c r="AL55" s="261"/>
      <c r="AM55" s="261"/>
      <c r="AN55" s="261"/>
      <c r="AO55" s="261"/>
      <c r="AP55" s="261"/>
      <c r="AQ55" s="261"/>
      <c r="AR55" s="328"/>
      <c r="AS55" s="179"/>
      <c r="AT55" s="2"/>
      <c r="AU55" s="183" t="str">
        <f>IF(Roster!$K$1=0,"",Roster!$K$1)</f>
        <v>ST</v>
      </c>
      <c r="AV55" s="342"/>
      <c r="AW55" s="261"/>
      <c r="AX55" s="261"/>
      <c r="AY55" s="261"/>
      <c r="AZ55" s="261"/>
      <c r="BA55" s="261"/>
      <c r="BB55" s="261"/>
      <c r="BC55" s="261"/>
      <c r="BD55" s="261"/>
      <c r="BE55" s="261"/>
      <c r="BF55" s="261"/>
      <c r="BG55" s="328"/>
      <c r="BH55" s="179"/>
    </row>
    <row r="56" spans="1:60" ht="37.5" customHeight="1">
      <c r="A56" s="2"/>
      <c r="B56" s="185">
        <f>IF(Roster!$K$9=0,"",Roster!$K$9)</f>
        <v>3</v>
      </c>
      <c r="C56" s="342"/>
      <c r="D56" s="261"/>
      <c r="E56" s="261"/>
      <c r="F56" s="261"/>
      <c r="G56" s="261"/>
      <c r="H56" s="261"/>
      <c r="I56" s="261"/>
      <c r="J56" s="261"/>
      <c r="K56" s="261"/>
      <c r="L56" s="261"/>
      <c r="M56" s="261"/>
      <c r="N56" s="328"/>
      <c r="O56" s="179"/>
      <c r="P56" s="2"/>
      <c r="Q56" s="185">
        <f>IF(Roster!$K$10=0,"",Roster!$K$10)</f>
        <v>3</v>
      </c>
      <c r="R56" s="342"/>
      <c r="S56" s="261"/>
      <c r="T56" s="261"/>
      <c r="U56" s="261"/>
      <c r="V56" s="261"/>
      <c r="W56" s="261"/>
      <c r="X56" s="261"/>
      <c r="Y56" s="261"/>
      <c r="Z56" s="261"/>
      <c r="AA56" s="261"/>
      <c r="AB56" s="261"/>
      <c r="AC56" s="328"/>
      <c r="AD56" s="179"/>
      <c r="AE56" s="2"/>
      <c r="AF56" s="185">
        <f>IF(Roster!$K$11=0,"",Roster!$K$11)</f>
        <v>3</v>
      </c>
      <c r="AG56" s="342"/>
      <c r="AH56" s="261"/>
      <c r="AI56" s="261"/>
      <c r="AJ56" s="261"/>
      <c r="AK56" s="261"/>
      <c r="AL56" s="261"/>
      <c r="AM56" s="261"/>
      <c r="AN56" s="261"/>
      <c r="AO56" s="261"/>
      <c r="AP56" s="261"/>
      <c r="AQ56" s="261"/>
      <c r="AR56" s="328"/>
      <c r="AS56" s="179"/>
      <c r="AT56" s="2"/>
      <c r="AU56" s="185">
        <f>IF(Roster!$K$12=0,"",Roster!$K$12)</f>
        <v>3</v>
      </c>
      <c r="AV56" s="342"/>
      <c r="AW56" s="261"/>
      <c r="AX56" s="261"/>
      <c r="AY56" s="261"/>
      <c r="AZ56" s="261"/>
      <c r="BA56" s="261"/>
      <c r="BB56" s="261"/>
      <c r="BC56" s="261"/>
      <c r="BD56" s="261"/>
      <c r="BE56" s="261"/>
      <c r="BF56" s="261"/>
      <c r="BG56" s="328"/>
      <c r="BH56" s="179"/>
    </row>
    <row r="57" spans="1:60" ht="11.25" customHeight="1">
      <c r="A57" s="2"/>
      <c r="B57" s="183" t="str">
        <f>IF(Roster!$L$1=0,"",Roster!$L$1)</f>
        <v>AG</v>
      </c>
      <c r="C57" s="342"/>
      <c r="D57" s="261"/>
      <c r="E57" s="261"/>
      <c r="F57" s="261"/>
      <c r="G57" s="261"/>
      <c r="H57" s="261"/>
      <c r="I57" s="261"/>
      <c r="J57" s="261"/>
      <c r="K57" s="261"/>
      <c r="L57" s="261"/>
      <c r="M57" s="261"/>
      <c r="N57" s="328"/>
      <c r="O57" s="179"/>
      <c r="P57" s="2"/>
      <c r="Q57" s="183" t="str">
        <f>IF(Roster!$L$1=0,"",Roster!$L$1)</f>
        <v>AG</v>
      </c>
      <c r="R57" s="342"/>
      <c r="S57" s="261"/>
      <c r="T57" s="261"/>
      <c r="U57" s="261"/>
      <c r="V57" s="261"/>
      <c r="W57" s="261"/>
      <c r="X57" s="261"/>
      <c r="Y57" s="261"/>
      <c r="Z57" s="261"/>
      <c r="AA57" s="261"/>
      <c r="AB57" s="261"/>
      <c r="AC57" s="328"/>
      <c r="AD57" s="179"/>
      <c r="AE57" s="2"/>
      <c r="AF57" s="183" t="str">
        <f>IF(Roster!$L$1=0,"",Roster!$L$1)</f>
        <v>AG</v>
      </c>
      <c r="AG57" s="342"/>
      <c r="AH57" s="261"/>
      <c r="AI57" s="261"/>
      <c r="AJ57" s="261"/>
      <c r="AK57" s="261"/>
      <c r="AL57" s="261"/>
      <c r="AM57" s="261"/>
      <c r="AN57" s="261"/>
      <c r="AO57" s="261"/>
      <c r="AP57" s="261"/>
      <c r="AQ57" s="261"/>
      <c r="AR57" s="328"/>
      <c r="AS57" s="179"/>
      <c r="AT57" s="2"/>
      <c r="AU57" s="183" t="str">
        <f>IF(Roster!$L$1=0,"",Roster!$L$1)</f>
        <v>AG</v>
      </c>
      <c r="AV57" s="342"/>
      <c r="AW57" s="261"/>
      <c r="AX57" s="261"/>
      <c r="AY57" s="261"/>
      <c r="AZ57" s="261"/>
      <c r="BA57" s="261"/>
      <c r="BB57" s="261"/>
      <c r="BC57" s="261"/>
      <c r="BD57" s="261"/>
      <c r="BE57" s="261"/>
      <c r="BF57" s="261"/>
      <c r="BG57" s="328"/>
      <c r="BH57" s="179"/>
    </row>
    <row r="58" spans="1:60" ht="37.5" customHeight="1">
      <c r="A58" s="2"/>
      <c r="B58" s="185" t="str">
        <f>IF(Roster!$L$9=0&amp;"+","",Roster!$L$9)</f>
        <v>3+</v>
      </c>
      <c r="C58" s="342"/>
      <c r="D58" s="261"/>
      <c r="E58" s="261"/>
      <c r="F58" s="261"/>
      <c r="G58" s="261"/>
      <c r="H58" s="261"/>
      <c r="I58" s="261"/>
      <c r="J58" s="261"/>
      <c r="K58" s="261"/>
      <c r="L58" s="261"/>
      <c r="M58" s="261"/>
      <c r="N58" s="328"/>
      <c r="O58" s="179"/>
      <c r="P58" s="2"/>
      <c r="Q58" s="185" t="str">
        <f>IF(Roster!$L$10=0&amp;"+","",Roster!$L$10)</f>
        <v>4+</v>
      </c>
      <c r="R58" s="342"/>
      <c r="S58" s="261"/>
      <c r="T58" s="261"/>
      <c r="U58" s="261"/>
      <c r="V58" s="261"/>
      <c r="W58" s="261"/>
      <c r="X58" s="261"/>
      <c r="Y58" s="261"/>
      <c r="Z58" s="261"/>
      <c r="AA58" s="261"/>
      <c r="AB58" s="261"/>
      <c r="AC58" s="328"/>
      <c r="AD58" s="179"/>
      <c r="AE58" s="2"/>
      <c r="AF58" s="185" t="str">
        <f>IF(Roster!$L$11=0&amp;"+","",Roster!$L$11)</f>
        <v>4+</v>
      </c>
      <c r="AG58" s="342"/>
      <c r="AH58" s="261"/>
      <c r="AI58" s="261"/>
      <c r="AJ58" s="261"/>
      <c r="AK58" s="261"/>
      <c r="AL58" s="261"/>
      <c r="AM58" s="261"/>
      <c r="AN58" s="261"/>
      <c r="AO58" s="261"/>
      <c r="AP58" s="261"/>
      <c r="AQ58" s="261"/>
      <c r="AR58" s="328"/>
      <c r="AS58" s="179"/>
      <c r="AT58" s="2"/>
      <c r="AU58" s="185" t="str">
        <f>IF(Roster!$L$12=0&amp;"+","",Roster!$L$12)</f>
        <v>4+</v>
      </c>
      <c r="AV58" s="342"/>
      <c r="AW58" s="261"/>
      <c r="AX58" s="261"/>
      <c r="AY58" s="261"/>
      <c r="AZ58" s="261"/>
      <c r="BA58" s="261"/>
      <c r="BB58" s="261"/>
      <c r="BC58" s="261"/>
      <c r="BD58" s="261"/>
      <c r="BE58" s="261"/>
      <c r="BF58" s="261"/>
      <c r="BG58" s="328"/>
      <c r="BH58" s="179"/>
    </row>
    <row r="59" spans="1:60" ht="11.25" customHeight="1">
      <c r="A59" s="2"/>
      <c r="B59" s="183" t="str">
        <f>IF(Roster!$M$1=0,"",Roster!$M$1)</f>
        <v>PA</v>
      </c>
      <c r="C59" s="342"/>
      <c r="D59" s="261"/>
      <c r="E59" s="261"/>
      <c r="F59" s="261"/>
      <c r="G59" s="261"/>
      <c r="H59" s="261"/>
      <c r="I59" s="261"/>
      <c r="J59" s="261"/>
      <c r="K59" s="261"/>
      <c r="L59" s="261"/>
      <c r="M59" s="261"/>
      <c r="N59" s="328"/>
      <c r="O59" s="188"/>
      <c r="P59" s="2"/>
      <c r="Q59" s="183" t="str">
        <f>IF(Roster!$M$1=0,"",Roster!$M$1)</f>
        <v>PA</v>
      </c>
      <c r="R59" s="342"/>
      <c r="S59" s="261"/>
      <c r="T59" s="261"/>
      <c r="U59" s="261"/>
      <c r="V59" s="261"/>
      <c r="W59" s="261"/>
      <c r="X59" s="261"/>
      <c r="Y59" s="261"/>
      <c r="Z59" s="261"/>
      <c r="AA59" s="261"/>
      <c r="AB59" s="261"/>
      <c r="AC59" s="328"/>
      <c r="AD59" s="188"/>
      <c r="AE59" s="2"/>
      <c r="AF59" s="183" t="str">
        <f>IF(Roster!$M$1=0,"",Roster!$M$1)</f>
        <v>PA</v>
      </c>
      <c r="AG59" s="342"/>
      <c r="AH59" s="261"/>
      <c r="AI59" s="261"/>
      <c r="AJ59" s="261"/>
      <c r="AK59" s="261"/>
      <c r="AL59" s="261"/>
      <c r="AM59" s="261"/>
      <c r="AN59" s="261"/>
      <c r="AO59" s="261"/>
      <c r="AP59" s="261"/>
      <c r="AQ59" s="261"/>
      <c r="AR59" s="328"/>
      <c r="AS59" s="188"/>
      <c r="AT59" s="2"/>
      <c r="AU59" s="183" t="str">
        <f>IF(Roster!$M$1=0,"",Roster!$M$1)</f>
        <v>PA</v>
      </c>
      <c r="AV59" s="342"/>
      <c r="AW59" s="261"/>
      <c r="AX59" s="261"/>
      <c r="AY59" s="261"/>
      <c r="AZ59" s="261"/>
      <c r="BA59" s="261"/>
      <c r="BB59" s="261"/>
      <c r="BC59" s="261"/>
      <c r="BD59" s="261"/>
      <c r="BE59" s="261"/>
      <c r="BF59" s="261"/>
      <c r="BG59" s="328"/>
      <c r="BH59" s="188"/>
    </row>
    <row r="60" spans="1:60" ht="6" customHeight="1">
      <c r="A60" s="2"/>
      <c r="B60" s="346" t="str">
        <f>IF(Roster!$M$9=0&amp;"+","",Roster!$M$9)</f>
        <v>4+</v>
      </c>
      <c r="C60" s="343"/>
      <c r="D60" s="344"/>
      <c r="E60" s="344"/>
      <c r="F60" s="344"/>
      <c r="G60" s="344"/>
      <c r="H60" s="344"/>
      <c r="I60" s="344"/>
      <c r="J60" s="344"/>
      <c r="K60" s="344"/>
      <c r="L60" s="344"/>
      <c r="M60" s="344"/>
      <c r="N60" s="345"/>
      <c r="O60" s="190"/>
      <c r="P60" s="2"/>
      <c r="Q60" s="346" t="str">
        <f>IF(Roster!$M$10=0&amp;"+","",Roster!$M$10)</f>
        <v/>
      </c>
      <c r="R60" s="343"/>
      <c r="S60" s="344"/>
      <c r="T60" s="344"/>
      <c r="U60" s="344"/>
      <c r="V60" s="344"/>
      <c r="W60" s="344"/>
      <c r="X60" s="344"/>
      <c r="Y60" s="344"/>
      <c r="Z60" s="344"/>
      <c r="AA60" s="344"/>
      <c r="AB60" s="344"/>
      <c r="AC60" s="345"/>
      <c r="AD60" s="190"/>
      <c r="AE60" s="2"/>
      <c r="AF60" s="346" t="str">
        <f>IF(Roster!$M$11=0&amp;"+","",Roster!$M$11)</f>
        <v/>
      </c>
      <c r="AG60" s="343"/>
      <c r="AH60" s="344"/>
      <c r="AI60" s="344"/>
      <c r="AJ60" s="344"/>
      <c r="AK60" s="344"/>
      <c r="AL60" s="344"/>
      <c r="AM60" s="344"/>
      <c r="AN60" s="344"/>
      <c r="AO60" s="344"/>
      <c r="AP60" s="344"/>
      <c r="AQ60" s="344"/>
      <c r="AR60" s="345"/>
      <c r="AS60" s="190"/>
      <c r="AT60" s="2"/>
      <c r="AU60" s="346" t="str">
        <f>IF(Roster!$M$12=0&amp;"+","",Roster!$M$12)</f>
        <v/>
      </c>
      <c r="AV60" s="343"/>
      <c r="AW60" s="344"/>
      <c r="AX60" s="344"/>
      <c r="AY60" s="344"/>
      <c r="AZ60" s="344"/>
      <c r="BA60" s="344"/>
      <c r="BB60" s="344"/>
      <c r="BC60" s="344"/>
      <c r="BD60" s="344"/>
      <c r="BE60" s="344"/>
      <c r="BF60" s="344"/>
      <c r="BG60" s="345"/>
      <c r="BH60" s="190"/>
    </row>
    <row r="61" spans="1:60" ht="4.5" customHeight="1">
      <c r="A61" s="2"/>
      <c r="B61" s="228"/>
      <c r="C61" s="182"/>
      <c r="D61" s="179"/>
      <c r="E61" s="189"/>
      <c r="F61" s="179"/>
      <c r="G61" s="189"/>
      <c r="H61" s="179"/>
      <c r="I61" s="189"/>
      <c r="J61" s="179"/>
      <c r="K61" s="189"/>
      <c r="L61" s="179"/>
      <c r="M61" s="189"/>
      <c r="N61" s="179"/>
      <c r="O61" s="190"/>
      <c r="P61" s="2"/>
      <c r="Q61" s="228"/>
      <c r="R61" s="182"/>
      <c r="S61" s="179"/>
      <c r="T61" s="189"/>
      <c r="U61" s="179"/>
      <c r="V61" s="189"/>
      <c r="W61" s="179"/>
      <c r="X61" s="189"/>
      <c r="Y61" s="179"/>
      <c r="Z61" s="189"/>
      <c r="AA61" s="179"/>
      <c r="AB61" s="189"/>
      <c r="AC61" s="179"/>
      <c r="AD61" s="190"/>
      <c r="AE61" s="2"/>
      <c r="AF61" s="228"/>
      <c r="AG61" s="182"/>
      <c r="AH61" s="179"/>
      <c r="AI61" s="189"/>
      <c r="AJ61" s="179"/>
      <c r="AK61" s="189"/>
      <c r="AL61" s="179"/>
      <c r="AM61" s="189"/>
      <c r="AN61" s="179"/>
      <c r="AO61" s="189"/>
      <c r="AP61" s="179"/>
      <c r="AQ61" s="189"/>
      <c r="AR61" s="179"/>
      <c r="AS61" s="190"/>
      <c r="AT61" s="2"/>
      <c r="AU61" s="228"/>
      <c r="AV61" s="182"/>
      <c r="AW61" s="179"/>
      <c r="AX61" s="189"/>
      <c r="AY61" s="179"/>
      <c r="AZ61" s="189"/>
      <c r="BA61" s="179"/>
      <c r="BB61" s="189"/>
      <c r="BC61" s="179"/>
      <c r="BD61" s="189"/>
      <c r="BE61" s="179"/>
      <c r="BF61" s="189"/>
      <c r="BG61" s="179"/>
      <c r="BH61" s="190"/>
    </row>
    <row r="62" spans="1:60" ht="11.25" customHeight="1">
      <c r="A62" s="2"/>
      <c r="B62" s="228"/>
      <c r="C62" s="182"/>
      <c r="D62" s="191" t="str">
        <f>IF(Roster!$AA$1=0,"",Roster!$AA$1)</f>
        <v>SPE</v>
      </c>
      <c r="E62" s="189"/>
      <c r="F62" s="191" t="str">
        <f>IF(Roster!$AB$1=0,"",Roster!$AB$1)</f>
        <v>CP</v>
      </c>
      <c r="G62" s="189"/>
      <c r="H62" s="191" t="str">
        <f>IF(Roster!$AC$1=0,"",Roster!$AC$1)</f>
        <v>TD</v>
      </c>
      <c r="I62" s="189"/>
      <c r="J62" s="191" t="str">
        <f>IF(Roster!$AD$1=0,"",Roster!$AD$1)</f>
        <v>DEF</v>
      </c>
      <c r="K62" s="189"/>
      <c r="L62" s="191" t="str">
        <f>IF(Roster!$AE$1=0,"",Roster!$AE$1)</f>
        <v>INT</v>
      </c>
      <c r="M62" s="189"/>
      <c r="N62" s="191" t="str">
        <f>IF(Roster!$AF$1=0,"",Roster!$AF$1)</f>
        <v>BH</v>
      </c>
      <c r="O62" s="190"/>
      <c r="P62" s="2"/>
      <c r="Q62" s="228"/>
      <c r="R62" s="182"/>
      <c r="S62" s="191" t="str">
        <f>IF(Roster!$AA$1=0,"",Roster!$AA$1)</f>
        <v>SPE</v>
      </c>
      <c r="T62" s="189"/>
      <c r="U62" s="191" t="str">
        <f>IF(Roster!$AB$1=0,"",Roster!$AB$1)</f>
        <v>CP</v>
      </c>
      <c r="V62" s="189"/>
      <c r="W62" s="191" t="str">
        <f>IF(Roster!$AC$1=0,"",Roster!$AC$1)</f>
        <v>TD</v>
      </c>
      <c r="X62" s="189"/>
      <c r="Y62" s="191" t="str">
        <f>IF(Roster!$AD$1=0,"",Roster!$AD$1)</f>
        <v>DEF</v>
      </c>
      <c r="Z62" s="189"/>
      <c r="AA62" s="191" t="str">
        <f>IF(Roster!$AE$1=0,"",Roster!$AE$1)</f>
        <v>INT</v>
      </c>
      <c r="AB62" s="189"/>
      <c r="AC62" s="191" t="str">
        <f>IF(Roster!$AF$1=0,"",Roster!$AF$1)</f>
        <v>BH</v>
      </c>
      <c r="AD62" s="190"/>
      <c r="AE62" s="2"/>
      <c r="AF62" s="228"/>
      <c r="AG62" s="182"/>
      <c r="AH62" s="191" t="str">
        <f>IF(Roster!$AA$1=0,"",Roster!$AA$1)</f>
        <v>SPE</v>
      </c>
      <c r="AI62" s="189"/>
      <c r="AJ62" s="191" t="str">
        <f>IF(Roster!$AB$1=0,"",Roster!$AB$1)</f>
        <v>CP</v>
      </c>
      <c r="AK62" s="189"/>
      <c r="AL62" s="191" t="str">
        <f>IF(Roster!$AC$1=0,"",Roster!$AC$1)</f>
        <v>TD</v>
      </c>
      <c r="AM62" s="189"/>
      <c r="AN62" s="191" t="str">
        <f>IF(Roster!$AD$1=0,"",Roster!$AD$1)</f>
        <v>DEF</v>
      </c>
      <c r="AO62" s="189"/>
      <c r="AP62" s="191" t="str">
        <f>IF(Roster!$AE$1=0,"",Roster!$AE$1)</f>
        <v>INT</v>
      </c>
      <c r="AQ62" s="189"/>
      <c r="AR62" s="191" t="str">
        <f>IF(Roster!$AF$1=0,"",Roster!$AF$1)</f>
        <v>BH</v>
      </c>
      <c r="AS62" s="190"/>
      <c r="AT62" s="2"/>
      <c r="AU62" s="228"/>
      <c r="AV62" s="182"/>
      <c r="AW62" s="191" t="str">
        <f>IF(Roster!$AA$1=0,"",Roster!$AA$1)</f>
        <v>SPE</v>
      </c>
      <c r="AX62" s="189"/>
      <c r="AY62" s="191" t="str">
        <f>IF(Roster!$AB$1=0,"",Roster!$AB$1)</f>
        <v>CP</v>
      </c>
      <c r="AZ62" s="189"/>
      <c r="BA62" s="191" t="str">
        <f>IF(Roster!$AC$1=0,"",Roster!$AC$1)</f>
        <v>TD</v>
      </c>
      <c r="BB62" s="189"/>
      <c r="BC62" s="191" t="str">
        <f>IF(Roster!$AD$1=0,"",Roster!$AD$1)</f>
        <v>DEF</v>
      </c>
      <c r="BD62" s="189"/>
      <c r="BE62" s="191" t="str">
        <f>IF(Roster!$AE$1=0,"",Roster!$AE$1)</f>
        <v>INT</v>
      </c>
      <c r="BF62" s="189"/>
      <c r="BG62" s="191" t="str">
        <f>IF(Roster!$AF$1=0,"",Roster!$AF$1)</f>
        <v>BH</v>
      </c>
      <c r="BH62" s="190"/>
    </row>
    <row r="63" spans="1:60" ht="15" customHeight="1">
      <c r="A63" s="2"/>
      <c r="B63" s="228"/>
      <c r="C63" s="184"/>
      <c r="D63" s="192" t="str">
        <f>IF(Roster!$AA$9=0,"",Roster!$AA$9)</f>
        <v/>
      </c>
      <c r="E63" s="184"/>
      <c r="F63" s="192" t="str">
        <f>IF(Roster!$AB$9=0,"",Roster!$AB$9)</f>
        <v/>
      </c>
      <c r="G63" s="184"/>
      <c r="H63" s="192" t="str">
        <f>IF(Roster!$AC$9=0,"",Roster!$AC$9)</f>
        <v/>
      </c>
      <c r="I63" s="184"/>
      <c r="J63" s="192" t="str">
        <f>IF(Roster!$AD$9=0,"",Roster!$AD$9)</f>
        <v/>
      </c>
      <c r="K63" s="184"/>
      <c r="L63" s="192" t="str">
        <f>IF(Roster!$AE$9=0,"",Roster!$AE$9)</f>
        <v/>
      </c>
      <c r="M63" s="184"/>
      <c r="N63" s="192" t="str">
        <f>IF(Roster!$AF$9=0,"",Roster!$AF$9)</f>
        <v/>
      </c>
      <c r="O63" s="190"/>
      <c r="P63" s="2"/>
      <c r="Q63" s="228"/>
      <c r="R63" s="184"/>
      <c r="S63" s="192" t="str">
        <f>IF(Roster!$AA$10=0,"",Roster!$AA$10)</f>
        <v/>
      </c>
      <c r="T63" s="184"/>
      <c r="U63" s="192" t="str">
        <f>IF(Roster!$AB$10=0,"",Roster!$AB$10)</f>
        <v/>
      </c>
      <c r="V63" s="184"/>
      <c r="W63" s="192" t="str">
        <f>IF(Roster!$AC$10=0,"",Roster!$AC$10)</f>
        <v/>
      </c>
      <c r="X63" s="184"/>
      <c r="Y63" s="192" t="str">
        <f>IF(Roster!$AD$10=0,"",Roster!$AD$10)</f>
        <v/>
      </c>
      <c r="Z63" s="184"/>
      <c r="AA63" s="192" t="str">
        <f>IF(Roster!$AE$10=0,"",Roster!$AE$10)</f>
        <v/>
      </c>
      <c r="AB63" s="184"/>
      <c r="AC63" s="192" t="str">
        <f>IF(Roster!$AF$10=0,"",Roster!$AF$10)</f>
        <v/>
      </c>
      <c r="AD63" s="190"/>
      <c r="AE63" s="2"/>
      <c r="AF63" s="228"/>
      <c r="AG63" s="184"/>
      <c r="AH63" s="192" t="str">
        <f>IF(Roster!$AA$11=0,"",Roster!$AA$11)</f>
        <v/>
      </c>
      <c r="AI63" s="184"/>
      <c r="AJ63" s="192" t="str">
        <f>IF(Roster!$AB$11=0,"",Roster!$AB$11)</f>
        <v/>
      </c>
      <c r="AK63" s="184"/>
      <c r="AL63" s="192" t="str">
        <f>IF(Roster!$AC$11=0,"",Roster!$AC$11)</f>
        <v/>
      </c>
      <c r="AM63" s="184"/>
      <c r="AN63" s="192" t="str">
        <f>IF(Roster!$AD$11=0,"",Roster!$AD$11)</f>
        <v/>
      </c>
      <c r="AO63" s="184"/>
      <c r="AP63" s="192" t="str">
        <f>IF(Roster!$AE$11=0,"",Roster!$AE$11)</f>
        <v/>
      </c>
      <c r="AQ63" s="184"/>
      <c r="AR63" s="192">
        <f>IF(Roster!$AF$11=0,"",Roster!$AF$11)</f>
        <v>2</v>
      </c>
      <c r="AS63" s="190"/>
      <c r="AT63" s="2"/>
      <c r="AU63" s="228"/>
      <c r="AV63" s="184"/>
      <c r="AW63" s="192" t="str">
        <f>IF(Roster!$AA$12=0,"",Roster!$AA$12)</f>
        <v/>
      </c>
      <c r="AX63" s="184"/>
      <c r="AY63" s="192" t="str">
        <f>IF(Roster!$AB$12=0,"",Roster!$AB$12)</f>
        <v/>
      </c>
      <c r="AZ63" s="184"/>
      <c r="BA63" s="192" t="str">
        <f>IF(Roster!$AC$12=0,"",Roster!$AC$12)</f>
        <v/>
      </c>
      <c r="BB63" s="184"/>
      <c r="BC63" s="192" t="str">
        <f>IF(Roster!$AD$12=0,"",Roster!$AD$12)</f>
        <v/>
      </c>
      <c r="BD63" s="184"/>
      <c r="BE63" s="192" t="str">
        <f>IF(Roster!$AE$12=0,"",Roster!$AE$12)</f>
        <v/>
      </c>
      <c r="BF63" s="184"/>
      <c r="BG63" s="192" t="str">
        <f>IF(Roster!$AF$12=0,"",Roster!$AF$12)</f>
        <v/>
      </c>
      <c r="BH63" s="190"/>
    </row>
    <row r="64" spans="1:60" ht="4.5" customHeight="1">
      <c r="A64" s="2"/>
      <c r="B64" s="229"/>
      <c r="C64" s="184"/>
      <c r="D64" s="193"/>
      <c r="E64" s="184"/>
      <c r="F64" s="193"/>
      <c r="G64" s="184"/>
      <c r="H64" s="193"/>
      <c r="I64" s="184"/>
      <c r="J64" s="193"/>
      <c r="K64" s="184"/>
      <c r="L64" s="193"/>
      <c r="M64" s="184"/>
      <c r="N64" s="193"/>
      <c r="O64" s="190"/>
      <c r="P64" s="2"/>
      <c r="Q64" s="229"/>
      <c r="R64" s="184"/>
      <c r="S64" s="193"/>
      <c r="T64" s="184"/>
      <c r="U64" s="193"/>
      <c r="V64" s="184"/>
      <c r="W64" s="193"/>
      <c r="X64" s="184"/>
      <c r="Y64" s="193"/>
      <c r="Z64" s="184"/>
      <c r="AA64" s="193"/>
      <c r="AB64" s="184"/>
      <c r="AC64" s="193"/>
      <c r="AD64" s="190"/>
      <c r="AE64" s="2"/>
      <c r="AF64" s="229"/>
      <c r="AG64" s="184"/>
      <c r="AH64" s="193"/>
      <c r="AI64" s="184"/>
      <c r="AJ64" s="193"/>
      <c r="AK64" s="184"/>
      <c r="AL64" s="193"/>
      <c r="AM64" s="184"/>
      <c r="AN64" s="193"/>
      <c r="AO64" s="184"/>
      <c r="AP64" s="193"/>
      <c r="AQ64" s="184"/>
      <c r="AR64" s="193"/>
      <c r="AS64" s="190"/>
      <c r="AT64" s="2"/>
      <c r="AU64" s="229"/>
      <c r="AV64" s="184"/>
      <c r="AW64" s="193"/>
      <c r="AX64" s="184"/>
      <c r="AY64" s="193"/>
      <c r="AZ64" s="184"/>
      <c r="BA64" s="193"/>
      <c r="BB64" s="184"/>
      <c r="BC64" s="193"/>
      <c r="BD64" s="184"/>
      <c r="BE64" s="193"/>
      <c r="BF64" s="184"/>
      <c r="BG64" s="193"/>
      <c r="BH64" s="190"/>
    </row>
    <row r="65" spans="1:60" ht="11.25" customHeight="1">
      <c r="A65" s="2"/>
      <c r="B65" s="183" t="str">
        <f>IF(Roster!$N$1=0,"",Roster!$N$1)</f>
        <v>AV</v>
      </c>
      <c r="C65" s="183"/>
      <c r="D65" s="191" t="str">
        <f>IF(Roster!$AF$1=0,"",Roster!$AF$1)</f>
        <v>BH</v>
      </c>
      <c r="E65" s="183"/>
      <c r="F65" s="191" t="str">
        <f>IF(Roster!$AG$1=0,"",Roster!$AG$1)</f>
        <v>SI</v>
      </c>
      <c r="G65" s="183"/>
      <c r="H65" s="191" t="str">
        <f>IF(Roster!$AH$1=0,"",Roster!$AH$1)</f>
        <v>KILL</v>
      </c>
      <c r="I65" s="183"/>
      <c r="J65" s="191" t="str">
        <f>IF(Roster!$AI$1=0,"",Roster!$AI$1)</f>
        <v>MVP</v>
      </c>
      <c r="K65" s="183"/>
      <c r="L65" s="191" t="str">
        <f>IF(Roster!$AI$1=0,"",Roster!$AI$1)</f>
        <v>MVP</v>
      </c>
      <c r="M65" s="183"/>
      <c r="N65" s="191" t="s">
        <v>309</v>
      </c>
      <c r="O65" s="179"/>
      <c r="P65" s="2"/>
      <c r="Q65" s="183" t="str">
        <f>IF(Roster!$N$1=0,"",Roster!$N$1)</f>
        <v>AV</v>
      </c>
      <c r="R65" s="183"/>
      <c r="S65" s="191" t="str">
        <f>IF(Roster!$AF$1=0,"",Roster!$AF$1)</f>
        <v>BH</v>
      </c>
      <c r="T65" s="183"/>
      <c r="U65" s="191" t="str">
        <f>IF(Roster!$AG$1=0,"",Roster!$AG$1)</f>
        <v>SI</v>
      </c>
      <c r="V65" s="183"/>
      <c r="W65" s="191" t="str">
        <f>IF(Roster!$AH$1=0,"",Roster!$AH$1)</f>
        <v>KILL</v>
      </c>
      <c r="X65" s="183"/>
      <c r="Y65" s="191" t="str">
        <f>IF(Roster!$AI$1=0,"",Roster!$AI$1)</f>
        <v>MVP</v>
      </c>
      <c r="Z65" s="183"/>
      <c r="AA65" s="191" t="str">
        <f>IF(Roster!$AI$1=0,"",Roster!$AI$1)</f>
        <v>MVP</v>
      </c>
      <c r="AB65" s="183"/>
      <c r="AC65" s="191" t="s">
        <v>309</v>
      </c>
      <c r="AD65" s="179"/>
      <c r="AE65" s="2"/>
      <c r="AF65" s="183" t="str">
        <f>IF(Roster!$N$1=0,"",Roster!$N$1)</f>
        <v>AV</v>
      </c>
      <c r="AG65" s="183"/>
      <c r="AH65" s="191" t="str">
        <f>IF(Roster!$AF$1=0,"",Roster!$AF$1)</f>
        <v>BH</v>
      </c>
      <c r="AI65" s="183"/>
      <c r="AJ65" s="191" t="str">
        <f>IF(Roster!$AG$1=0,"",Roster!$AG$1)</f>
        <v>SI</v>
      </c>
      <c r="AK65" s="183"/>
      <c r="AL65" s="191" t="str">
        <f>IF(Roster!$AH$1=0,"",Roster!$AH$1)</f>
        <v>KILL</v>
      </c>
      <c r="AM65" s="183"/>
      <c r="AN65" s="191" t="str">
        <f>IF(Roster!$AI$1=0,"",Roster!$AI$1)</f>
        <v>MVP</v>
      </c>
      <c r="AO65" s="183"/>
      <c r="AP65" s="191" t="str">
        <f>IF(Roster!$AI$1=0,"",Roster!$AI$1)</f>
        <v>MVP</v>
      </c>
      <c r="AQ65" s="183"/>
      <c r="AR65" s="191" t="s">
        <v>309</v>
      </c>
      <c r="AS65" s="179"/>
      <c r="AT65" s="2"/>
      <c r="AU65" s="183" t="str">
        <f>IF(Roster!$N$1=0,"",Roster!$N$1)</f>
        <v>AV</v>
      </c>
      <c r="AV65" s="183"/>
      <c r="AW65" s="191" t="str">
        <f>IF(Roster!$AF$1=0,"",Roster!$AF$1)</f>
        <v>BH</v>
      </c>
      <c r="AX65" s="183"/>
      <c r="AY65" s="191" t="str">
        <f>IF(Roster!$AG$1=0,"",Roster!$AG$1)</f>
        <v>SI</v>
      </c>
      <c r="AZ65" s="183"/>
      <c r="BA65" s="191" t="str">
        <f>IF(Roster!$AH$1=0,"",Roster!$AH$1)</f>
        <v>KILL</v>
      </c>
      <c r="BB65" s="183"/>
      <c r="BC65" s="191" t="str">
        <f>IF(Roster!$AI$1=0,"",Roster!$AI$1)</f>
        <v>MVP</v>
      </c>
      <c r="BD65" s="183"/>
      <c r="BE65" s="191" t="str">
        <f>IF(Roster!$AI$1=0,"",Roster!$AI$1)</f>
        <v>MVP</v>
      </c>
      <c r="BF65" s="183"/>
      <c r="BG65" s="191" t="s">
        <v>309</v>
      </c>
      <c r="BH65" s="179"/>
    </row>
    <row r="66" spans="1:60" ht="15" customHeight="1">
      <c r="A66" s="2"/>
      <c r="B66" s="346" t="str">
        <f>IF(Roster!$N$9=0&amp;"+","",Roster!$N$9)</f>
        <v>8+</v>
      </c>
      <c r="C66" s="184"/>
      <c r="D66" s="192" t="str">
        <f>IF(Roster!$AF$9=0,"",Roster!$AF$9)</f>
        <v/>
      </c>
      <c r="E66" s="184"/>
      <c r="F66" s="192" t="str">
        <f>IF(Roster!$AG$9=0,"",Roster!$AG$9)</f>
        <v/>
      </c>
      <c r="G66" s="184"/>
      <c r="H66" s="192" t="str">
        <f>IF(Roster!$AH$9=0,"",Roster!$AH$9)</f>
        <v/>
      </c>
      <c r="I66" s="184"/>
      <c r="J66" s="192" t="str">
        <f>IF(Roster!$AI$9=0,"",Roster!$AI$9)</f>
        <v/>
      </c>
      <c r="K66" s="184"/>
      <c r="L66" s="192" t="str">
        <f>IF(Roster!$AI$9=0,"",Roster!$AI$9)</f>
        <v/>
      </c>
      <c r="M66" s="184"/>
      <c r="N66" s="192" t="str">
        <f>IF(Roster!$AJ$9=0,"",Roster!$AJ$9)</f>
        <v/>
      </c>
      <c r="O66" s="194"/>
      <c r="P66" s="2"/>
      <c r="Q66" s="346" t="str">
        <f>IF(Roster!$N$10=0&amp;"+","",Roster!$N$10)</f>
        <v>9+</v>
      </c>
      <c r="R66" s="184"/>
      <c r="S66" s="192" t="str">
        <f>IF(Roster!$AF$10=0,"",Roster!$AF$10)</f>
        <v/>
      </c>
      <c r="T66" s="184"/>
      <c r="U66" s="192" t="str">
        <f>IF(Roster!$AG$10=0,"",Roster!$AG$10)</f>
        <v/>
      </c>
      <c r="V66" s="184"/>
      <c r="W66" s="192" t="str">
        <f>IF(Roster!$AH$10=0,"",Roster!$AH$10)</f>
        <v/>
      </c>
      <c r="X66" s="184"/>
      <c r="Y66" s="192" t="str">
        <f>IF(Roster!$AI$10=0,"",Roster!$AI$10)</f>
        <v/>
      </c>
      <c r="Z66" s="184"/>
      <c r="AA66" s="192" t="str">
        <f>IF(Roster!$AI$10=0,"",Roster!$AI$10)</f>
        <v/>
      </c>
      <c r="AB66" s="184"/>
      <c r="AC66" s="192" t="str">
        <f>IF(Roster!$AJ$10=0,"",Roster!$AJ$10)</f>
        <v/>
      </c>
      <c r="AD66" s="194"/>
      <c r="AE66" s="2"/>
      <c r="AF66" s="346" t="str">
        <f>IF(Roster!$N$11=0&amp;"+","",Roster!$N$11)</f>
        <v>9+</v>
      </c>
      <c r="AG66" s="184"/>
      <c r="AH66" s="192">
        <f>IF(Roster!$AF$11=0,"",Roster!$AF$11)</f>
        <v>2</v>
      </c>
      <c r="AI66" s="184"/>
      <c r="AJ66" s="192" t="str">
        <f>IF(Roster!$AG$11=0,"",Roster!$AG$11)</f>
        <v/>
      </c>
      <c r="AK66" s="184"/>
      <c r="AL66" s="192" t="str">
        <f>IF(Roster!$AH$11=0,"",Roster!$AH$11)</f>
        <v/>
      </c>
      <c r="AM66" s="184"/>
      <c r="AN66" s="192">
        <f>IF(Roster!$AI$11=0,"",Roster!$AI$11)</f>
        <v>1</v>
      </c>
      <c r="AO66" s="184"/>
      <c r="AP66" s="192">
        <f>IF(Roster!$AI$11=0,"",Roster!$AI$11)</f>
        <v>1</v>
      </c>
      <c r="AQ66" s="184"/>
      <c r="AR66" s="192">
        <f>IF(Roster!$AJ$11=0,"",Roster!$AJ$11)</f>
        <v>8</v>
      </c>
      <c r="AS66" s="194"/>
      <c r="AT66" s="2"/>
      <c r="AU66" s="346" t="str">
        <f>IF(Roster!$N$12=0&amp;"+","",Roster!$N$12)</f>
        <v>8+</v>
      </c>
      <c r="AV66" s="184"/>
      <c r="AW66" s="192" t="str">
        <f>IF(Roster!$AF$12=0,"",Roster!$AF$12)</f>
        <v/>
      </c>
      <c r="AX66" s="184"/>
      <c r="AY66" s="192" t="str">
        <f>IF(Roster!$AG$12=0,"",Roster!$AG$12)</f>
        <v/>
      </c>
      <c r="AZ66" s="184"/>
      <c r="BA66" s="192" t="str">
        <f>IF(Roster!$AH$12=0,"",Roster!$AH$12)</f>
        <v/>
      </c>
      <c r="BB66" s="184"/>
      <c r="BC66" s="192" t="str">
        <f>IF(Roster!$AI$12=0,"",Roster!$AI$12)</f>
        <v/>
      </c>
      <c r="BD66" s="184"/>
      <c r="BE66" s="192" t="str">
        <f>IF(Roster!$AI$12=0,"",Roster!$AI$12)</f>
        <v/>
      </c>
      <c r="BF66" s="184"/>
      <c r="BG66" s="192" t="str">
        <f>IF(Roster!$AJ$12=0,"",Roster!$AJ$12)</f>
        <v/>
      </c>
      <c r="BH66" s="194"/>
    </row>
    <row r="67" spans="1:60" ht="4.5" customHeight="1">
      <c r="A67" s="2"/>
      <c r="B67" s="228"/>
      <c r="C67" s="184"/>
      <c r="D67" s="184"/>
      <c r="E67" s="184"/>
      <c r="F67" s="184"/>
      <c r="G67" s="184"/>
      <c r="H67" s="184"/>
      <c r="I67" s="184"/>
      <c r="J67" s="184"/>
      <c r="K67" s="184"/>
      <c r="L67" s="184"/>
      <c r="M67" s="184"/>
      <c r="N67" s="190"/>
      <c r="O67" s="194"/>
      <c r="P67" s="2"/>
      <c r="Q67" s="228"/>
      <c r="R67" s="184"/>
      <c r="S67" s="184"/>
      <c r="T67" s="184"/>
      <c r="U67" s="184"/>
      <c r="V67" s="184"/>
      <c r="W67" s="184"/>
      <c r="X67" s="184"/>
      <c r="Y67" s="184"/>
      <c r="Z67" s="184"/>
      <c r="AA67" s="184"/>
      <c r="AB67" s="184"/>
      <c r="AC67" s="190"/>
      <c r="AD67" s="194"/>
      <c r="AE67" s="2"/>
      <c r="AF67" s="228"/>
      <c r="AG67" s="184"/>
      <c r="AH67" s="184"/>
      <c r="AI67" s="184"/>
      <c r="AJ67" s="184"/>
      <c r="AK67" s="184"/>
      <c r="AL67" s="184"/>
      <c r="AM67" s="184"/>
      <c r="AN67" s="184"/>
      <c r="AO67" s="184"/>
      <c r="AP67" s="184"/>
      <c r="AQ67" s="184"/>
      <c r="AR67" s="190"/>
      <c r="AS67" s="194"/>
      <c r="AT67" s="2"/>
      <c r="AU67" s="228"/>
      <c r="AV67" s="184"/>
      <c r="AW67" s="184"/>
      <c r="AX67" s="184"/>
      <c r="AY67" s="184"/>
      <c r="AZ67" s="184"/>
      <c r="BA67" s="184"/>
      <c r="BB67" s="184"/>
      <c r="BC67" s="184"/>
      <c r="BD67" s="184"/>
      <c r="BE67" s="184"/>
      <c r="BF67" s="184"/>
      <c r="BG67" s="190"/>
      <c r="BH67" s="194"/>
    </row>
    <row r="68" spans="1:60" ht="11.25" customHeight="1">
      <c r="A68" s="2"/>
      <c r="B68" s="228"/>
      <c r="C68" s="184"/>
      <c r="D68" s="347" t="str">
        <f>IF(Roster!$J$24="Español","HABILIDADES Y RASGOS","SKILLS &amp; TRAITS")</f>
        <v>SKILLS &amp; TRAITS</v>
      </c>
      <c r="E68" s="236"/>
      <c r="F68" s="236"/>
      <c r="G68" s="236"/>
      <c r="H68" s="236"/>
      <c r="I68" s="236"/>
      <c r="J68" s="236"/>
      <c r="K68" s="236"/>
      <c r="L68" s="236"/>
      <c r="M68" s="236"/>
      <c r="N68" s="237"/>
      <c r="O68" s="194"/>
      <c r="P68" s="2"/>
      <c r="Q68" s="228"/>
      <c r="R68" s="184"/>
      <c r="S68" s="347" t="str">
        <f>IF(Roster!$J$24="Español","HABILIDADES Y RASGOS","SKILLS &amp; TRAITS")</f>
        <v>SKILLS &amp; TRAITS</v>
      </c>
      <c r="T68" s="236"/>
      <c r="U68" s="236"/>
      <c r="V68" s="236"/>
      <c r="W68" s="236"/>
      <c r="X68" s="236"/>
      <c r="Y68" s="236"/>
      <c r="Z68" s="236"/>
      <c r="AA68" s="236"/>
      <c r="AB68" s="236"/>
      <c r="AC68" s="237"/>
      <c r="AD68" s="194"/>
      <c r="AE68" s="2"/>
      <c r="AF68" s="228"/>
      <c r="AG68" s="184"/>
      <c r="AH68" s="347" t="str">
        <f>IF(Roster!$J$24="Español","HABILIDADES Y RASGOS","SKILLS &amp; TRAITS")</f>
        <v>SKILLS &amp; TRAITS</v>
      </c>
      <c r="AI68" s="236"/>
      <c r="AJ68" s="236"/>
      <c r="AK68" s="236"/>
      <c r="AL68" s="236"/>
      <c r="AM68" s="236"/>
      <c r="AN68" s="236"/>
      <c r="AO68" s="236"/>
      <c r="AP68" s="236"/>
      <c r="AQ68" s="236"/>
      <c r="AR68" s="237"/>
      <c r="AS68" s="194"/>
      <c r="AT68" s="2"/>
      <c r="AU68" s="228"/>
      <c r="AV68" s="184"/>
      <c r="AW68" s="347" t="str">
        <f>IF(Roster!$J$24="Español","HABILIDADES Y RASGOS","SKILLS &amp; TRAITS")</f>
        <v>SKILLS &amp; TRAITS</v>
      </c>
      <c r="AX68" s="236"/>
      <c r="AY68" s="236"/>
      <c r="AZ68" s="236"/>
      <c r="BA68" s="236"/>
      <c r="BB68" s="236"/>
      <c r="BC68" s="236"/>
      <c r="BD68" s="236"/>
      <c r="BE68" s="236"/>
      <c r="BF68" s="236"/>
      <c r="BG68" s="237"/>
      <c r="BH68" s="194"/>
    </row>
    <row r="69" spans="1:60" ht="6.75" customHeight="1">
      <c r="A69" s="2"/>
      <c r="B69" s="229"/>
      <c r="C69" s="184"/>
      <c r="D69" s="348" t="str">
        <f>IF(Roster!$O$9=0&amp;BF9,"",Roster!$O$9)</f>
        <v>Dodge</v>
      </c>
      <c r="E69" s="340"/>
      <c r="F69" s="340"/>
      <c r="G69" s="340"/>
      <c r="H69" s="340"/>
      <c r="I69" s="340"/>
      <c r="J69" s="340"/>
      <c r="K69" s="340"/>
      <c r="L69" s="340"/>
      <c r="M69" s="340"/>
      <c r="N69" s="341"/>
      <c r="O69" s="194"/>
      <c r="P69" s="2"/>
      <c r="Q69" s="229"/>
      <c r="R69" s="184"/>
      <c r="S69" s="348" t="str">
        <f>IF(Roster!$O$10=0&amp;BF10,"",Roster!$O$10)</f>
        <v>Regeneration</v>
      </c>
      <c r="T69" s="340"/>
      <c r="U69" s="340"/>
      <c r="V69" s="340"/>
      <c r="W69" s="340"/>
      <c r="X69" s="340"/>
      <c r="Y69" s="340"/>
      <c r="Z69" s="340"/>
      <c r="AA69" s="340"/>
      <c r="AB69" s="340"/>
      <c r="AC69" s="341"/>
      <c r="AD69" s="194"/>
      <c r="AE69" s="2"/>
      <c r="AF69" s="229"/>
      <c r="AG69" s="184"/>
      <c r="AH69" s="348" t="str">
        <f>IF(Roster!$O$11=0&amp;BF11,"",Roster!$O$11)</f>
        <v>Regeneration, Block</v>
      </c>
      <c r="AI69" s="340"/>
      <c r="AJ69" s="340"/>
      <c r="AK69" s="340"/>
      <c r="AL69" s="340"/>
      <c r="AM69" s="340"/>
      <c r="AN69" s="340"/>
      <c r="AO69" s="340"/>
      <c r="AP69" s="340"/>
      <c r="AQ69" s="340"/>
      <c r="AR69" s="341"/>
      <c r="AS69" s="194"/>
      <c r="AT69" s="2"/>
      <c r="AU69" s="229"/>
      <c r="AV69" s="184"/>
      <c r="AW69" s="348" t="str">
        <f>IF(Roster!$O$12=0&amp;BF12,"",Roster!$O$12)</f>
        <v>Regeneration</v>
      </c>
      <c r="AX69" s="340"/>
      <c r="AY69" s="340"/>
      <c r="AZ69" s="340"/>
      <c r="BA69" s="340"/>
      <c r="BB69" s="340"/>
      <c r="BC69" s="340"/>
      <c r="BD69" s="340"/>
      <c r="BE69" s="340"/>
      <c r="BF69" s="340"/>
      <c r="BG69" s="341"/>
      <c r="BH69" s="194"/>
    </row>
    <row r="70" spans="1:60" ht="11.25" customHeight="1">
      <c r="A70" s="2"/>
      <c r="B70" s="183" t="str">
        <f>IF(Roster!$AN$1=0,"",Roster!$AN$1)</f>
        <v>COST</v>
      </c>
      <c r="C70" s="183"/>
      <c r="D70" s="342"/>
      <c r="E70" s="261"/>
      <c r="F70" s="261"/>
      <c r="G70" s="261"/>
      <c r="H70" s="261"/>
      <c r="I70" s="261"/>
      <c r="J70" s="261"/>
      <c r="K70" s="261"/>
      <c r="L70" s="261"/>
      <c r="M70" s="261"/>
      <c r="N70" s="328"/>
      <c r="O70" s="195"/>
      <c r="P70" s="2"/>
      <c r="Q70" s="183" t="str">
        <f>IF(Roster!$AN$1=0,"",Roster!$AN$1)</f>
        <v>COST</v>
      </c>
      <c r="R70" s="183"/>
      <c r="S70" s="342"/>
      <c r="T70" s="261"/>
      <c r="U70" s="261"/>
      <c r="V70" s="261"/>
      <c r="W70" s="261"/>
      <c r="X70" s="261"/>
      <c r="Y70" s="261"/>
      <c r="Z70" s="261"/>
      <c r="AA70" s="261"/>
      <c r="AB70" s="261"/>
      <c r="AC70" s="328"/>
      <c r="AD70" s="195"/>
      <c r="AE70" s="2"/>
      <c r="AF70" s="183" t="str">
        <f>IF(Roster!$AN$1=0,"",Roster!$AN$1)</f>
        <v>COST</v>
      </c>
      <c r="AG70" s="183"/>
      <c r="AH70" s="342"/>
      <c r="AI70" s="261"/>
      <c r="AJ70" s="261"/>
      <c r="AK70" s="261"/>
      <c r="AL70" s="261"/>
      <c r="AM70" s="261"/>
      <c r="AN70" s="261"/>
      <c r="AO70" s="261"/>
      <c r="AP70" s="261"/>
      <c r="AQ70" s="261"/>
      <c r="AR70" s="328"/>
      <c r="AS70" s="195"/>
      <c r="AT70" s="2"/>
      <c r="AU70" s="183" t="str">
        <f>IF(Roster!$AN$1=0,"",Roster!$AN$1)</f>
        <v>COST</v>
      </c>
      <c r="AV70" s="183"/>
      <c r="AW70" s="342"/>
      <c r="AX70" s="261"/>
      <c r="AY70" s="261"/>
      <c r="AZ70" s="261"/>
      <c r="BA70" s="261"/>
      <c r="BB70" s="261"/>
      <c r="BC70" s="261"/>
      <c r="BD70" s="261"/>
      <c r="BE70" s="261"/>
      <c r="BF70" s="261"/>
      <c r="BG70" s="328"/>
      <c r="BH70" s="195"/>
    </row>
    <row r="71" spans="1:60" ht="34.5" customHeight="1">
      <c r="A71" s="2"/>
      <c r="B71" s="197">
        <f>IF(Roster!$AN$9=0,"",Roster!$AN$9)</f>
        <v>75000</v>
      </c>
      <c r="C71" s="198"/>
      <c r="D71" s="343"/>
      <c r="E71" s="344"/>
      <c r="F71" s="344"/>
      <c r="G71" s="344"/>
      <c r="H71" s="344"/>
      <c r="I71" s="344"/>
      <c r="J71" s="344"/>
      <c r="K71" s="344"/>
      <c r="L71" s="344"/>
      <c r="M71" s="344"/>
      <c r="N71" s="345"/>
      <c r="O71" s="195"/>
      <c r="P71" s="2"/>
      <c r="Q71" s="197">
        <f>IF(Roster!$AN$10=0,"",Roster!$AN$10)</f>
        <v>40000</v>
      </c>
      <c r="R71" s="198"/>
      <c r="S71" s="343"/>
      <c r="T71" s="344"/>
      <c r="U71" s="344"/>
      <c r="V71" s="344"/>
      <c r="W71" s="344"/>
      <c r="X71" s="344"/>
      <c r="Y71" s="344"/>
      <c r="Z71" s="344"/>
      <c r="AA71" s="344"/>
      <c r="AB71" s="344"/>
      <c r="AC71" s="345"/>
      <c r="AD71" s="195"/>
      <c r="AE71" s="2"/>
      <c r="AF71" s="197">
        <f>IF(Roster!$AN$11=0,"",Roster!$AN$11)</f>
        <v>60000</v>
      </c>
      <c r="AG71" s="198"/>
      <c r="AH71" s="343"/>
      <c r="AI71" s="344"/>
      <c r="AJ71" s="344"/>
      <c r="AK71" s="344"/>
      <c r="AL71" s="344"/>
      <c r="AM71" s="344"/>
      <c r="AN71" s="344"/>
      <c r="AO71" s="344"/>
      <c r="AP71" s="344"/>
      <c r="AQ71" s="344"/>
      <c r="AR71" s="345"/>
      <c r="AS71" s="195"/>
      <c r="AT71" s="2"/>
      <c r="AU71" s="197">
        <f>IF(Roster!$AN$12=0,"",Roster!$AN$12)</f>
        <v>40000</v>
      </c>
      <c r="AV71" s="198"/>
      <c r="AW71" s="343"/>
      <c r="AX71" s="344"/>
      <c r="AY71" s="344"/>
      <c r="AZ71" s="344"/>
      <c r="BA71" s="344"/>
      <c r="BB71" s="344"/>
      <c r="BC71" s="344"/>
      <c r="BD71" s="344"/>
      <c r="BE71" s="344"/>
      <c r="BF71" s="344"/>
      <c r="BG71" s="345"/>
      <c r="BH71" s="195"/>
    </row>
    <row r="72" spans="1:60" ht="4.5" customHeight="1">
      <c r="A72" s="2"/>
      <c r="B72" s="179"/>
      <c r="C72" s="179"/>
      <c r="D72" s="179"/>
      <c r="E72" s="179"/>
      <c r="F72" s="179"/>
      <c r="G72" s="179"/>
      <c r="H72" s="179"/>
      <c r="I72" s="179"/>
      <c r="J72" s="179"/>
      <c r="K72" s="179"/>
      <c r="L72" s="179"/>
      <c r="M72" s="179"/>
      <c r="N72" s="195"/>
      <c r="O72" s="195"/>
      <c r="P72" s="2"/>
      <c r="Q72" s="179"/>
      <c r="R72" s="179"/>
      <c r="S72" s="179"/>
      <c r="T72" s="179"/>
      <c r="U72" s="179"/>
      <c r="V72" s="179"/>
      <c r="W72" s="179"/>
      <c r="X72" s="179"/>
      <c r="Y72" s="179"/>
      <c r="Z72" s="179"/>
      <c r="AA72" s="179"/>
      <c r="AB72" s="179"/>
      <c r="AC72" s="195"/>
      <c r="AD72" s="195"/>
      <c r="AE72" s="2"/>
      <c r="AF72" s="179"/>
      <c r="AG72" s="179"/>
      <c r="AH72" s="179"/>
      <c r="AI72" s="179"/>
      <c r="AJ72" s="179"/>
      <c r="AK72" s="179"/>
      <c r="AL72" s="179"/>
      <c r="AM72" s="179"/>
      <c r="AN72" s="179"/>
      <c r="AO72" s="179"/>
      <c r="AP72" s="179"/>
      <c r="AQ72" s="179"/>
      <c r="AR72" s="195"/>
      <c r="AS72" s="195"/>
      <c r="AT72" s="2"/>
      <c r="AU72" s="179"/>
      <c r="AV72" s="179"/>
      <c r="AW72" s="179"/>
      <c r="AX72" s="179"/>
      <c r="AY72" s="179"/>
      <c r="AZ72" s="179"/>
      <c r="BA72" s="179"/>
      <c r="BB72" s="179"/>
      <c r="BC72" s="179"/>
      <c r="BD72" s="179"/>
      <c r="BE72" s="179"/>
      <c r="BF72" s="179"/>
      <c r="BG72" s="195"/>
      <c r="BH72" s="195"/>
    </row>
    <row r="73" spans="1:60" ht="11.2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row>
    <row r="74" spans="1:60" ht="4.5" customHeight="1">
      <c r="A74" s="2"/>
      <c r="B74" s="353" t="str">
        <f>IF(Roster!$A$13=0,"","#"&amp;Roster!$A$13)</f>
        <v>#12</v>
      </c>
      <c r="C74" s="179"/>
      <c r="D74" s="179"/>
      <c r="E74" s="179"/>
      <c r="F74" s="179"/>
      <c r="G74" s="179"/>
      <c r="H74" s="179"/>
      <c r="I74" s="179"/>
      <c r="J74" s="179"/>
      <c r="K74" s="179"/>
      <c r="L74" s="179"/>
      <c r="M74" s="179"/>
      <c r="N74" s="179"/>
      <c r="O74" s="179"/>
      <c r="P74" s="2"/>
      <c r="Q74" s="353" t="str">
        <f>IF(Roster!$A$14=0,"","#"&amp;Roster!$A$14)</f>
        <v>#13</v>
      </c>
      <c r="R74" s="179"/>
      <c r="S74" s="179"/>
      <c r="T74" s="179"/>
      <c r="U74" s="179"/>
      <c r="V74" s="179"/>
      <c r="W74" s="179"/>
      <c r="X74" s="179"/>
      <c r="Y74" s="179"/>
      <c r="Z74" s="179"/>
      <c r="AA74" s="179"/>
      <c r="AB74" s="179"/>
      <c r="AC74" s="179"/>
      <c r="AD74" s="179"/>
      <c r="AE74" s="2"/>
      <c r="AF74" s="353" t="str">
        <f>IF(Roster!$A$15=0,"","#"&amp;Roster!$A$15)</f>
        <v>#14</v>
      </c>
      <c r="AG74" s="179"/>
      <c r="AH74" s="179"/>
      <c r="AI74" s="179"/>
      <c r="AJ74" s="179"/>
      <c r="AK74" s="179"/>
      <c r="AL74" s="179"/>
      <c r="AM74" s="179"/>
      <c r="AN74" s="179"/>
      <c r="AO74" s="179"/>
      <c r="AP74" s="179"/>
      <c r="AQ74" s="179"/>
      <c r="AR74" s="179"/>
      <c r="AS74" s="179"/>
      <c r="AT74" s="2"/>
      <c r="AU74" s="353" t="str">
        <f>IF(Roster!$A$16=0,"","#"&amp;Roster!$A$16)</f>
        <v>#15</v>
      </c>
      <c r="AV74" s="179"/>
      <c r="AW74" s="179"/>
      <c r="AX74" s="179"/>
      <c r="AY74" s="179"/>
      <c r="AZ74" s="179"/>
      <c r="BA74" s="179"/>
      <c r="BB74" s="179"/>
      <c r="BC74" s="179"/>
      <c r="BD74" s="179"/>
      <c r="BE74" s="179"/>
      <c r="BF74" s="179"/>
      <c r="BG74" s="179"/>
      <c r="BH74" s="179"/>
    </row>
    <row r="75" spans="1:60" ht="15" customHeight="1">
      <c r="A75" s="2"/>
      <c r="B75" s="228"/>
      <c r="C75" s="351" t="str">
        <f>IF(Roster!$B$13=0,"",Roster!$B$13)</f>
        <v>Slimer</v>
      </c>
      <c r="D75" s="236"/>
      <c r="E75" s="236"/>
      <c r="F75" s="236"/>
      <c r="G75" s="236"/>
      <c r="H75" s="236"/>
      <c r="I75" s="236"/>
      <c r="J75" s="236"/>
      <c r="K75" s="236"/>
      <c r="L75" s="236"/>
      <c r="M75" s="236"/>
      <c r="N75" s="237"/>
      <c r="O75" s="179"/>
      <c r="P75" s="2"/>
      <c r="Q75" s="228"/>
      <c r="R75" s="351" t="str">
        <f>IF(Roster!$B$14=0,"",Roster!$B$14)</f>
        <v/>
      </c>
      <c r="S75" s="236"/>
      <c r="T75" s="236"/>
      <c r="U75" s="236"/>
      <c r="V75" s="236"/>
      <c r="W75" s="236"/>
      <c r="X75" s="236"/>
      <c r="Y75" s="236"/>
      <c r="Z75" s="236"/>
      <c r="AA75" s="236"/>
      <c r="AB75" s="236"/>
      <c r="AC75" s="237"/>
      <c r="AD75" s="179"/>
      <c r="AE75" s="2"/>
      <c r="AF75" s="228"/>
      <c r="AG75" s="351" t="str">
        <f>IF(Roster!$B$15=0,"",Roster!$B$15)</f>
        <v/>
      </c>
      <c r="AH75" s="236"/>
      <c r="AI75" s="236"/>
      <c r="AJ75" s="236"/>
      <c r="AK75" s="236"/>
      <c r="AL75" s="236"/>
      <c r="AM75" s="236"/>
      <c r="AN75" s="236"/>
      <c r="AO75" s="236"/>
      <c r="AP75" s="236"/>
      <c r="AQ75" s="236"/>
      <c r="AR75" s="237"/>
      <c r="AS75" s="179"/>
      <c r="AT75" s="2"/>
      <c r="AU75" s="228"/>
      <c r="AV75" s="351" t="str">
        <f>IF(Roster!$B$16=0,"",Roster!$B$16)</f>
        <v/>
      </c>
      <c r="AW75" s="236"/>
      <c r="AX75" s="236"/>
      <c r="AY75" s="236"/>
      <c r="AZ75" s="236"/>
      <c r="BA75" s="236"/>
      <c r="BB75" s="236"/>
      <c r="BC75" s="236"/>
      <c r="BD75" s="236"/>
      <c r="BE75" s="236"/>
      <c r="BF75" s="236"/>
      <c r="BG75" s="237"/>
      <c r="BH75" s="179"/>
    </row>
    <row r="76" spans="1:60" ht="11.25" customHeight="1">
      <c r="A76" s="2"/>
      <c r="B76" s="229"/>
      <c r="C76" s="338" t="str">
        <f>IF(Roster!$C$13=0,"",Roster!$C$13)</f>
        <v>Wraiths</v>
      </c>
      <c r="D76" s="236"/>
      <c r="E76" s="236"/>
      <c r="F76" s="236"/>
      <c r="G76" s="236"/>
      <c r="H76" s="236"/>
      <c r="I76" s="236"/>
      <c r="J76" s="236"/>
      <c r="K76" s="236"/>
      <c r="L76" s="236"/>
      <c r="M76" s="236"/>
      <c r="N76" s="237"/>
      <c r="O76" s="180"/>
      <c r="P76" s="2"/>
      <c r="Q76" s="229"/>
      <c r="R76" s="338" t="str">
        <f>IF(Roster!$C$14=0,"",Roster!$C$14)</f>
        <v/>
      </c>
      <c r="S76" s="236"/>
      <c r="T76" s="236"/>
      <c r="U76" s="236"/>
      <c r="V76" s="236"/>
      <c r="W76" s="236"/>
      <c r="X76" s="236"/>
      <c r="Y76" s="236"/>
      <c r="Z76" s="236"/>
      <c r="AA76" s="236"/>
      <c r="AB76" s="236"/>
      <c r="AC76" s="237"/>
      <c r="AD76" s="180"/>
      <c r="AE76" s="2"/>
      <c r="AF76" s="229"/>
      <c r="AG76" s="338" t="str">
        <f>IF(Roster!$C$15=0,"",Roster!$C$15)</f>
        <v/>
      </c>
      <c r="AH76" s="236"/>
      <c r="AI76" s="236"/>
      <c r="AJ76" s="236"/>
      <c r="AK76" s="236"/>
      <c r="AL76" s="236"/>
      <c r="AM76" s="236"/>
      <c r="AN76" s="236"/>
      <c r="AO76" s="236"/>
      <c r="AP76" s="236"/>
      <c r="AQ76" s="236"/>
      <c r="AR76" s="237"/>
      <c r="AS76" s="180"/>
      <c r="AT76" s="2"/>
      <c r="AU76" s="229"/>
      <c r="AV76" s="338" t="str">
        <f>IF(Roster!$C$16=0,"",Roster!$C$16)</f>
        <v/>
      </c>
      <c r="AW76" s="236"/>
      <c r="AX76" s="236"/>
      <c r="AY76" s="236"/>
      <c r="AZ76" s="236"/>
      <c r="BA76" s="236"/>
      <c r="BB76" s="236"/>
      <c r="BC76" s="236"/>
      <c r="BD76" s="236"/>
      <c r="BE76" s="236"/>
      <c r="BF76" s="236"/>
      <c r="BG76" s="237"/>
      <c r="BH76" s="180"/>
    </row>
    <row r="77" spans="1:60" ht="11.25" customHeight="1">
      <c r="A77" s="2"/>
      <c r="B77" s="183" t="str">
        <f>IF(Roster!$J$1=0,"",Roster!$J$1)</f>
        <v>MA</v>
      </c>
      <c r="C77" s="339"/>
      <c r="D77" s="340"/>
      <c r="E77" s="340"/>
      <c r="F77" s="340"/>
      <c r="G77" s="340"/>
      <c r="H77" s="340"/>
      <c r="I77" s="340"/>
      <c r="J77" s="340"/>
      <c r="K77" s="340"/>
      <c r="L77" s="340"/>
      <c r="M77" s="340"/>
      <c r="N77" s="341"/>
      <c r="O77" s="179"/>
      <c r="P77" s="2"/>
      <c r="Q77" s="183" t="str">
        <f>IF(Roster!$J$1=0,"",Roster!$J$1)</f>
        <v>MA</v>
      </c>
      <c r="R77" s="339"/>
      <c r="S77" s="340"/>
      <c r="T77" s="340"/>
      <c r="U77" s="340"/>
      <c r="V77" s="340"/>
      <c r="W77" s="340"/>
      <c r="X77" s="340"/>
      <c r="Y77" s="340"/>
      <c r="Z77" s="340"/>
      <c r="AA77" s="340"/>
      <c r="AB77" s="340"/>
      <c r="AC77" s="341"/>
      <c r="AD77" s="179"/>
      <c r="AE77" s="2"/>
      <c r="AF77" s="183" t="str">
        <f>IF(Roster!$J$1=0,"",Roster!$J$1)</f>
        <v>MA</v>
      </c>
      <c r="AG77" s="339"/>
      <c r="AH77" s="340"/>
      <c r="AI77" s="340"/>
      <c r="AJ77" s="340"/>
      <c r="AK77" s="340"/>
      <c r="AL77" s="340"/>
      <c r="AM77" s="340"/>
      <c r="AN77" s="340"/>
      <c r="AO77" s="340"/>
      <c r="AP77" s="340"/>
      <c r="AQ77" s="340"/>
      <c r="AR77" s="341"/>
      <c r="AS77" s="179"/>
      <c r="AT77" s="2"/>
      <c r="AU77" s="183" t="str">
        <f>IF(Roster!$J$1=0,"",Roster!$J$1)</f>
        <v>MA</v>
      </c>
      <c r="AV77" s="339"/>
      <c r="AW77" s="340"/>
      <c r="AX77" s="340"/>
      <c r="AY77" s="340"/>
      <c r="AZ77" s="340"/>
      <c r="BA77" s="340"/>
      <c r="BB77" s="340"/>
      <c r="BC77" s="340"/>
      <c r="BD77" s="340"/>
      <c r="BE77" s="340"/>
      <c r="BF77" s="340"/>
      <c r="BG77" s="341"/>
      <c r="BH77" s="179"/>
    </row>
    <row r="78" spans="1:60" ht="37.5" customHeight="1">
      <c r="A78" s="2"/>
      <c r="B78" s="185">
        <f>IF(Roster!$J$13=0,"",Roster!$J$13)</f>
        <v>6</v>
      </c>
      <c r="C78" s="342"/>
      <c r="D78" s="261"/>
      <c r="E78" s="261"/>
      <c r="F78" s="261"/>
      <c r="G78" s="261"/>
      <c r="H78" s="261"/>
      <c r="I78" s="261"/>
      <c r="J78" s="261"/>
      <c r="K78" s="261"/>
      <c r="L78" s="261"/>
      <c r="M78" s="261"/>
      <c r="N78" s="328"/>
      <c r="O78" s="179"/>
      <c r="P78" s="2"/>
      <c r="Q78" s="185" t="str">
        <f>IF(Roster!$J$14=0,"",Roster!$J$14)</f>
        <v/>
      </c>
      <c r="R78" s="342"/>
      <c r="S78" s="261"/>
      <c r="T78" s="261"/>
      <c r="U78" s="261"/>
      <c r="V78" s="261"/>
      <c r="W78" s="261"/>
      <c r="X78" s="261"/>
      <c r="Y78" s="261"/>
      <c r="Z78" s="261"/>
      <c r="AA78" s="261"/>
      <c r="AB78" s="261"/>
      <c r="AC78" s="328"/>
      <c r="AD78" s="179"/>
      <c r="AE78" s="2"/>
      <c r="AF78" s="185" t="str">
        <f>IF(Roster!$J$15=0,"",Roster!$J$15)</f>
        <v/>
      </c>
      <c r="AG78" s="342"/>
      <c r="AH78" s="261"/>
      <c r="AI78" s="261"/>
      <c r="AJ78" s="261"/>
      <c r="AK78" s="261"/>
      <c r="AL78" s="261"/>
      <c r="AM78" s="261"/>
      <c r="AN78" s="261"/>
      <c r="AO78" s="261"/>
      <c r="AP78" s="261"/>
      <c r="AQ78" s="261"/>
      <c r="AR78" s="328"/>
      <c r="AS78" s="179"/>
      <c r="AT78" s="2"/>
      <c r="AU78" s="185" t="str">
        <f>IF(Roster!$J$16=0,"",Roster!$J$16)</f>
        <v/>
      </c>
      <c r="AV78" s="342"/>
      <c r="AW78" s="261"/>
      <c r="AX78" s="261"/>
      <c r="AY78" s="261"/>
      <c r="AZ78" s="261"/>
      <c r="BA78" s="261"/>
      <c r="BB78" s="261"/>
      <c r="BC78" s="261"/>
      <c r="BD78" s="261"/>
      <c r="BE78" s="261"/>
      <c r="BF78" s="261"/>
      <c r="BG78" s="328"/>
      <c r="BH78" s="179"/>
    </row>
    <row r="79" spans="1:60" ht="11.25" customHeight="1">
      <c r="A79" s="2"/>
      <c r="B79" s="183" t="str">
        <f>IF(Roster!$K$1=0,"",Roster!$K$1)</f>
        <v>ST</v>
      </c>
      <c r="C79" s="342"/>
      <c r="D79" s="261"/>
      <c r="E79" s="261"/>
      <c r="F79" s="261"/>
      <c r="G79" s="261"/>
      <c r="H79" s="261"/>
      <c r="I79" s="261"/>
      <c r="J79" s="261"/>
      <c r="K79" s="261"/>
      <c r="L79" s="261"/>
      <c r="M79" s="261"/>
      <c r="N79" s="328"/>
      <c r="O79" s="179"/>
      <c r="P79" s="2"/>
      <c r="Q79" s="183" t="str">
        <f>IF(Roster!$K$1=0,"",Roster!$K$1)</f>
        <v>ST</v>
      </c>
      <c r="R79" s="342"/>
      <c r="S79" s="261"/>
      <c r="T79" s="261"/>
      <c r="U79" s="261"/>
      <c r="V79" s="261"/>
      <c r="W79" s="261"/>
      <c r="X79" s="261"/>
      <c r="Y79" s="261"/>
      <c r="Z79" s="261"/>
      <c r="AA79" s="261"/>
      <c r="AB79" s="261"/>
      <c r="AC79" s="328"/>
      <c r="AD79" s="179"/>
      <c r="AE79" s="2"/>
      <c r="AF79" s="183" t="str">
        <f>IF(Roster!$K$1=0,"",Roster!$K$1)</f>
        <v>ST</v>
      </c>
      <c r="AG79" s="342"/>
      <c r="AH79" s="261"/>
      <c r="AI79" s="261"/>
      <c r="AJ79" s="261"/>
      <c r="AK79" s="261"/>
      <c r="AL79" s="261"/>
      <c r="AM79" s="261"/>
      <c r="AN79" s="261"/>
      <c r="AO79" s="261"/>
      <c r="AP79" s="261"/>
      <c r="AQ79" s="261"/>
      <c r="AR79" s="328"/>
      <c r="AS79" s="179"/>
      <c r="AT79" s="2"/>
      <c r="AU79" s="183" t="str">
        <f>IF(Roster!$K$1=0,"",Roster!$K$1)</f>
        <v>ST</v>
      </c>
      <c r="AV79" s="342"/>
      <c r="AW79" s="261"/>
      <c r="AX79" s="261"/>
      <c r="AY79" s="261"/>
      <c r="AZ79" s="261"/>
      <c r="BA79" s="261"/>
      <c r="BB79" s="261"/>
      <c r="BC79" s="261"/>
      <c r="BD79" s="261"/>
      <c r="BE79" s="261"/>
      <c r="BF79" s="261"/>
      <c r="BG79" s="328"/>
      <c r="BH79" s="179"/>
    </row>
    <row r="80" spans="1:60" ht="37.5" customHeight="1">
      <c r="A80" s="2"/>
      <c r="B80" s="185">
        <f>IF(Roster!$K$13=0,"",Roster!$K$13)</f>
        <v>3</v>
      </c>
      <c r="C80" s="342"/>
      <c r="D80" s="261"/>
      <c r="E80" s="261"/>
      <c r="F80" s="261"/>
      <c r="G80" s="261"/>
      <c r="H80" s="261"/>
      <c r="I80" s="261"/>
      <c r="J80" s="261"/>
      <c r="K80" s="261"/>
      <c r="L80" s="261"/>
      <c r="M80" s="261"/>
      <c r="N80" s="328"/>
      <c r="O80" s="179"/>
      <c r="P80" s="2"/>
      <c r="Q80" s="185" t="str">
        <f>IF(Roster!$K$14=0,"",Roster!$K$14)</f>
        <v/>
      </c>
      <c r="R80" s="342"/>
      <c r="S80" s="261"/>
      <c r="T80" s="261"/>
      <c r="U80" s="261"/>
      <c r="V80" s="261"/>
      <c r="W80" s="261"/>
      <c r="X80" s="261"/>
      <c r="Y80" s="261"/>
      <c r="Z80" s="261"/>
      <c r="AA80" s="261"/>
      <c r="AB80" s="261"/>
      <c r="AC80" s="328"/>
      <c r="AD80" s="179"/>
      <c r="AE80" s="2"/>
      <c r="AF80" s="185" t="str">
        <f>IF(Roster!$K$15=0,"",Roster!$K$15)</f>
        <v/>
      </c>
      <c r="AG80" s="342"/>
      <c r="AH80" s="261"/>
      <c r="AI80" s="261"/>
      <c r="AJ80" s="261"/>
      <c r="AK80" s="261"/>
      <c r="AL80" s="261"/>
      <c r="AM80" s="261"/>
      <c r="AN80" s="261"/>
      <c r="AO80" s="261"/>
      <c r="AP80" s="261"/>
      <c r="AQ80" s="261"/>
      <c r="AR80" s="328"/>
      <c r="AS80" s="179"/>
      <c r="AT80" s="2"/>
      <c r="AU80" s="185" t="str">
        <f>IF(Roster!$K$16=0,"",Roster!$K$16)</f>
        <v/>
      </c>
      <c r="AV80" s="342"/>
      <c r="AW80" s="261"/>
      <c r="AX80" s="261"/>
      <c r="AY80" s="261"/>
      <c r="AZ80" s="261"/>
      <c r="BA80" s="261"/>
      <c r="BB80" s="261"/>
      <c r="BC80" s="261"/>
      <c r="BD80" s="261"/>
      <c r="BE80" s="261"/>
      <c r="BF80" s="261"/>
      <c r="BG80" s="328"/>
      <c r="BH80" s="179"/>
    </row>
    <row r="81" spans="1:60" ht="11.25" customHeight="1">
      <c r="A81" s="2"/>
      <c r="B81" s="183" t="str">
        <f>IF(Roster!$L$1=0,"",Roster!$L$1)</f>
        <v>AG</v>
      </c>
      <c r="C81" s="342"/>
      <c r="D81" s="261"/>
      <c r="E81" s="261"/>
      <c r="F81" s="261"/>
      <c r="G81" s="261"/>
      <c r="H81" s="261"/>
      <c r="I81" s="261"/>
      <c r="J81" s="261"/>
      <c r="K81" s="261"/>
      <c r="L81" s="261"/>
      <c r="M81" s="261"/>
      <c r="N81" s="328"/>
      <c r="O81" s="179"/>
      <c r="P81" s="2"/>
      <c r="Q81" s="183" t="str">
        <f>IF(Roster!$L$1=0,"",Roster!$L$1)</f>
        <v>AG</v>
      </c>
      <c r="R81" s="342"/>
      <c r="S81" s="261"/>
      <c r="T81" s="261"/>
      <c r="U81" s="261"/>
      <c r="V81" s="261"/>
      <c r="W81" s="261"/>
      <c r="X81" s="261"/>
      <c r="Y81" s="261"/>
      <c r="Z81" s="261"/>
      <c r="AA81" s="261"/>
      <c r="AB81" s="261"/>
      <c r="AC81" s="328"/>
      <c r="AD81" s="179"/>
      <c r="AE81" s="2"/>
      <c r="AF81" s="183" t="str">
        <f>IF(Roster!$L$1=0,"",Roster!$L$1)</f>
        <v>AG</v>
      </c>
      <c r="AG81" s="342"/>
      <c r="AH81" s="261"/>
      <c r="AI81" s="261"/>
      <c r="AJ81" s="261"/>
      <c r="AK81" s="261"/>
      <c r="AL81" s="261"/>
      <c r="AM81" s="261"/>
      <c r="AN81" s="261"/>
      <c r="AO81" s="261"/>
      <c r="AP81" s="261"/>
      <c r="AQ81" s="261"/>
      <c r="AR81" s="328"/>
      <c r="AS81" s="179"/>
      <c r="AT81" s="2"/>
      <c r="AU81" s="183" t="str">
        <f>IF(Roster!$L$1=0,"",Roster!$L$1)</f>
        <v>AG</v>
      </c>
      <c r="AV81" s="342"/>
      <c r="AW81" s="261"/>
      <c r="AX81" s="261"/>
      <c r="AY81" s="261"/>
      <c r="AZ81" s="261"/>
      <c r="BA81" s="261"/>
      <c r="BB81" s="261"/>
      <c r="BC81" s="261"/>
      <c r="BD81" s="261"/>
      <c r="BE81" s="261"/>
      <c r="BF81" s="261"/>
      <c r="BG81" s="328"/>
      <c r="BH81" s="179"/>
    </row>
    <row r="82" spans="1:60" ht="37.5" customHeight="1">
      <c r="A82" s="2"/>
      <c r="B82" s="185" t="str">
        <f>IF(Roster!$L$13=0&amp;"+","",Roster!$L$13)</f>
        <v>3+</v>
      </c>
      <c r="C82" s="342"/>
      <c r="D82" s="261"/>
      <c r="E82" s="261"/>
      <c r="F82" s="261"/>
      <c r="G82" s="261"/>
      <c r="H82" s="261"/>
      <c r="I82" s="261"/>
      <c r="J82" s="261"/>
      <c r="K82" s="261"/>
      <c r="L82" s="261"/>
      <c r="M82" s="261"/>
      <c r="N82" s="328"/>
      <c r="O82" s="179"/>
      <c r="P82" s="2"/>
      <c r="Q82" s="185" t="str">
        <f>IF(Roster!$L$14=0&amp;"+","",Roster!$L$14)</f>
        <v/>
      </c>
      <c r="R82" s="342"/>
      <c r="S82" s="261"/>
      <c r="T82" s="261"/>
      <c r="U82" s="261"/>
      <c r="V82" s="261"/>
      <c r="W82" s="261"/>
      <c r="X82" s="261"/>
      <c r="Y82" s="261"/>
      <c r="Z82" s="261"/>
      <c r="AA82" s="261"/>
      <c r="AB82" s="261"/>
      <c r="AC82" s="328"/>
      <c r="AD82" s="179"/>
      <c r="AE82" s="2"/>
      <c r="AF82" s="185" t="str">
        <f>IF(Roster!$L$15=0&amp;"+","",Roster!$L$15)</f>
        <v/>
      </c>
      <c r="AG82" s="342"/>
      <c r="AH82" s="261"/>
      <c r="AI82" s="261"/>
      <c r="AJ82" s="261"/>
      <c r="AK82" s="261"/>
      <c r="AL82" s="261"/>
      <c r="AM82" s="261"/>
      <c r="AN82" s="261"/>
      <c r="AO82" s="261"/>
      <c r="AP82" s="261"/>
      <c r="AQ82" s="261"/>
      <c r="AR82" s="328"/>
      <c r="AS82" s="179"/>
      <c r="AT82" s="2"/>
      <c r="AU82" s="185" t="str">
        <f>IF(Roster!$L$16=0&amp;"+","",Roster!$L$16)</f>
        <v/>
      </c>
      <c r="AV82" s="342"/>
      <c r="AW82" s="261"/>
      <c r="AX82" s="261"/>
      <c r="AY82" s="261"/>
      <c r="AZ82" s="261"/>
      <c r="BA82" s="261"/>
      <c r="BB82" s="261"/>
      <c r="BC82" s="261"/>
      <c r="BD82" s="261"/>
      <c r="BE82" s="261"/>
      <c r="BF82" s="261"/>
      <c r="BG82" s="328"/>
      <c r="BH82" s="179"/>
    </row>
    <row r="83" spans="1:60" ht="11.25" customHeight="1">
      <c r="A83" s="2"/>
      <c r="B83" s="183" t="str">
        <f>IF(Roster!$M$1=0,"",Roster!$M$1)</f>
        <v>PA</v>
      </c>
      <c r="C83" s="342"/>
      <c r="D83" s="261"/>
      <c r="E83" s="261"/>
      <c r="F83" s="261"/>
      <c r="G83" s="261"/>
      <c r="H83" s="261"/>
      <c r="I83" s="261"/>
      <c r="J83" s="261"/>
      <c r="K83" s="261"/>
      <c r="L83" s="261"/>
      <c r="M83" s="261"/>
      <c r="N83" s="328"/>
      <c r="O83" s="188"/>
      <c r="P83" s="2"/>
      <c r="Q83" s="183" t="str">
        <f>IF(Roster!$M$1=0,"",Roster!$M$1)</f>
        <v>PA</v>
      </c>
      <c r="R83" s="342"/>
      <c r="S83" s="261"/>
      <c r="T83" s="261"/>
      <c r="U83" s="261"/>
      <c r="V83" s="261"/>
      <c r="W83" s="261"/>
      <c r="X83" s="261"/>
      <c r="Y83" s="261"/>
      <c r="Z83" s="261"/>
      <c r="AA83" s="261"/>
      <c r="AB83" s="261"/>
      <c r="AC83" s="328"/>
      <c r="AD83" s="188"/>
      <c r="AE83" s="2"/>
      <c r="AF83" s="183" t="str">
        <f>IF(Roster!$M$1=0,"",Roster!$M$1)</f>
        <v>PA</v>
      </c>
      <c r="AG83" s="342"/>
      <c r="AH83" s="261"/>
      <c r="AI83" s="261"/>
      <c r="AJ83" s="261"/>
      <c r="AK83" s="261"/>
      <c r="AL83" s="261"/>
      <c r="AM83" s="261"/>
      <c r="AN83" s="261"/>
      <c r="AO83" s="261"/>
      <c r="AP83" s="261"/>
      <c r="AQ83" s="261"/>
      <c r="AR83" s="328"/>
      <c r="AS83" s="188"/>
      <c r="AT83" s="2"/>
      <c r="AU83" s="183" t="str">
        <f>IF(Roster!$M$1=0,"",Roster!$M$1)</f>
        <v>PA</v>
      </c>
      <c r="AV83" s="342"/>
      <c r="AW83" s="261"/>
      <c r="AX83" s="261"/>
      <c r="AY83" s="261"/>
      <c r="AZ83" s="261"/>
      <c r="BA83" s="261"/>
      <c r="BB83" s="261"/>
      <c r="BC83" s="261"/>
      <c r="BD83" s="261"/>
      <c r="BE83" s="261"/>
      <c r="BF83" s="261"/>
      <c r="BG83" s="328"/>
      <c r="BH83" s="188"/>
    </row>
    <row r="84" spans="1:60" ht="6" customHeight="1">
      <c r="A84" s="2"/>
      <c r="B84" s="346" t="str">
        <f>IF(Roster!$M$13=0&amp;"+","",Roster!$M$13)</f>
        <v/>
      </c>
      <c r="C84" s="343"/>
      <c r="D84" s="344"/>
      <c r="E84" s="344"/>
      <c r="F84" s="344"/>
      <c r="G84" s="344"/>
      <c r="H84" s="344"/>
      <c r="I84" s="344"/>
      <c r="J84" s="344"/>
      <c r="K84" s="344"/>
      <c r="L84" s="344"/>
      <c r="M84" s="344"/>
      <c r="N84" s="345"/>
      <c r="O84" s="190"/>
      <c r="P84" s="2"/>
      <c r="Q84" s="346" t="str">
        <f>IF(Roster!$M$14=0&amp;"+","",Roster!$M$14)</f>
        <v/>
      </c>
      <c r="R84" s="343"/>
      <c r="S84" s="344"/>
      <c r="T84" s="344"/>
      <c r="U84" s="344"/>
      <c r="V84" s="344"/>
      <c r="W84" s="344"/>
      <c r="X84" s="344"/>
      <c r="Y84" s="344"/>
      <c r="Z84" s="344"/>
      <c r="AA84" s="344"/>
      <c r="AB84" s="344"/>
      <c r="AC84" s="345"/>
      <c r="AD84" s="190"/>
      <c r="AE84" s="2"/>
      <c r="AF84" s="346" t="str">
        <f>IF(Roster!$M$15=0&amp;"+","",Roster!$M$15)</f>
        <v/>
      </c>
      <c r="AG84" s="343"/>
      <c r="AH84" s="344"/>
      <c r="AI84" s="344"/>
      <c r="AJ84" s="344"/>
      <c r="AK84" s="344"/>
      <c r="AL84" s="344"/>
      <c r="AM84" s="344"/>
      <c r="AN84" s="344"/>
      <c r="AO84" s="344"/>
      <c r="AP84" s="344"/>
      <c r="AQ84" s="344"/>
      <c r="AR84" s="345"/>
      <c r="AS84" s="190"/>
      <c r="AT84" s="2"/>
      <c r="AU84" s="346" t="str">
        <f>IF(Roster!$M$16=0&amp;"+","",Roster!$M$16)</f>
        <v/>
      </c>
      <c r="AV84" s="343"/>
      <c r="AW84" s="344"/>
      <c r="AX84" s="344"/>
      <c r="AY84" s="344"/>
      <c r="AZ84" s="344"/>
      <c r="BA84" s="344"/>
      <c r="BB84" s="344"/>
      <c r="BC84" s="344"/>
      <c r="BD84" s="344"/>
      <c r="BE84" s="344"/>
      <c r="BF84" s="344"/>
      <c r="BG84" s="345"/>
      <c r="BH84" s="190"/>
    </row>
    <row r="85" spans="1:60" ht="4.5" customHeight="1">
      <c r="A85" s="2"/>
      <c r="B85" s="228"/>
      <c r="C85" s="182"/>
      <c r="D85" s="179"/>
      <c r="E85" s="189"/>
      <c r="F85" s="179"/>
      <c r="G85" s="189"/>
      <c r="H85" s="179"/>
      <c r="I85" s="189"/>
      <c r="J85" s="179"/>
      <c r="K85" s="189"/>
      <c r="L85" s="179"/>
      <c r="M85" s="189"/>
      <c r="N85" s="179"/>
      <c r="O85" s="190"/>
      <c r="P85" s="2"/>
      <c r="Q85" s="228"/>
      <c r="R85" s="182"/>
      <c r="S85" s="179"/>
      <c r="T85" s="189"/>
      <c r="U85" s="179"/>
      <c r="V85" s="189"/>
      <c r="W85" s="179"/>
      <c r="X85" s="189"/>
      <c r="Y85" s="179"/>
      <c r="Z85" s="189"/>
      <c r="AA85" s="179"/>
      <c r="AB85" s="189"/>
      <c r="AC85" s="179"/>
      <c r="AD85" s="190"/>
      <c r="AE85" s="2"/>
      <c r="AF85" s="228"/>
      <c r="AG85" s="182"/>
      <c r="AH85" s="179"/>
      <c r="AI85" s="189"/>
      <c r="AJ85" s="179"/>
      <c r="AK85" s="189"/>
      <c r="AL85" s="179"/>
      <c r="AM85" s="189"/>
      <c r="AN85" s="179"/>
      <c r="AO85" s="189"/>
      <c r="AP85" s="179"/>
      <c r="AQ85" s="189"/>
      <c r="AR85" s="179"/>
      <c r="AS85" s="190"/>
      <c r="AT85" s="2"/>
      <c r="AU85" s="228"/>
      <c r="AV85" s="182"/>
      <c r="AW85" s="179"/>
      <c r="AX85" s="189"/>
      <c r="AY85" s="179"/>
      <c r="AZ85" s="189"/>
      <c r="BA85" s="179"/>
      <c r="BB85" s="189"/>
      <c r="BC85" s="179"/>
      <c r="BD85" s="189"/>
      <c r="BE85" s="179"/>
      <c r="BF85" s="189"/>
      <c r="BG85" s="179"/>
      <c r="BH85" s="190"/>
    </row>
    <row r="86" spans="1:60" ht="11.25" customHeight="1">
      <c r="A86" s="2"/>
      <c r="B86" s="228"/>
      <c r="C86" s="182"/>
      <c r="D86" s="191" t="str">
        <f>IF(Roster!$AA$1=0,"",Roster!$AA$1)</f>
        <v>SPE</v>
      </c>
      <c r="E86" s="189"/>
      <c r="F86" s="191" t="str">
        <f>IF(Roster!$AB$1=0,"",Roster!$AB$1)</f>
        <v>CP</v>
      </c>
      <c r="G86" s="189"/>
      <c r="H86" s="191" t="str">
        <f>IF(Roster!$AC$1=0,"",Roster!$AC$1)</f>
        <v>TD</v>
      </c>
      <c r="I86" s="189"/>
      <c r="J86" s="191" t="str">
        <f>IF(Roster!$AD$1=0,"",Roster!$AD$1)</f>
        <v>DEF</v>
      </c>
      <c r="K86" s="189"/>
      <c r="L86" s="191" t="str">
        <f>IF(Roster!$AE$1=0,"",Roster!$AE$1)</f>
        <v>INT</v>
      </c>
      <c r="M86" s="189"/>
      <c r="N86" s="191" t="str">
        <f>IF(Roster!$AF$1=0,"",Roster!$AF$1)</f>
        <v>BH</v>
      </c>
      <c r="O86" s="190"/>
      <c r="P86" s="2"/>
      <c r="Q86" s="228"/>
      <c r="R86" s="182"/>
      <c r="S86" s="191" t="str">
        <f>IF(Roster!$AA$1=0,"",Roster!$AA$1)</f>
        <v>SPE</v>
      </c>
      <c r="T86" s="189"/>
      <c r="U86" s="191" t="str">
        <f>IF(Roster!$AB$1=0,"",Roster!$AB$1)</f>
        <v>CP</v>
      </c>
      <c r="V86" s="189"/>
      <c r="W86" s="191" t="str">
        <f>IF(Roster!$AC$1=0,"",Roster!$AC$1)</f>
        <v>TD</v>
      </c>
      <c r="X86" s="189"/>
      <c r="Y86" s="191" t="str">
        <f>IF(Roster!$AD$1=0,"",Roster!$AD$1)</f>
        <v>DEF</v>
      </c>
      <c r="Z86" s="189"/>
      <c r="AA86" s="191" t="str">
        <f>IF(Roster!$AE$1=0,"",Roster!$AE$1)</f>
        <v>INT</v>
      </c>
      <c r="AB86" s="189"/>
      <c r="AC86" s="191" t="str">
        <f>IF(Roster!$AF$1=0,"",Roster!$AF$1)</f>
        <v>BH</v>
      </c>
      <c r="AD86" s="190"/>
      <c r="AE86" s="2"/>
      <c r="AF86" s="228"/>
      <c r="AG86" s="182"/>
      <c r="AH86" s="191" t="str">
        <f>IF(Roster!$AA$1=0,"",Roster!$AA$1)</f>
        <v>SPE</v>
      </c>
      <c r="AI86" s="189"/>
      <c r="AJ86" s="191" t="str">
        <f>IF(Roster!$AB$1=0,"",Roster!$AB$1)</f>
        <v>CP</v>
      </c>
      <c r="AK86" s="189"/>
      <c r="AL86" s="191" t="str">
        <f>IF(Roster!$AC$1=0,"",Roster!$AC$1)</f>
        <v>TD</v>
      </c>
      <c r="AM86" s="189"/>
      <c r="AN86" s="191" t="str">
        <f>IF(Roster!$AD$1=0,"",Roster!$AD$1)</f>
        <v>DEF</v>
      </c>
      <c r="AO86" s="189"/>
      <c r="AP86" s="191" t="str">
        <f>IF(Roster!$AE$1=0,"",Roster!$AE$1)</f>
        <v>INT</v>
      </c>
      <c r="AQ86" s="189"/>
      <c r="AR86" s="191" t="str">
        <f>IF(Roster!$AF$1=0,"",Roster!$AF$1)</f>
        <v>BH</v>
      </c>
      <c r="AS86" s="190"/>
      <c r="AT86" s="2"/>
      <c r="AU86" s="228"/>
      <c r="AV86" s="182"/>
      <c r="AW86" s="191" t="str">
        <f>IF(Roster!$AA$1=0,"",Roster!$AA$1)</f>
        <v>SPE</v>
      </c>
      <c r="AX86" s="189"/>
      <c r="AY86" s="191" t="str">
        <f>IF(Roster!$AB$1=0,"",Roster!$AB$1)</f>
        <v>CP</v>
      </c>
      <c r="AZ86" s="189"/>
      <c r="BA86" s="191" t="str">
        <f>IF(Roster!$AC$1=0,"",Roster!$AC$1)</f>
        <v>TD</v>
      </c>
      <c r="BB86" s="189"/>
      <c r="BC86" s="191" t="str">
        <f>IF(Roster!$AD$1=0,"",Roster!$AD$1)</f>
        <v>DEF</v>
      </c>
      <c r="BD86" s="189"/>
      <c r="BE86" s="191" t="str">
        <f>IF(Roster!$AE$1=0,"",Roster!$AE$1)</f>
        <v>INT</v>
      </c>
      <c r="BF86" s="189"/>
      <c r="BG86" s="191" t="str">
        <f>IF(Roster!$AF$1=0,"",Roster!$AF$1)</f>
        <v>BH</v>
      </c>
      <c r="BH86" s="190"/>
    </row>
    <row r="87" spans="1:60" ht="15" customHeight="1">
      <c r="A87" s="2"/>
      <c r="B87" s="228"/>
      <c r="C87" s="184"/>
      <c r="D87" s="192" t="str">
        <f>IF(Roster!$AA$13=0,"",Roster!$AA$13)</f>
        <v/>
      </c>
      <c r="E87" s="184"/>
      <c r="F87" s="192" t="str">
        <f>IF(Roster!$AB$13=0,"",Roster!$AB$13)</f>
        <v/>
      </c>
      <c r="G87" s="184"/>
      <c r="H87" s="192" t="str">
        <f>IF(Roster!$AC$13=0,"",Roster!$AC$13)</f>
        <v/>
      </c>
      <c r="I87" s="184"/>
      <c r="J87" s="192" t="str">
        <f>IF(Roster!$AD$13=0,"",Roster!$AD$13)</f>
        <v/>
      </c>
      <c r="K87" s="184"/>
      <c r="L87" s="192" t="str">
        <f>IF(Roster!$AE$13=0,"",Roster!$AE$13)</f>
        <v/>
      </c>
      <c r="M87" s="184"/>
      <c r="N87" s="192" t="str">
        <f>IF(Roster!$AF$13=0,"",Roster!$AF$13)</f>
        <v/>
      </c>
      <c r="O87" s="190"/>
      <c r="P87" s="2"/>
      <c r="Q87" s="228"/>
      <c r="R87" s="184"/>
      <c r="S87" s="192" t="str">
        <f>IF(Roster!$AA$14=0,"",Roster!$AA$14)</f>
        <v/>
      </c>
      <c r="T87" s="184"/>
      <c r="U87" s="192" t="str">
        <f>IF(Roster!$AB$14=0,"",Roster!$AB$14)</f>
        <v/>
      </c>
      <c r="V87" s="184"/>
      <c r="W87" s="192" t="str">
        <f>IF(Roster!$AC$14=0,"",Roster!$AC$14)</f>
        <v/>
      </c>
      <c r="X87" s="184"/>
      <c r="Y87" s="192" t="str">
        <f>IF(Roster!$AD$14=0,"",Roster!$AD$14)</f>
        <v/>
      </c>
      <c r="Z87" s="184"/>
      <c r="AA87" s="192" t="str">
        <f>IF(Roster!$AE$14=0,"",Roster!$AE$14)</f>
        <v/>
      </c>
      <c r="AB87" s="184"/>
      <c r="AC87" s="192" t="str">
        <f>IF(Roster!$AF$14=0,"",Roster!$AF$14)</f>
        <v/>
      </c>
      <c r="AD87" s="190"/>
      <c r="AE87" s="2"/>
      <c r="AF87" s="228"/>
      <c r="AG87" s="184"/>
      <c r="AH87" s="192" t="str">
        <f>IF(Roster!$AA$15=0,"",Roster!$AA$15)</f>
        <v/>
      </c>
      <c r="AI87" s="184"/>
      <c r="AJ87" s="192" t="str">
        <f>IF(Roster!$AB$15=0,"",Roster!$AB$15)</f>
        <v/>
      </c>
      <c r="AK87" s="184"/>
      <c r="AL87" s="192" t="str">
        <f>IF(Roster!$AC$15=0,"",Roster!$AC$15)</f>
        <v/>
      </c>
      <c r="AM87" s="184"/>
      <c r="AN87" s="192" t="str">
        <f>IF(Roster!$AD$15=0,"",Roster!$AD$15)</f>
        <v/>
      </c>
      <c r="AO87" s="184"/>
      <c r="AP87" s="192" t="str">
        <f>IF(Roster!$AE$15=0,"",Roster!$AE$15)</f>
        <v/>
      </c>
      <c r="AQ87" s="184"/>
      <c r="AR87" s="192" t="str">
        <f>IF(Roster!$AF$15=0,"",Roster!$AF$15)</f>
        <v/>
      </c>
      <c r="AS87" s="190"/>
      <c r="AT87" s="2"/>
      <c r="AU87" s="228"/>
      <c r="AV87" s="184"/>
      <c r="AW87" s="192" t="str">
        <f>IF(Roster!$AA$16=0,"",Roster!$AA$16)</f>
        <v/>
      </c>
      <c r="AX87" s="184"/>
      <c r="AY87" s="192" t="str">
        <f>IF(Roster!$AB$16=0,"",Roster!$AB$16)</f>
        <v/>
      </c>
      <c r="AZ87" s="184"/>
      <c r="BA87" s="192" t="str">
        <f>IF(Roster!$AC$16=0,"",Roster!$AC$16)</f>
        <v/>
      </c>
      <c r="BB87" s="184"/>
      <c r="BC87" s="192" t="str">
        <f>IF(Roster!$AD$16=0,"",Roster!$AD$16)</f>
        <v/>
      </c>
      <c r="BD87" s="184"/>
      <c r="BE87" s="192" t="str">
        <f>IF(Roster!$AE$16=0,"",Roster!$AE$16)</f>
        <v/>
      </c>
      <c r="BF87" s="184"/>
      <c r="BG87" s="192" t="str">
        <f>IF(Roster!$AF$16=0,"",Roster!$AF$16)</f>
        <v/>
      </c>
      <c r="BH87" s="190"/>
    </row>
    <row r="88" spans="1:60" ht="4.5" customHeight="1">
      <c r="A88" s="2"/>
      <c r="B88" s="229"/>
      <c r="C88" s="184"/>
      <c r="D88" s="193"/>
      <c r="E88" s="184"/>
      <c r="F88" s="193"/>
      <c r="G88" s="184"/>
      <c r="H88" s="193"/>
      <c r="I88" s="184"/>
      <c r="J88" s="193"/>
      <c r="K88" s="184"/>
      <c r="L88" s="193"/>
      <c r="M88" s="184"/>
      <c r="N88" s="193"/>
      <c r="O88" s="190"/>
      <c r="P88" s="2"/>
      <c r="Q88" s="229"/>
      <c r="R88" s="184"/>
      <c r="S88" s="193"/>
      <c r="T88" s="184"/>
      <c r="U88" s="193"/>
      <c r="V88" s="184"/>
      <c r="W88" s="193"/>
      <c r="X88" s="184"/>
      <c r="Y88" s="193"/>
      <c r="Z88" s="184"/>
      <c r="AA88" s="193"/>
      <c r="AB88" s="184"/>
      <c r="AC88" s="193"/>
      <c r="AD88" s="190"/>
      <c r="AE88" s="2"/>
      <c r="AF88" s="229"/>
      <c r="AG88" s="184"/>
      <c r="AH88" s="193"/>
      <c r="AI88" s="184"/>
      <c r="AJ88" s="193"/>
      <c r="AK88" s="184"/>
      <c r="AL88" s="193"/>
      <c r="AM88" s="184"/>
      <c r="AN88" s="193"/>
      <c r="AO88" s="184"/>
      <c r="AP88" s="193"/>
      <c r="AQ88" s="184"/>
      <c r="AR88" s="193"/>
      <c r="AS88" s="190"/>
      <c r="AT88" s="2"/>
      <c r="AU88" s="229"/>
      <c r="AV88" s="184"/>
      <c r="AW88" s="193"/>
      <c r="AX88" s="184"/>
      <c r="AY88" s="193"/>
      <c r="AZ88" s="184"/>
      <c r="BA88" s="193"/>
      <c r="BB88" s="184"/>
      <c r="BC88" s="193"/>
      <c r="BD88" s="184"/>
      <c r="BE88" s="193"/>
      <c r="BF88" s="184"/>
      <c r="BG88" s="193"/>
      <c r="BH88" s="190"/>
    </row>
    <row r="89" spans="1:60" ht="11.25" customHeight="1">
      <c r="A89" s="2"/>
      <c r="B89" s="183" t="str">
        <f>IF(Roster!$N$1=0,"",Roster!$N$1)</f>
        <v>AV</v>
      </c>
      <c r="C89" s="183"/>
      <c r="D89" s="191" t="str">
        <f>IF(Roster!$AF$1=0,"",Roster!$AF$1)</f>
        <v>BH</v>
      </c>
      <c r="E89" s="183"/>
      <c r="F89" s="191" t="str">
        <f>IF(Roster!$AG$1=0,"",Roster!$AG$1)</f>
        <v>SI</v>
      </c>
      <c r="G89" s="183"/>
      <c r="H89" s="191" t="str">
        <f>IF(Roster!$AH$1=0,"",Roster!$AH$1)</f>
        <v>KILL</v>
      </c>
      <c r="I89" s="183"/>
      <c r="J89" s="191" t="str">
        <f>IF(Roster!$AI$1=0,"",Roster!$AI$1)</f>
        <v>MVP</v>
      </c>
      <c r="K89" s="183"/>
      <c r="L89" s="191" t="str">
        <f>IF(Roster!$AI$1=0,"",Roster!$AI$1)</f>
        <v>MVP</v>
      </c>
      <c r="M89" s="183"/>
      <c r="N89" s="191" t="s">
        <v>309</v>
      </c>
      <c r="O89" s="179"/>
      <c r="P89" s="2"/>
      <c r="Q89" s="183" t="str">
        <f>IF(Roster!$N$1=0,"",Roster!$N$1)</f>
        <v>AV</v>
      </c>
      <c r="R89" s="183"/>
      <c r="S89" s="191" t="str">
        <f>IF(Roster!$AF$1=0,"",Roster!$AF$1)</f>
        <v>BH</v>
      </c>
      <c r="T89" s="183"/>
      <c r="U89" s="191" t="str">
        <f>IF(Roster!$AG$1=0,"",Roster!$AG$1)</f>
        <v>SI</v>
      </c>
      <c r="V89" s="183"/>
      <c r="W89" s="191" t="str">
        <f>IF(Roster!$AH$1=0,"",Roster!$AH$1)</f>
        <v>KILL</v>
      </c>
      <c r="X89" s="183"/>
      <c r="Y89" s="191" t="str">
        <f>IF(Roster!$AI$1=0,"",Roster!$AI$1)</f>
        <v>MVP</v>
      </c>
      <c r="Z89" s="183"/>
      <c r="AA89" s="191" t="str">
        <f>IF(Roster!$AI$1=0,"",Roster!$AI$1)</f>
        <v>MVP</v>
      </c>
      <c r="AB89" s="183"/>
      <c r="AC89" s="191" t="s">
        <v>309</v>
      </c>
      <c r="AD89" s="179"/>
      <c r="AE89" s="2"/>
      <c r="AF89" s="183" t="str">
        <f>IF(Roster!$N$1=0,"",Roster!$N$1)</f>
        <v>AV</v>
      </c>
      <c r="AG89" s="183"/>
      <c r="AH89" s="191" t="str">
        <f>IF(Roster!$AF$1=0,"",Roster!$AF$1)</f>
        <v>BH</v>
      </c>
      <c r="AI89" s="183"/>
      <c r="AJ89" s="191" t="str">
        <f>IF(Roster!$AG$1=0,"",Roster!$AG$1)</f>
        <v>SI</v>
      </c>
      <c r="AK89" s="183"/>
      <c r="AL89" s="191" t="str">
        <f>IF(Roster!$AH$1=0,"",Roster!$AH$1)</f>
        <v>KILL</v>
      </c>
      <c r="AM89" s="183"/>
      <c r="AN89" s="191" t="str">
        <f>IF(Roster!$AI$1=0,"",Roster!$AI$1)</f>
        <v>MVP</v>
      </c>
      <c r="AO89" s="183"/>
      <c r="AP89" s="191" t="str">
        <f>IF(Roster!$AI$1=0,"",Roster!$AI$1)</f>
        <v>MVP</v>
      </c>
      <c r="AQ89" s="183"/>
      <c r="AR89" s="191" t="s">
        <v>309</v>
      </c>
      <c r="AS89" s="179"/>
      <c r="AT89" s="2"/>
      <c r="AU89" s="183" t="str">
        <f>IF(Roster!$N$1=0,"",Roster!$N$1)</f>
        <v>AV</v>
      </c>
      <c r="AV89" s="183"/>
      <c r="AW89" s="191" t="str">
        <f>IF(Roster!$AF$1=0,"",Roster!$AF$1)</f>
        <v>BH</v>
      </c>
      <c r="AX89" s="183"/>
      <c r="AY89" s="191" t="str">
        <f>IF(Roster!$AG$1=0,"",Roster!$AG$1)</f>
        <v>SI</v>
      </c>
      <c r="AZ89" s="183"/>
      <c r="BA89" s="191" t="str">
        <f>IF(Roster!$AH$1=0,"",Roster!$AH$1)</f>
        <v>KILL</v>
      </c>
      <c r="BB89" s="183"/>
      <c r="BC89" s="191" t="str">
        <f>IF(Roster!$AI$1=0,"",Roster!$AI$1)</f>
        <v>MVP</v>
      </c>
      <c r="BD89" s="183"/>
      <c r="BE89" s="191" t="str">
        <f>IF(Roster!$AI$1=0,"",Roster!$AI$1)</f>
        <v>MVP</v>
      </c>
      <c r="BF89" s="183"/>
      <c r="BG89" s="191" t="s">
        <v>309</v>
      </c>
      <c r="BH89" s="179"/>
    </row>
    <row r="90" spans="1:60" ht="15" customHeight="1">
      <c r="A90" s="2"/>
      <c r="B90" s="346" t="str">
        <f>IF(Roster!$N$13=0&amp;"+","",Roster!$N$13)</f>
        <v>9+</v>
      </c>
      <c r="C90" s="184"/>
      <c r="D90" s="192" t="str">
        <f>IF(Roster!$AF$13=0,"",Roster!$AF$13)</f>
        <v/>
      </c>
      <c r="E90" s="184"/>
      <c r="F90" s="192" t="str">
        <f>IF(Roster!$AG$13=0,"",Roster!$AG$13)</f>
        <v/>
      </c>
      <c r="G90" s="184"/>
      <c r="H90" s="192" t="str">
        <f>IF(Roster!$AH$13=0,"",Roster!$AH$13)</f>
        <v/>
      </c>
      <c r="I90" s="184"/>
      <c r="J90" s="192" t="str">
        <f>IF(Roster!$AI$13=0,"",Roster!$AI$13)</f>
        <v/>
      </c>
      <c r="K90" s="184"/>
      <c r="L90" s="192" t="str">
        <f>IF(Roster!$AI$13=0,"",Roster!$AI$13)</f>
        <v/>
      </c>
      <c r="M90" s="184"/>
      <c r="N90" s="192" t="str">
        <f>IF(Roster!$AJ$13=0,"",Roster!$AJ$13)</f>
        <v/>
      </c>
      <c r="O90" s="194"/>
      <c r="P90" s="2"/>
      <c r="Q90" s="346" t="str">
        <f>IF(Roster!$N$14=0&amp;"+","",Roster!$N$14)</f>
        <v/>
      </c>
      <c r="R90" s="184"/>
      <c r="S90" s="192" t="str">
        <f>IF(Roster!$AF$14=0,"",Roster!$AF$14)</f>
        <v/>
      </c>
      <c r="T90" s="184"/>
      <c r="U90" s="192" t="str">
        <f>IF(Roster!$AG$14=0,"",Roster!$AG$14)</f>
        <v/>
      </c>
      <c r="V90" s="184"/>
      <c r="W90" s="192" t="str">
        <f>IF(Roster!$AH$14=0,"",Roster!$AH$14)</f>
        <v/>
      </c>
      <c r="X90" s="184"/>
      <c r="Y90" s="192" t="str">
        <f>IF(Roster!$AI$14=0,"",Roster!$AI$14)</f>
        <v/>
      </c>
      <c r="Z90" s="184"/>
      <c r="AA90" s="192" t="str">
        <f>IF(Roster!$AI$14=0,"",Roster!$AI$14)</f>
        <v/>
      </c>
      <c r="AB90" s="184"/>
      <c r="AC90" s="192" t="str">
        <f>IF(Roster!$AJ$14=0,"",Roster!$AJ$14)</f>
        <v/>
      </c>
      <c r="AD90" s="194"/>
      <c r="AE90" s="2"/>
      <c r="AF90" s="346" t="str">
        <f>IF(Roster!$N$15=0&amp;"+","",Roster!$N$15)</f>
        <v/>
      </c>
      <c r="AG90" s="184"/>
      <c r="AH90" s="192" t="str">
        <f>IF(Roster!$AF$15=0,"",Roster!$AF$15)</f>
        <v/>
      </c>
      <c r="AI90" s="184"/>
      <c r="AJ90" s="192" t="str">
        <f>IF(Roster!$AG$15=0,"",Roster!$AG$15)</f>
        <v/>
      </c>
      <c r="AK90" s="184"/>
      <c r="AL90" s="192" t="str">
        <f>IF(Roster!$AH$15=0,"",Roster!$AH$15)</f>
        <v/>
      </c>
      <c r="AM90" s="184"/>
      <c r="AN90" s="192" t="str">
        <f>IF(Roster!$AI$15=0,"",Roster!$AI$15)</f>
        <v/>
      </c>
      <c r="AO90" s="184"/>
      <c r="AP90" s="192" t="str">
        <f>IF(Roster!$AI$15=0,"",Roster!$AI$15)</f>
        <v/>
      </c>
      <c r="AQ90" s="184"/>
      <c r="AR90" s="192" t="str">
        <f>IF(Roster!$AJ$15=0,"",Roster!$AJ$15)</f>
        <v/>
      </c>
      <c r="AS90" s="194"/>
      <c r="AT90" s="2"/>
      <c r="AU90" s="346" t="str">
        <f>IF(Roster!$N$16=0&amp;"+","",Roster!$N$16)</f>
        <v/>
      </c>
      <c r="AV90" s="184"/>
      <c r="AW90" s="192" t="str">
        <f>IF(Roster!$AF$16=0,"",Roster!$AF$16)</f>
        <v/>
      </c>
      <c r="AX90" s="184"/>
      <c r="AY90" s="192" t="str">
        <f>IF(Roster!$AG$16=0,"",Roster!$AG$16)</f>
        <v/>
      </c>
      <c r="AZ90" s="184"/>
      <c r="BA90" s="192" t="str">
        <f>IF(Roster!$AH$16=0,"",Roster!$AH$16)</f>
        <v/>
      </c>
      <c r="BB90" s="184"/>
      <c r="BC90" s="192" t="str">
        <f>IF(Roster!$AI$16=0,"",Roster!$AI$16)</f>
        <v/>
      </c>
      <c r="BD90" s="184"/>
      <c r="BE90" s="192" t="str">
        <f>IF(Roster!$AI$16=0,"",Roster!$AI$16)</f>
        <v/>
      </c>
      <c r="BF90" s="184"/>
      <c r="BG90" s="192" t="str">
        <f>IF(Roster!$AJ$16=0,"",Roster!$AJ$16)</f>
        <v/>
      </c>
      <c r="BH90" s="194"/>
    </row>
    <row r="91" spans="1:60" ht="4.5" customHeight="1">
      <c r="A91" s="2"/>
      <c r="B91" s="228"/>
      <c r="C91" s="184"/>
      <c r="D91" s="184"/>
      <c r="E91" s="184"/>
      <c r="F91" s="184"/>
      <c r="G91" s="184"/>
      <c r="H91" s="184"/>
      <c r="I91" s="184"/>
      <c r="J91" s="184"/>
      <c r="K91" s="184"/>
      <c r="L91" s="184"/>
      <c r="M91" s="184"/>
      <c r="N91" s="190"/>
      <c r="O91" s="194"/>
      <c r="P91" s="2"/>
      <c r="Q91" s="228"/>
      <c r="R91" s="184"/>
      <c r="S91" s="184"/>
      <c r="T91" s="184"/>
      <c r="U91" s="184"/>
      <c r="V91" s="184"/>
      <c r="W91" s="184"/>
      <c r="X91" s="184"/>
      <c r="Y91" s="184"/>
      <c r="Z91" s="184"/>
      <c r="AA91" s="184"/>
      <c r="AB91" s="184"/>
      <c r="AC91" s="190"/>
      <c r="AD91" s="194"/>
      <c r="AE91" s="2"/>
      <c r="AF91" s="228"/>
      <c r="AG91" s="184"/>
      <c r="AH91" s="184"/>
      <c r="AI91" s="184"/>
      <c r="AJ91" s="184"/>
      <c r="AK91" s="184"/>
      <c r="AL91" s="184"/>
      <c r="AM91" s="184"/>
      <c r="AN91" s="184"/>
      <c r="AO91" s="184"/>
      <c r="AP91" s="184"/>
      <c r="AQ91" s="184"/>
      <c r="AR91" s="190"/>
      <c r="AS91" s="194"/>
      <c r="AT91" s="2"/>
      <c r="AU91" s="228"/>
      <c r="AV91" s="184"/>
      <c r="AW91" s="184"/>
      <c r="AX91" s="184"/>
      <c r="AY91" s="184"/>
      <c r="AZ91" s="184"/>
      <c r="BA91" s="184"/>
      <c r="BB91" s="184"/>
      <c r="BC91" s="184"/>
      <c r="BD91" s="184"/>
      <c r="BE91" s="184"/>
      <c r="BF91" s="184"/>
      <c r="BG91" s="190"/>
      <c r="BH91" s="194"/>
    </row>
    <row r="92" spans="1:60" ht="11.25" customHeight="1">
      <c r="A92" s="2"/>
      <c r="B92" s="228"/>
      <c r="C92" s="184"/>
      <c r="D92" s="347" t="str">
        <f>IF(Roster!$J$24="Español","HABILIDADES Y RASGOS","SKILLS &amp; TRAITS")</f>
        <v>SKILLS &amp; TRAITS</v>
      </c>
      <c r="E92" s="236"/>
      <c r="F92" s="236"/>
      <c r="G92" s="236"/>
      <c r="H92" s="236"/>
      <c r="I92" s="236"/>
      <c r="J92" s="236"/>
      <c r="K92" s="236"/>
      <c r="L92" s="236"/>
      <c r="M92" s="236"/>
      <c r="N92" s="237"/>
      <c r="O92" s="194"/>
      <c r="P92" s="2"/>
      <c r="Q92" s="228"/>
      <c r="R92" s="184"/>
      <c r="S92" s="347" t="str">
        <f>IF(Roster!$J$24="Español","HABILIDADES Y RASGOS","SKILLS &amp; TRAITS")</f>
        <v>SKILLS &amp; TRAITS</v>
      </c>
      <c r="T92" s="236"/>
      <c r="U92" s="236"/>
      <c r="V92" s="236"/>
      <c r="W92" s="236"/>
      <c r="X92" s="236"/>
      <c r="Y92" s="236"/>
      <c r="Z92" s="236"/>
      <c r="AA92" s="236"/>
      <c r="AB92" s="236"/>
      <c r="AC92" s="237"/>
      <c r="AD92" s="194"/>
      <c r="AE92" s="2"/>
      <c r="AF92" s="228"/>
      <c r="AG92" s="184"/>
      <c r="AH92" s="347" t="str">
        <f>IF(Roster!$J$24="Español","HABILIDADES Y RASGOS","SKILLS &amp; TRAITS")</f>
        <v>SKILLS &amp; TRAITS</v>
      </c>
      <c r="AI92" s="236"/>
      <c r="AJ92" s="236"/>
      <c r="AK92" s="236"/>
      <c r="AL92" s="236"/>
      <c r="AM92" s="236"/>
      <c r="AN92" s="236"/>
      <c r="AO92" s="236"/>
      <c r="AP92" s="236"/>
      <c r="AQ92" s="236"/>
      <c r="AR92" s="237"/>
      <c r="AS92" s="194"/>
      <c r="AT92" s="2"/>
      <c r="AU92" s="228"/>
      <c r="AV92" s="184"/>
      <c r="AW92" s="347" t="str">
        <f>IF(Roster!$J$24="Español","HABILIDADES Y RASGOS","SKILLS &amp; TRAITS")</f>
        <v>SKILLS &amp; TRAITS</v>
      </c>
      <c r="AX92" s="236"/>
      <c r="AY92" s="236"/>
      <c r="AZ92" s="236"/>
      <c r="BA92" s="236"/>
      <c r="BB92" s="236"/>
      <c r="BC92" s="236"/>
      <c r="BD92" s="236"/>
      <c r="BE92" s="236"/>
      <c r="BF92" s="236"/>
      <c r="BG92" s="237"/>
      <c r="BH92" s="194"/>
    </row>
    <row r="93" spans="1:60" ht="6.75" customHeight="1">
      <c r="A93" s="2"/>
      <c r="B93" s="229"/>
      <c r="C93" s="184"/>
      <c r="D93" s="348" t="str">
        <f>IF(Roster!$O$13=0&amp;BF13,"",Roster!$O$13)</f>
        <v>Block, Foul Appearance, No Hands, Regeneration, Side Step</v>
      </c>
      <c r="E93" s="340"/>
      <c r="F93" s="340"/>
      <c r="G93" s="340"/>
      <c r="H93" s="340"/>
      <c r="I93" s="340"/>
      <c r="J93" s="340"/>
      <c r="K93" s="340"/>
      <c r="L93" s="340"/>
      <c r="M93" s="340"/>
      <c r="N93" s="341"/>
      <c r="O93" s="194"/>
      <c r="P93" s="2"/>
      <c r="Q93" s="229"/>
      <c r="R93" s="184"/>
      <c r="S93" s="348" t="str">
        <f>IF(Roster!$O$14=0&amp;BF14,"",Roster!$O$14)</f>
        <v/>
      </c>
      <c r="T93" s="340"/>
      <c r="U93" s="340"/>
      <c r="V93" s="340"/>
      <c r="W93" s="340"/>
      <c r="X93" s="340"/>
      <c r="Y93" s="340"/>
      <c r="Z93" s="340"/>
      <c r="AA93" s="340"/>
      <c r="AB93" s="340"/>
      <c r="AC93" s="341"/>
      <c r="AD93" s="194"/>
      <c r="AE93" s="2"/>
      <c r="AF93" s="229"/>
      <c r="AG93" s="184"/>
      <c r="AH93" s="348" t="str">
        <f>IF(Roster!$O$15=0&amp;BF15,"",Roster!$O$15)</f>
        <v/>
      </c>
      <c r="AI93" s="340"/>
      <c r="AJ93" s="340"/>
      <c r="AK93" s="340"/>
      <c r="AL93" s="340"/>
      <c r="AM93" s="340"/>
      <c r="AN93" s="340"/>
      <c r="AO93" s="340"/>
      <c r="AP93" s="340"/>
      <c r="AQ93" s="340"/>
      <c r="AR93" s="341"/>
      <c r="AS93" s="194"/>
      <c r="AT93" s="2"/>
      <c r="AU93" s="229"/>
      <c r="AV93" s="184"/>
      <c r="AW93" s="348" t="str">
        <f>IF(Roster!$O$16=0&amp;BF16,"",Roster!$O$16)</f>
        <v/>
      </c>
      <c r="AX93" s="340"/>
      <c r="AY93" s="340"/>
      <c r="AZ93" s="340"/>
      <c r="BA93" s="340"/>
      <c r="BB93" s="340"/>
      <c r="BC93" s="340"/>
      <c r="BD93" s="340"/>
      <c r="BE93" s="340"/>
      <c r="BF93" s="340"/>
      <c r="BG93" s="341"/>
      <c r="BH93" s="194"/>
    </row>
    <row r="94" spans="1:60" ht="11.25" customHeight="1">
      <c r="A94" s="2"/>
      <c r="B94" s="183" t="str">
        <f>IF(Roster!$AN$1=0,"",Roster!$AN$1)</f>
        <v>COST</v>
      </c>
      <c r="C94" s="183"/>
      <c r="D94" s="342"/>
      <c r="E94" s="261"/>
      <c r="F94" s="261"/>
      <c r="G94" s="261"/>
      <c r="H94" s="261"/>
      <c r="I94" s="261"/>
      <c r="J94" s="261"/>
      <c r="K94" s="261"/>
      <c r="L94" s="261"/>
      <c r="M94" s="261"/>
      <c r="N94" s="328"/>
      <c r="O94" s="195"/>
      <c r="P94" s="2"/>
      <c r="Q94" s="183" t="str">
        <f>IF(Roster!$AN$1=0,"",Roster!$AN$1)</f>
        <v>COST</v>
      </c>
      <c r="R94" s="183"/>
      <c r="S94" s="342"/>
      <c r="T94" s="261"/>
      <c r="U94" s="261"/>
      <c r="V94" s="261"/>
      <c r="W94" s="261"/>
      <c r="X94" s="261"/>
      <c r="Y94" s="261"/>
      <c r="Z94" s="261"/>
      <c r="AA94" s="261"/>
      <c r="AB94" s="261"/>
      <c r="AC94" s="328"/>
      <c r="AD94" s="195"/>
      <c r="AE94" s="2"/>
      <c r="AF94" s="183" t="str">
        <f>IF(Roster!$AN$1=0,"",Roster!$AN$1)</f>
        <v>COST</v>
      </c>
      <c r="AG94" s="183"/>
      <c r="AH94" s="342"/>
      <c r="AI94" s="261"/>
      <c r="AJ94" s="261"/>
      <c r="AK94" s="261"/>
      <c r="AL94" s="261"/>
      <c r="AM94" s="261"/>
      <c r="AN94" s="261"/>
      <c r="AO94" s="261"/>
      <c r="AP94" s="261"/>
      <c r="AQ94" s="261"/>
      <c r="AR94" s="328"/>
      <c r="AS94" s="195"/>
      <c r="AT94" s="2"/>
      <c r="AU94" s="183" t="str">
        <f>IF(Roster!$AN$1=0,"",Roster!$AN$1)</f>
        <v>COST</v>
      </c>
      <c r="AV94" s="183"/>
      <c r="AW94" s="342"/>
      <c r="AX94" s="261"/>
      <c r="AY94" s="261"/>
      <c r="AZ94" s="261"/>
      <c r="BA94" s="261"/>
      <c r="BB94" s="261"/>
      <c r="BC94" s="261"/>
      <c r="BD94" s="261"/>
      <c r="BE94" s="261"/>
      <c r="BF94" s="261"/>
      <c r="BG94" s="328"/>
      <c r="BH94" s="195"/>
    </row>
    <row r="95" spans="1:60" ht="34.5" customHeight="1">
      <c r="A95" s="2"/>
      <c r="B95" s="197">
        <f>IF(Roster!$AN$13=0,"",Roster!$AN$13)</f>
        <v>95000</v>
      </c>
      <c r="C95" s="198"/>
      <c r="D95" s="343"/>
      <c r="E95" s="344"/>
      <c r="F95" s="344"/>
      <c r="G95" s="344"/>
      <c r="H95" s="344"/>
      <c r="I95" s="344"/>
      <c r="J95" s="344"/>
      <c r="K95" s="344"/>
      <c r="L95" s="344"/>
      <c r="M95" s="344"/>
      <c r="N95" s="345"/>
      <c r="O95" s="195"/>
      <c r="P95" s="2"/>
      <c r="Q95" s="197" t="str">
        <f>IF(Roster!$AN$14=0,"",Roster!$AN$14)</f>
        <v/>
      </c>
      <c r="R95" s="198"/>
      <c r="S95" s="343"/>
      <c r="T95" s="344"/>
      <c r="U95" s="344"/>
      <c r="V95" s="344"/>
      <c r="W95" s="344"/>
      <c r="X95" s="344"/>
      <c r="Y95" s="344"/>
      <c r="Z95" s="344"/>
      <c r="AA95" s="344"/>
      <c r="AB95" s="344"/>
      <c r="AC95" s="345"/>
      <c r="AD95" s="195"/>
      <c r="AE95" s="2"/>
      <c r="AF95" s="197" t="str">
        <f>IF(Roster!$AN$15=0,"",Roster!$AN$15)</f>
        <v/>
      </c>
      <c r="AG95" s="198"/>
      <c r="AH95" s="343"/>
      <c r="AI95" s="344"/>
      <c r="AJ95" s="344"/>
      <c r="AK95" s="344"/>
      <c r="AL95" s="344"/>
      <c r="AM95" s="344"/>
      <c r="AN95" s="344"/>
      <c r="AO95" s="344"/>
      <c r="AP95" s="344"/>
      <c r="AQ95" s="344"/>
      <c r="AR95" s="345"/>
      <c r="AS95" s="195"/>
      <c r="AT95" s="2"/>
      <c r="AU95" s="197" t="str">
        <f>IF(Roster!$AN$16=0,"",Roster!$AN$16)</f>
        <v/>
      </c>
      <c r="AV95" s="198"/>
      <c r="AW95" s="343"/>
      <c r="AX95" s="344"/>
      <c r="AY95" s="344"/>
      <c r="AZ95" s="344"/>
      <c r="BA95" s="344"/>
      <c r="BB95" s="344"/>
      <c r="BC95" s="344"/>
      <c r="BD95" s="344"/>
      <c r="BE95" s="344"/>
      <c r="BF95" s="344"/>
      <c r="BG95" s="345"/>
      <c r="BH95" s="195"/>
    </row>
    <row r="96" spans="1:60" ht="4.5" customHeight="1">
      <c r="A96" s="2"/>
      <c r="B96" s="179"/>
      <c r="C96" s="179"/>
      <c r="D96" s="179"/>
      <c r="E96" s="179"/>
      <c r="F96" s="179"/>
      <c r="G96" s="179"/>
      <c r="H96" s="179"/>
      <c r="I96" s="179"/>
      <c r="J96" s="179"/>
      <c r="K96" s="179"/>
      <c r="L96" s="179"/>
      <c r="M96" s="179"/>
      <c r="N96" s="195"/>
      <c r="O96" s="195"/>
      <c r="P96" s="2"/>
      <c r="Q96" s="179"/>
      <c r="R96" s="179"/>
      <c r="S96" s="179"/>
      <c r="T96" s="179"/>
      <c r="U96" s="179"/>
      <c r="V96" s="179"/>
      <c r="W96" s="179"/>
      <c r="X96" s="179"/>
      <c r="Y96" s="179"/>
      <c r="Z96" s="179"/>
      <c r="AA96" s="179"/>
      <c r="AB96" s="179"/>
      <c r="AC96" s="195"/>
      <c r="AD96" s="195"/>
      <c r="AE96" s="2"/>
      <c r="AF96" s="179"/>
      <c r="AG96" s="179"/>
      <c r="AH96" s="179"/>
      <c r="AI96" s="179"/>
      <c r="AJ96" s="179"/>
      <c r="AK96" s="179"/>
      <c r="AL96" s="179"/>
      <c r="AM96" s="179"/>
      <c r="AN96" s="179"/>
      <c r="AO96" s="179"/>
      <c r="AP96" s="179"/>
      <c r="AQ96" s="179"/>
      <c r="AR96" s="195"/>
      <c r="AS96" s="195"/>
      <c r="AT96" s="2"/>
      <c r="AU96" s="179"/>
      <c r="AV96" s="179"/>
      <c r="AW96" s="179"/>
      <c r="AX96" s="179"/>
      <c r="AY96" s="179"/>
      <c r="AZ96" s="179"/>
      <c r="BA96" s="179"/>
      <c r="BB96" s="179"/>
      <c r="BC96" s="179"/>
      <c r="BD96" s="179"/>
      <c r="BE96" s="179"/>
      <c r="BF96" s="179"/>
      <c r="BG96" s="195"/>
      <c r="BH96" s="195"/>
    </row>
    <row r="97" spans="1:60" ht="11.2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row>
    <row r="98" spans="1:60" ht="4.5" customHeight="1">
      <c r="A98" s="2"/>
      <c r="B98" s="353" t="str">
        <f>IF(Roster!$A$17=0,"","#"&amp;Roster!$A$17)</f>
        <v>#16</v>
      </c>
      <c r="C98" s="179"/>
      <c r="D98" s="179"/>
      <c r="E98" s="179"/>
      <c r="F98" s="179"/>
      <c r="G98" s="179"/>
      <c r="H98" s="179"/>
      <c r="I98" s="179"/>
      <c r="J98" s="179"/>
      <c r="K98" s="179"/>
      <c r="L98" s="179"/>
      <c r="M98" s="179"/>
      <c r="N98" s="179"/>
      <c r="O98" s="179"/>
      <c r="P98" s="2"/>
      <c r="Q98" s="352"/>
      <c r="R98" s="179"/>
      <c r="S98" s="179"/>
      <c r="T98" s="179"/>
      <c r="U98" s="179"/>
      <c r="V98" s="179"/>
      <c r="W98" s="179"/>
      <c r="X98" s="179"/>
      <c r="Y98" s="179"/>
      <c r="Z98" s="179"/>
      <c r="AA98" s="179"/>
      <c r="AB98" s="179"/>
      <c r="AC98" s="179"/>
      <c r="AD98" s="179"/>
      <c r="AE98" s="2"/>
      <c r="AF98" s="352"/>
      <c r="AG98" s="179"/>
      <c r="AH98" s="179"/>
      <c r="AI98" s="179"/>
      <c r="AJ98" s="179"/>
      <c r="AK98" s="179"/>
      <c r="AL98" s="179"/>
      <c r="AM98" s="179"/>
      <c r="AN98" s="179"/>
      <c r="AO98" s="179"/>
      <c r="AP98" s="179"/>
      <c r="AQ98" s="179"/>
      <c r="AR98" s="179"/>
      <c r="AS98" s="179"/>
      <c r="AT98" s="2"/>
      <c r="AU98" s="354"/>
      <c r="AV98" s="355"/>
      <c r="AW98" s="355"/>
      <c r="AX98" s="355"/>
      <c r="AY98" s="355"/>
      <c r="AZ98" s="355"/>
      <c r="BA98" s="355"/>
      <c r="BB98" s="355"/>
      <c r="BC98" s="355"/>
      <c r="BD98" s="355"/>
      <c r="BE98" s="355"/>
      <c r="BF98" s="355"/>
      <c r="BG98" s="355"/>
      <c r="BH98" s="356"/>
    </row>
    <row r="99" spans="1:60" ht="15" customHeight="1">
      <c r="A99" s="2"/>
      <c r="B99" s="228"/>
      <c r="C99" s="351" t="str">
        <f>IF(Roster!$B$17=0,"",Roster!$B$17)</f>
        <v/>
      </c>
      <c r="D99" s="236"/>
      <c r="E99" s="236"/>
      <c r="F99" s="236"/>
      <c r="G99" s="236"/>
      <c r="H99" s="236"/>
      <c r="I99" s="236"/>
      <c r="J99" s="236"/>
      <c r="K99" s="236"/>
      <c r="L99" s="236"/>
      <c r="M99" s="236"/>
      <c r="N99" s="237"/>
      <c r="O99" s="179"/>
      <c r="P99" s="2"/>
      <c r="Q99" s="228"/>
      <c r="R99" s="349" t="str">
        <f>IF(Roster!$C$18=0,"",Roster!$C$18)</f>
        <v/>
      </c>
      <c r="S99" s="236"/>
      <c r="T99" s="236"/>
      <c r="U99" s="236"/>
      <c r="V99" s="236"/>
      <c r="W99" s="236"/>
      <c r="X99" s="236"/>
      <c r="Y99" s="236"/>
      <c r="Z99" s="236"/>
      <c r="AA99" s="236"/>
      <c r="AB99" s="236"/>
      <c r="AC99" s="237"/>
      <c r="AD99" s="179"/>
      <c r="AE99" s="2"/>
      <c r="AF99" s="228"/>
      <c r="AG99" s="349" t="str">
        <f>IF(Roster!$C$19=0,"",Roster!$C$19)</f>
        <v/>
      </c>
      <c r="AH99" s="236"/>
      <c r="AI99" s="236"/>
      <c r="AJ99" s="236"/>
      <c r="AK99" s="236"/>
      <c r="AL99" s="236"/>
      <c r="AM99" s="236"/>
      <c r="AN99" s="236"/>
      <c r="AO99" s="236"/>
      <c r="AP99" s="236"/>
      <c r="AQ99" s="236"/>
      <c r="AR99" s="237"/>
      <c r="AS99" s="179"/>
      <c r="AT99" s="2"/>
      <c r="AU99" s="357"/>
      <c r="AV99" s="261"/>
      <c r="AW99" s="261"/>
      <c r="AX99" s="261"/>
      <c r="AY99" s="261"/>
      <c r="AZ99" s="261"/>
      <c r="BA99" s="261"/>
      <c r="BB99" s="261"/>
      <c r="BC99" s="261"/>
      <c r="BD99" s="261"/>
      <c r="BE99" s="261"/>
      <c r="BF99" s="261"/>
      <c r="BG99" s="261"/>
      <c r="BH99" s="358"/>
    </row>
    <row r="100" spans="1:60" ht="11.25" customHeight="1">
      <c r="A100" s="2"/>
      <c r="B100" s="229"/>
      <c r="C100" s="338" t="str">
        <f>IF(Roster!$C$17=0,"",Roster!$C$17)</f>
        <v/>
      </c>
      <c r="D100" s="236"/>
      <c r="E100" s="236"/>
      <c r="F100" s="236"/>
      <c r="G100" s="236"/>
      <c r="H100" s="236"/>
      <c r="I100" s="236"/>
      <c r="J100" s="236"/>
      <c r="K100" s="236"/>
      <c r="L100" s="236"/>
      <c r="M100" s="236"/>
      <c r="N100" s="237"/>
      <c r="O100" s="180"/>
      <c r="P100" s="2"/>
      <c r="Q100" s="229"/>
      <c r="R100" s="338" t="str">
        <f>IF(Roster!$B$18=0,"","("&amp;Roster!$B$18&amp;")")</f>
        <v>(Star Players)</v>
      </c>
      <c r="S100" s="236"/>
      <c r="T100" s="236"/>
      <c r="U100" s="236"/>
      <c r="V100" s="236"/>
      <c r="W100" s="236"/>
      <c r="X100" s="236"/>
      <c r="Y100" s="236"/>
      <c r="Z100" s="236"/>
      <c r="AA100" s="236"/>
      <c r="AB100" s="236"/>
      <c r="AC100" s="237"/>
      <c r="AD100" s="180"/>
      <c r="AE100" s="2"/>
      <c r="AF100" s="229"/>
      <c r="AG100" s="338" t="str">
        <f>IF(Roster!$B$19=0,"","("&amp;Roster!$B$19&amp;")")</f>
        <v>(Star Players)</v>
      </c>
      <c r="AH100" s="236"/>
      <c r="AI100" s="236"/>
      <c r="AJ100" s="236"/>
      <c r="AK100" s="236"/>
      <c r="AL100" s="236"/>
      <c r="AM100" s="236"/>
      <c r="AN100" s="236"/>
      <c r="AO100" s="236"/>
      <c r="AP100" s="236"/>
      <c r="AQ100" s="236"/>
      <c r="AR100" s="237"/>
      <c r="AS100" s="180"/>
      <c r="AT100" s="2"/>
      <c r="AU100" s="357"/>
      <c r="AV100" s="261"/>
      <c r="AW100" s="261"/>
      <c r="AX100" s="261"/>
      <c r="AY100" s="261"/>
      <c r="AZ100" s="261"/>
      <c r="BA100" s="261"/>
      <c r="BB100" s="261"/>
      <c r="BC100" s="261"/>
      <c r="BD100" s="261"/>
      <c r="BE100" s="261"/>
      <c r="BF100" s="261"/>
      <c r="BG100" s="261"/>
      <c r="BH100" s="358"/>
    </row>
    <row r="101" spans="1:60" ht="11.25" customHeight="1">
      <c r="A101" s="2"/>
      <c r="B101" s="183" t="str">
        <f>IF(Roster!$J$1=0,"",Roster!$J$1)</f>
        <v>MA</v>
      </c>
      <c r="C101" s="339"/>
      <c r="D101" s="340"/>
      <c r="E101" s="340"/>
      <c r="F101" s="340"/>
      <c r="G101" s="340"/>
      <c r="H101" s="340"/>
      <c r="I101" s="340"/>
      <c r="J101" s="340"/>
      <c r="K101" s="340"/>
      <c r="L101" s="340"/>
      <c r="M101" s="340"/>
      <c r="N101" s="341"/>
      <c r="O101" s="179"/>
      <c r="P101" s="2"/>
      <c r="Q101" s="183" t="str">
        <f>IF(Roster!$J$1=0,"",Roster!$J$1)</f>
        <v>MA</v>
      </c>
      <c r="R101" s="339"/>
      <c r="S101" s="340"/>
      <c r="T101" s="340"/>
      <c r="U101" s="340"/>
      <c r="V101" s="340"/>
      <c r="W101" s="340"/>
      <c r="X101" s="340"/>
      <c r="Y101" s="340"/>
      <c r="Z101" s="340"/>
      <c r="AA101" s="340"/>
      <c r="AB101" s="340"/>
      <c r="AC101" s="341"/>
      <c r="AD101" s="179"/>
      <c r="AE101" s="2"/>
      <c r="AF101" s="183" t="str">
        <f>IF(Roster!$J$1=0,"",Roster!$J$1)</f>
        <v>MA</v>
      </c>
      <c r="AG101" s="339"/>
      <c r="AH101" s="340"/>
      <c r="AI101" s="340"/>
      <c r="AJ101" s="340"/>
      <c r="AK101" s="340"/>
      <c r="AL101" s="340"/>
      <c r="AM101" s="340"/>
      <c r="AN101" s="340"/>
      <c r="AO101" s="340"/>
      <c r="AP101" s="340"/>
      <c r="AQ101" s="340"/>
      <c r="AR101" s="341"/>
      <c r="AS101" s="179"/>
      <c r="AT101" s="2"/>
      <c r="AU101" s="357"/>
      <c r="AV101" s="261"/>
      <c r="AW101" s="261"/>
      <c r="AX101" s="261"/>
      <c r="AY101" s="261"/>
      <c r="AZ101" s="261"/>
      <c r="BA101" s="261"/>
      <c r="BB101" s="261"/>
      <c r="BC101" s="261"/>
      <c r="BD101" s="261"/>
      <c r="BE101" s="261"/>
      <c r="BF101" s="261"/>
      <c r="BG101" s="261"/>
      <c r="BH101" s="358"/>
    </row>
    <row r="102" spans="1:60" ht="37.5" customHeight="1">
      <c r="A102" s="2"/>
      <c r="B102" s="185" t="str">
        <f>IF(Roster!$J$17=0,"",Roster!$J$17)</f>
        <v/>
      </c>
      <c r="C102" s="342"/>
      <c r="D102" s="261"/>
      <c r="E102" s="261"/>
      <c r="F102" s="261"/>
      <c r="G102" s="261"/>
      <c r="H102" s="261"/>
      <c r="I102" s="261"/>
      <c r="J102" s="261"/>
      <c r="K102" s="261"/>
      <c r="L102" s="261"/>
      <c r="M102" s="261"/>
      <c r="N102" s="328"/>
      <c r="O102" s="179"/>
      <c r="P102" s="2"/>
      <c r="Q102" s="185" t="str">
        <f>IF(Roster!$J$18=0,"",Roster!$J$18)</f>
        <v/>
      </c>
      <c r="R102" s="342"/>
      <c r="S102" s="261"/>
      <c r="T102" s="261"/>
      <c r="U102" s="261"/>
      <c r="V102" s="261"/>
      <c r="W102" s="261"/>
      <c r="X102" s="261"/>
      <c r="Y102" s="261"/>
      <c r="Z102" s="261"/>
      <c r="AA102" s="261"/>
      <c r="AB102" s="261"/>
      <c r="AC102" s="328"/>
      <c r="AD102" s="179"/>
      <c r="AE102" s="2"/>
      <c r="AF102" s="185" t="str">
        <f>IF(Roster!$J$19=0,"",Roster!$J$19)</f>
        <v/>
      </c>
      <c r="AG102" s="342"/>
      <c r="AH102" s="261"/>
      <c r="AI102" s="261"/>
      <c r="AJ102" s="261"/>
      <c r="AK102" s="261"/>
      <c r="AL102" s="261"/>
      <c r="AM102" s="261"/>
      <c r="AN102" s="261"/>
      <c r="AO102" s="261"/>
      <c r="AP102" s="261"/>
      <c r="AQ102" s="261"/>
      <c r="AR102" s="328"/>
      <c r="AS102" s="179"/>
      <c r="AT102" s="2"/>
      <c r="AU102" s="357"/>
      <c r="AV102" s="261"/>
      <c r="AW102" s="261"/>
      <c r="AX102" s="261"/>
      <c r="AY102" s="261"/>
      <c r="AZ102" s="261"/>
      <c r="BA102" s="261"/>
      <c r="BB102" s="261"/>
      <c r="BC102" s="261"/>
      <c r="BD102" s="261"/>
      <c r="BE102" s="261"/>
      <c r="BF102" s="261"/>
      <c r="BG102" s="261"/>
      <c r="BH102" s="358"/>
    </row>
    <row r="103" spans="1:60" ht="11.25" customHeight="1">
      <c r="A103" s="2"/>
      <c r="B103" s="183" t="str">
        <f>IF(Roster!$K$1=0,"",Roster!$K$1)</f>
        <v>ST</v>
      </c>
      <c r="C103" s="342"/>
      <c r="D103" s="261"/>
      <c r="E103" s="261"/>
      <c r="F103" s="261"/>
      <c r="G103" s="261"/>
      <c r="H103" s="261"/>
      <c r="I103" s="261"/>
      <c r="J103" s="261"/>
      <c r="K103" s="261"/>
      <c r="L103" s="261"/>
      <c r="M103" s="261"/>
      <c r="N103" s="328"/>
      <c r="O103" s="179"/>
      <c r="P103" s="2"/>
      <c r="Q103" s="183" t="str">
        <f>IF(Roster!$K$1=0,"",Roster!$K$1)</f>
        <v>ST</v>
      </c>
      <c r="R103" s="342"/>
      <c r="S103" s="261"/>
      <c r="T103" s="261"/>
      <c r="U103" s="261"/>
      <c r="V103" s="261"/>
      <c r="W103" s="261"/>
      <c r="X103" s="261"/>
      <c r="Y103" s="261"/>
      <c r="Z103" s="261"/>
      <c r="AA103" s="261"/>
      <c r="AB103" s="261"/>
      <c r="AC103" s="328"/>
      <c r="AD103" s="179"/>
      <c r="AE103" s="2"/>
      <c r="AF103" s="183" t="str">
        <f>IF(Roster!$K$1=0,"",Roster!$K$1)</f>
        <v>ST</v>
      </c>
      <c r="AG103" s="342"/>
      <c r="AH103" s="261"/>
      <c r="AI103" s="261"/>
      <c r="AJ103" s="261"/>
      <c r="AK103" s="261"/>
      <c r="AL103" s="261"/>
      <c r="AM103" s="261"/>
      <c r="AN103" s="261"/>
      <c r="AO103" s="261"/>
      <c r="AP103" s="261"/>
      <c r="AQ103" s="261"/>
      <c r="AR103" s="328"/>
      <c r="AS103" s="179"/>
      <c r="AT103" s="2"/>
      <c r="AU103" s="357"/>
      <c r="AV103" s="261"/>
      <c r="AW103" s="261"/>
      <c r="AX103" s="261"/>
      <c r="AY103" s="261"/>
      <c r="AZ103" s="261"/>
      <c r="BA103" s="261"/>
      <c r="BB103" s="261"/>
      <c r="BC103" s="261"/>
      <c r="BD103" s="261"/>
      <c r="BE103" s="261"/>
      <c r="BF103" s="261"/>
      <c r="BG103" s="261"/>
      <c r="BH103" s="358"/>
    </row>
    <row r="104" spans="1:60" ht="37.5" customHeight="1">
      <c r="A104" s="2"/>
      <c r="B104" s="185" t="str">
        <f>IF(Roster!$K$17=0,"",Roster!$K$17)</f>
        <v/>
      </c>
      <c r="C104" s="342"/>
      <c r="D104" s="261"/>
      <c r="E104" s="261"/>
      <c r="F104" s="261"/>
      <c r="G104" s="261"/>
      <c r="H104" s="261"/>
      <c r="I104" s="261"/>
      <c r="J104" s="261"/>
      <c r="K104" s="261"/>
      <c r="L104" s="261"/>
      <c r="M104" s="261"/>
      <c r="N104" s="328"/>
      <c r="O104" s="179"/>
      <c r="P104" s="2"/>
      <c r="Q104" s="185" t="str">
        <f>IF(Roster!$K$18=0,"",Roster!$K$18)</f>
        <v/>
      </c>
      <c r="R104" s="342"/>
      <c r="S104" s="261"/>
      <c r="T104" s="261"/>
      <c r="U104" s="261"/>
      <c r="V104" s="261"/>
      <c r="W104" s="261"/>
      <c r="X104" s="261"/>
      <c r="Y104" s="261"/>
      <c r="Z104" s="261"/>
      <c r="AA104" s="261"/>
      <c r="AB104" s="261"/>
      <c r="AC104" s="328"/>
      <c r="AD104" s="179"/>
      <c r="AE104" s="2"/>
      <c r="AF104" s="185" t="str">
        <f>IF(Roster!$K$19=0,"",Roster!$K$19)</f>
        <v/>
      </c>
      <c r="AG104" s="342"/>
      <c r="AH104" s="261"/>
      <c r="AI104" s="261"/>
      <c r="AJ104" s="261"/>
      <c r="AK104" s="261"/>
      <c r="AL104" s="261"/>
      <c r="AM104" s="261"/>
      <c r="AN104" s="261"/>
      <c r="AO104" s="261"/>
      <c r="AP104" s="261"/>
      <c r="AQ104" s="261"/>
      <c r="AR104" s="328"/>
      <c r="AS104" s="179"/>
      <c r="AT104" s="2"/>
      <c r="AU104" s="357"/>
      <c r="AV104" s="261"/>
      <c r="AW104" s="261"/>
      <c r="AX104" s="261"/>
      <c r="AY104" s="261"/>
      <c r="AZ104" s="261"/>
      <c r="BA104" s="261"/>
      <c r="BB104" s="261"/>
      <c r="BC104" s="261"/>
      <c r="BD104" s="261"/>
      <c r="BE104" s="261"/>
      <c r="BF104" s="261"/>
      <c r="BG104" s="261"/>
      <c r="BH104" s="358"/>
    </row>
    <row r="105" spans="1:60" ht="11.25" customHeight="1">
      <c r="A105" s="2"/>
      <c r="B105" s="183" t="str">
        <f>IF(Roster!$L$1=0,"",Roster!$L$1)</f>
        <v>AG</v>
      </c>
      <c r="C105" s="342"/>
      <c r="D105" s="261"/>
      <c r="E105" s="261"/>
      <c r="F105" s="261"/>
      <c r="G105" s="261"/>
      <c r="H105" s="261"/>
      <c r="I105" s="261"/>
      <c r="J105" s="261"/>
      <c r="K105" s="261"/>
      <c r="L105" s="261"/>
      <c r="M105" s="261"/>
      <c r="N105" s="328"/>
      <c r="O105" s="179"/>
      <c r="P105" s="2"/>
      <c r="Q105" s="183" t="str">
        <f>IF(Roster!$L$1=0,"",Roster!$L$1)</f>
        <v>AG</v>
      </c>
      <c r="R105" s="342"/>
      <c r="S105" s="261"/>
      <c r="T105" s="261"/>
      <c r="U105" s="261"/>
      <c r="V105" s="261"/>
      <c r="W105" s="261"/>
      <c r="X105" s="261"/>
      <c r="Y105" s="261"/>
      <c r="Z105" s="261"/>
      <c r="AA105" s="261"/>
      <c r="AB105" s="261"/>
      <c r="AC105" s="328"/>
      <c r="AD105" s="179"/>
      <c r="AE105" s="2"/>
      <c r="AF105" s="183" t="str">
        <f>IF(Roster!$L$1=0,"",Roster!$L$1)</f>
        <v>AG</v>
      </c>
      <c r="AG105" s="342"/>
      <c r="AH105" s="261"/>
      <c r="AI105" s="261"/>
      <c r="AJ105" s="261"/>
      <c r="AK105" s="261"/>
      <c r="AL105" s="261"/>
      <c r="AM105" s="261"/>
      <c r="AN105" s="261"/>
      <c r="AO105" s="261"/>
      <c r="AP105" s="261"/>
      <c r="AQ105" s="261"/>
      <c r="AR105" s="328"/>
      <c r="AS105" s="179"/>
      <c r="AT105" s="2"/>
      <c r="AU105" s="357"/>
      <c r="AV105" s="261"/>
      <c r="AW105" s="261"/>
      <c r="AX105" s="261"/>
      <c r="AY105" s="261"/>
      <c r="AZ105" s="261"/>
      <c r="BA105" s="261"/>
      <c r="BB105" s="261"/>
      <c r="BC105" s="261"/>
      <c r="BD105" s="261"/>
      <c r="BE105" s="261"/>
      <c r="BF105" s="261"/>
      <c r="BG105" s="261"/>
      <c r="BH105" s="358"/>
    </row>
    <row r="106" spans="1:60" ht="37.5" customHeight="1">
      <c r="A106" s="2"/>
      <c r="B106" s="185" t="str">
        <f>IF(Roster!$L$17=0&amp;"+","",Roster!$L$17)</f>
        <v/>
      </c>
      <c r="C106" s="342"/>
      <c r="D106" s="261"/>
      <c r="E106" s="261"/>
      <c r="F106" s="261"/>
      <c r="G106" s="261"/>
      <c r="H106" s="261"/>
      <c r="I106" s="261"/>
      <c r="J106" s="261"/>
      <c r="K106" s="261"/>
      <c r="L106" s="261"/>
      <c r="M106" s="261"/>
      <c r="N106" s="328"/>
      <c r="O106" s="179"/>
      <c r="P106" s="2"/>
      <c r="Q106" s="185" t="str">
        <f>IF(Roster!$L$18=0,"",Roster!$L$18)</f>
        <v/>
      </c>
      <c r="R106" s="342"/>
      <c r="S106" s="261"/>
      <c r="T106" s="261"/>
      <c r="U106" s="261"/>
      <c r="V106" s="261"/>
      <c r="W106" s="261"/>
      <c r="X106" s="261"/>
      <c r="Y106" s="261"/>
      <c r="Z106" s="261"/>
      <c r="AA106" s="261"/>
      <c r="AB106" s="261"/>
      <c r="AC106" s="328"/>
      <c r="AD106" s="179"/>
      <c r="AE106" s="2"/>
      <c r="AF106" s="185" t="str">
        <f>IF(Roster!$L$19=0,"",Roster!$L$19)</f>
        <v/>
      </c>
      <c r="AG106" s="342"/>
      <c r="AH106" s="261"/>
      <c r="AI106" s="261"/>
      <c r="AJ106" s="261"/>
      <c r="AK106" s="261"/>
      <c r="AL106" s="261"/>
      <c r="AM106" s="261"/>
      <c r="AN106" s="261"/>
      <c r="AO106" s="261"/>
      <c r="AP106" s="261"/>
      <c r="AQ106" s="261"/>
      <c r="AR106" s="328"/>
      <c r="AS106" s="179"/>
      <c r="AT106" s="2"/>
      <c r="AU106" s="357"/>
      <c r="AV106" s="261"/>
      <c r="AW106" s="261"/>
      <c r="AX106" s="261"/>
      <c r="AY106" s="261"/>
      <c r="AZ106" s="261"/>
      <c r="BA106" s="261"/>
      <c r="BB106" s="261"/>
      <c r="BC106" s="261"/>
      <c r="BD106" s="261"/>
      <c r="BE106" s="261"/>
      <c r="BF106" s="261"/>
      <c r="BG106" s="261"/>
      <c r="BH106" s="358"/>
    </row>
    <row r="107" spans="1:60" ht="11.25" customHeight="1">
      <c r="A107" s="2"/>
      <c r="B107" s="183" t="str">
        <f>IF(Roster!$M$1=0,"",Roster!$M$1)</f>
        <v>PA</v>
      </c>
      <c r="C107" s="342"/>
      <c r="D107" s="261"/>
      <c r="E107" s="261"/>
      <c r="F107" s="261"/>
      <c r="G107" s="261"/>
      <c r="H107" s="261"/>
      <c r="I107" s="261"/>
      <c r="J107" s="261"/>
      <c r="K107" s="261"/>
      <c r="L107" s="261"/>
      <c r="M107" s="261"/>
      <c r="N107" s="328"/>
      <c r="O107" s="188"/>
      <c r="P107" s="2"/>
      <c r="Q107" s="183" t="str">
        <f>IF(Roster!$M$1=0,"",Roster!$M$1)</f>
        <v>PA</v>
      </c>
      <c r="R107" s="342"/>
      <c r="S107" s="261"/>
      <c r="T107" s="261"/>
      <c r="U107" s="261"/>
      <c r="V107" s="261"/>
      <c r="W107" s="261"/>
      <c r="X107" s="261"/>
      <c r="Y107" s="261"/>
      <c r="Z107" s="261"/>
      <c r="AA107" s="261"/>
      <c r="AB107" s="261"/>
      <c r="AC107" s="328"/>
      <c r="AD107" s="188"/>
      <c r="AE107" s="2"/>
      <c r="AF107" s="183" t="str">
        <f>IF(Roster!$M$1=0,"",Roster!$M$1)</f>
        <v>PA</v>
      </c>
      <c r="AG107" s="342"/>
      <c r="AH107" s="261"/>
      <c r="AI107" s="261"/>
      <c r="AJ107" s="261"/>
      <c r="AK107" s="261"/>
      <c r="AL107" s="261"/>
      <c r="AM107" s="261"/>
      <c r="AN107" s="261"/>
      <c r="AO107" s="261"/>
      <c r="AP107" s="261"/>
      <c r="AQ107" s="261"/>
      <c r="AR107" s="328"/>
      <c r="AS107" s="188"/>
      <c r="AT107" s="2"/>
      <c r="AU107" s="357"/>
      <c r="AV107" s="261"/>
      <c r="AW107" s="261"/>
      <c r="AX107" s="261"/>
      <c r="AY107" s="261"/>
      <c r="AZ107" s="261"/>
      <c r="BA107" s="261"/>
      <c r="BB107" s="261"/>
      <c r="BC107" s="261"/>
      <c r="BD107" s="261"/>
      <c r="BE107" s="261"/>
      <c r="BF107" s="261"/>
      <c r="BG107" s="261"/>
      <c r="BH107" s="358"/>
    </row>
    <row r="108" spans="1:60" ht="6" customHeight="1">
      <c r="A108" s="2"/>
      <c r="B108" s="346" t="str">
        <f>IF(Roster!$M$17=0&amp;"+","",Roster!$M$17)</f>
        <v/>
      </c>
      <c r="C108" s="343"/>
      <c r="D108" s="344"/>
      <c r="E108" s="344"/>
      <c r="F108" s="344"/>
      <c r="G108" s="344"/>
      <c r="H108" s="344"/>
      <c r="I108" s="344"/>
      <c r="J108" s="344"/>
      <c r="K108" s="344"/>
      <c r="L108" s="344"/>
      <c r="M108" s="344"/>
      <c r="N108" s="345"/>
      <c r="O108" s="190"/>
      <c r="P108" s="2"/>
      <c r="Q108" s="346" t="str">
        <f>IF(Roster!$M$18=0,"",Roster!$M$18)</f>
        <v/>
      </c>
      <c r="R108" s="343"/>
      <c r="S108" s="344"/>
      <c r="T108" s="344"/>
      <c r="U108" s="344"/>
      <c r="V108" s="344"/>
      <c r="W108" s="344"/>
      <c r="X108" s="344"/>
      <c r="Y108" s="344"/>
      <c r="Z108" s="344"/>
      <c r="AA108" s="344"/>
      <c r="AB108" s="344"/>
      <c r="AC108" s="345"/>
      <c r="AD108" s="190"/>
      <c r="AE108" s="2"/>
      <c r="AF108" s="346" t="str">
        <f>IF(Roster!$M$19=0,"",Roster!$M$19)</f>
        <v/>
      </c>
      <c r="AG108" s="343"/>
      <c r="AH108" s="344"/>
      <c r="AI108" s="344"/>
      <c r="AJ108" s="344"/>
      <c r="AK108" s="344"/>
      <c r="AL108" s="344"/>
      <c r="AM108" s="344"/>
      <c r="AN108" s="344"/>
      <c r="AO108" s="344"/>
      <c r="AP108" s="344"/>
      <c r="AQ108" s="344"/>
      <c r="AR108" s="345"/>
      <c r="AS108" s="190"/>
      <c r="AT108" s="2"/>
      <c r="AU108" s="357"/>
      <c r="AV108" s="261"/>
      <c r="AW108" s="261"/>
      <c r="AX108" s="261"/>
      <c r="AY108" s="261"/>
      <c r="AZ108" s="261"/>
      <c r="BA108" s="261"/>
      <c r="BB108" s="261"/>
      <c r="BC108" s="261"/>
      <c r="BD108" s="261"/>
      <c r="BE108" s="261"/>
      <c r="BF108" s="261"/>
      <c r="BG108" s="261"/>
      <c r="BH108" s="358"/>
    </row>
    <row r="109" spans="1:60" ht="4.5" customHeight="1">
      <c r="A109" s="2"/>
      <c r="B109" s="228"/>
      <c r="C109" s="182"/>
      <c r="D109" s="179"/>
      <c r="E109" s="189"/>
      <c r="F109" s="179"/>
      <c r="G109" s="189"/>
      <c r="H109" s="179"/>
      <c r="I109" s="189"/>
      <c r="J109" s="179"/>
      <c r="K109" s="189"/>
      <c r="L109" s="179"/>
      <c r="M109" s="189"/>
      <c r="N109" s="179"/>
      <c r="O109" s="190"/>
      <c r="P109" s="2"/>
      <c r="Q109" s="228"/>
      <c r="R109" s="184"/>
      <c r="S109" s="184"/>
      <c r="T109" s="184"/>
      <c r="U109" s="184"/>
      <c r="V109" s="184"/>
      <c r="W109" s="184"/>
      <c r="X109" s="184"/>
      <c r="Y109" s="184"/>
      <c r="Z109" s="184"/>
      <c r="AA109" s="184"/>
      <c r="AB109" s="184"/>
      <c r="AC109" s="183"/>
      <c r="AD109" s="190"/>
      <c r="AE109" s="2"/>
      <c r="AF109" s="228"/>
      <c r="AG109" s="184"/>
      <c r="AH109" s="184"/>
      <c r="AI109" s="184"/>
      <c r="AJ109" s="184"/>
      <c r="AK109" s="184"/>
      <c r="AL109" s="184"/>
      <c r="AM109" s="184"/>
      <c r="AN109" s="184"/>
      <c r="AO109" s="184"/>
      <c r="AP109" s="184"/>
      <c r="AQ109" s="184"/>
      <c r="AR109" s="183"/>
      <c r="AS109" s="190"/>
      <c r="AT109" s="2"/>
      <c r="AU109" s="357"/>
      <c r="AV109" s="261"/>
      <c r="AW109" s="261"/>
      <c r="AX109" s="261"/>
      <c r="AY109" s="261"/>
      <c r="AZ109" s="261"/>
      <c r="BA109" s="261"/>
      <c r="BB109" s="261"/>
      <c r="BC109" s="261"/>
      <c r="BD109" s="261"/>
      <c r="BE109" s="261"/>
      <c r="BF109" s="261"/>
      <c r="BG109" s="261"/>
      <c r="BH109" s="358"/>
    </row>
    <row r="110" spans="1:60" ht="11.25" customHeight="1">
      <c r="A110" s="2"/>
      <c r="B110" s="228"/>
      <c r="C110" s="182"/>
      <c r="D110" s="191" t="str">
        <f>IF(Roster!$AA$1=0,"",Roster!$AA$1)</f>
        <v>SPE</v>
      </c>
      <c r="E110" s="189"/>
      <c r="F110" s="191" t="str">
        <f>IF(Roster!$AB$1=0,"",Roster!$AB$1)</f>
        <v>CP</v>
      </c>
      <c r="G110" s="189"/>
      <c r="H110" s="191" t="str">
        <f>IF(Roster!$AC$1=0,"",Roster!$AC$1)</f>
        <v>TD</v>
      </c>
      <c r="I110" s="189"/>
      <c r="J110" s="191" t="str">
        <f>IF(Roster!$AD$1=0,"",Roster!$AD$1)</f>
        <v>DEF</v>
      </c>
      <c r="K110" s="189"/>
      <c r="L110" s="191" t="str">
        <f>IF(Roster!$AE$1=0,"",Roster!$AE$1)</f>
        <v>INT</v>
      </c>
      <c r="M110" s="189"/>
      <c r="N110" s="191" t="str">
        <f>IF(Roster!$AF$1=0,"",Roster!$AF$1)</f>
        <v>BH</v>
      </c>
      <c r="O110" s="190"/>
      <c r="P110" s="2"/>
      <c r="Q110" s="228"/>
      <c r="R110" s="184"/>
      <c r="S110" s="347" t="str">
        <f>IF(Roster!$J$24="Español","REGLA ESPECIAL","SPECIAL RULE")</f>
        <v>SPECIAL RULE</v>
      </c>
      <c r="T110" s="236"/>
      <c r="U110" s="236"/>
      <c r="V110" s="236"/>
      <c r="W110" s="236"/>
      <c r="X110" s="236"/>
      <c r="Y110" s="236"/>
      <c r="Z110" s="236"/>
      <c r="AA110" s="236"/>
      <c r="AB110" s="236"/>
      <c r="AC110" s="237"/>
      <c r="AD110" s="190"/>
      <c r="AE110" s="2"/>
      <c r="AF110" s="228"/>
      <c r="AG110" s="184"/>
      <c r="AH110" s="347" t="str">
        <f>IF(Roster!$J$24="Español","REGLA ESPECIAL","SPECIAL RULE")</f>
        <v>SPECIAL RULE</v>
      </c>
      <c r="AI110" s="236"/>
      <c r="AJ110" s="236"/>
      <c r="AK110" s="236"/>
      <c r="AL110" s="236"/>
      <c r="AM110" s="236"/>
      <c r="AN110" s="236"/>
      <c r="AO110" s="236"/>
      <c r="AP110" s="236"/>
      <c r="AQ110" s="236"/>
      <c r="AR110" s="237"/>
      <c r="AS110" s="190"/>
      <c r="AT110" s="2"/>
      <c r="AU110" s="357"/>
      <c r="AV110" s="261"/>
      <c r="AW110" s="261"/>
      <c r="AX110" s="261"/>
      <c r="AY110" s="261"/>
      <c r="AZ110" s="261"/>
      <c r="BA110" s="261"/>
      <c r="BB110" s="261"/>
      <c r="BC110" s="261"/>
      <c r="BD110" s="261"/>
      <c r="BE110" s="261"/>
      <c r="BF110" s="261"/>
      <c r="BG110" s="261"/>
      <c r="BH110" s="358"/>
    </row>
    <row r="111" spans="1:60" ht="15" customHeight="1">
      <c r="A111" s="2"/>
      <c r="B111" s="228"/>
      <c r="C111" s="184"/>
      <c r="D111" s="192" t="str">
        <f>IF(Roster!$AA$17=0,"",Roster!$AA$17)</f>
        <v/>
      </c>
      <c r="E111" s="184"/>
      <c r="F111" s="192" t="str">
        <f>IF(Roster!$AB$17=0,"",Roster!$AB$17)</f>
        <v/>
      </c>
      <c r="G111" s="184"/>
      <c r="H111" s="192" t="str">
        <f>IF(Roster!$AC$17=0,"",Roster!$AC$17)</f>
        <v/>
      </c>
      <c r="I111" s="184"/>
      <c r="J111" s="192" t="str">
        <f>IF(Roster!$AD$17=0,"",Roster!$AD$17)</f>
        <v/>
      </c>
      <c r="K111" s="184"/>
      <c r="L111" s="192" t="str">
        <f>IF(Roster!$AE$17=0,"",Roster!$AE$17)</f>
        <v/>
      </c>
      <c r="M111" s="184"/>
      <c r="N111" s="192" t="str">
        <f>IF(Roster!$AF$17=0,"",Roster!$AF$17)</f>
        <v/>
      </c>
      <c r="O111" s="190"/>
      <c r="P111" s="2"/>
      <c r="Q111" s="228"/>
      <c r="R111" s="183"/>
      <c r="S111" s="350" t="str">
        <f>IF(Roster!$Z$18=0,"",Roster!$Z$18)</f>
        <v/>
      </c>
      <c r="T111" s="340"/>
      <c r="U111" s="340"/>
      <c r="V111" s="340"/>
      <c r="W111" s="340"/>
      <c r="X111" s="340"/>
      <c r="Y111" s="340"/>
      <c r="Z111" s="340"/>
      <c r="AA111" s="340"/>
      <c r="AB111" s="340"/>
      <c r="AC111" s="341"/>
      <c r="AD111" s="190"/>
      <c r="AE111" s="2"/>
      <c r="AF111" s="228"/>
      <c r="AG111" s="183"/>
      <c r="AH111" s="350" t="str">
        <f>IF(Roster!$Z$19=0,"",Roster!$Z$19)</f>
        <v/>
      </c>
      <c r="AI111" s="340"/>
      <c r="AJ111" s="340"/>
      <c r="AK111" s="340"/>
      <c r="AL111" s="340"/>
      <c r="AM111" s="340"/>
      <c r="AN111" s="340"/>
      <c r="AO111" s="340"/>
      <c r="AP111" s="340"/>
      <c r="AQ111" s="340"/>
      <c r="AR111" s="341"/>
      <c r="AS111" s="190"/>
      <c r="AT111" s="2"/>
      <c r="AU111" s="357"/>
      <c r="AV111" s="261"/>
      <c r="AW111" s="261"/>
      <c r="AX111" s="261"/>
      <c r="AY111" s="261"/>
      <c r="AZ111" s="261"/>
      <c r="BA111" s="261"/>
      <c r="BB111" s="261"/>
      <c r="BC111" s="261"/>
      <c r="BD111" s="261"/>
      <c r="BE111" s="261"/>
      <c r="BF111" s="261"/>
      <c r="BG111" s="261"/>
      <c r="BH111" s="358"/>
    </row>
    <row r="112" spans="1:60" ht="4.5" customHeight="1">
      <c r="A112" s="2"/>
      <c r="B112" s="229"/>
      <c r="C112" s="184"/>
      <c r="D112" s="193"/>
      <c r="E112" s="184"/>
      <c r="F112" s="193"/>
      <c r="G112" s="184"/>
      <c r="H112" s="193"/>
      <c r="I112" s="184"/>
      <c r="J112" s="193"/>
      <c r="K112" s="184"/>
      <c r="L112" s="193"/>
      <c r="M112" s="184"/>
      <c r="N112" s="193"/>
      <c r="O112" s="190"/>
      <c r="P112" s="2"/>
      <c r="Q112" s="229"/>
      <c r="R112" s="184"/>
      <c r="S112" s="342"/>
      <c r="T112" s="261"/>
      <c r="U112" s="261"/>
      <c r="V112" s="261"/>
      <c r="W112" s="261"/>
      <c r="X112" s="261"/>
      <c r="Y112" s="261"/>
      <c r="Z112" s="261"/>
      <c r="AA112" s="261"/>
      <c r="AB112" s="261"/>
      <c r="AC112" s="328"/>
      <c r="AD112" s="190"/>
      <c r="AE112" s="2"/>
      <c r="AF112" s="229"/>
      <c r="AG112" s="184"/>
      <c r="AH112" s="342"/>
      <c r="AI112" s="261"/>
      <c r="AJ112" s="261"/>
      <c r="AK112" s="261"/>
      <c r="AL112" s="261"/>
      <c r="AM112" s="261"/>
      <c r="AN112" s="261"/>
      <c r="AO112" s="261"/>
      <c r="AP112" s="261"/>
      <c r="AQ112" s="261"/>
      <c r="AR112" s="328"/>
      <c r="AS112" s="190"/>
      <c r="AT112" s="2"/>
      <c r="AU112" s="357"/>
      <c r="AV112" s="261"/>
      <c r="AW112" s="261"/>
      <c r="AX112" s="261"/>
      <c r="AY112" s="261"/>
      <c r="AZ112" s="261"/>
      <c r="BA112" s="261"/>
      <c r="BB112" s="261"/>
      <c r="BC112" s="261"/>
      <c r="BD112" s="261"/>
      <c r="BE112" s="261"/>
      <c r="BF112" s="261"/>
      <c r="BG112" s="261"/>
      <c r="BH112" s="358"/>
    </row>
    <row r="113" spans="1:60" ht="11.25" customHeight="1">
      <c r="A113" s="2"/>
      <c r="B113" s="183" t="str">
        <f>IF(Roster!$N$1=0,"",Roster!$N$1)</f>
        <v>AV</v>
      </c>
      <c r="C113" s="183"/>
      <c r="D113" s="191" t="str">
        <f>IF(Roster!$AF$1=0,"",Roster!$AF$1)</f>
        <v>BH</v>
      </c>
      <c r="E113" s="183"/>
      <c r="F113" s="191" t="str">
        <f>IF(Roster!$AG$1=0,"",Roster!$AG$1)</f>
        <v>SI</v>
      </c>
      <c r="G113" s="183"/>
      <c r="H113" s="191" t="str">
        <f>IF(Roster!$AH$1=0,"",Roster!$AH$1)</f>
        <v>KILL</v>
      </c>
      <c r="I113" s="183"/>
      <c r="J113" s="191" t="str">
        <f>IF(Roster!$AI$1=0,"",Roster!$AI$1)</f>
        <v>MVP</v>
      </c>
      <c r="K113" s="183"/>
      <c r="L113" s="191" t="str">
        <f>IF(Roster!$AI$1=0,"",Roster!$AI$1)</f>
        <v>MVP</v>
      </c>
      <c r="M113" s="183"/>
      <c r="N113" s="191" t="s">
        <v>309</v>
      </c>
      <c r="O113" s="179"/>
      <c r="P113" s="2"/>
      <c r="Q113" s="183" t="str">
        <f>IF(Roster!$N$1=0,"",Roster!$N$1)</f>
        <v>AV</v>
      </c>
      <c r="R113" s="184"/>
      <c r="S113" s="342"/>
      <c r="T113" s="261"/>
      <c r="U113" s="261"/>
      <c r="V113" s="261"/>
      <c r="W113" s="261"/>
      <c r="X113" s="261"/>
      <c r="Y113" s="261"/>
      <c r="Z113" s="261"/>
      <c r="AA113" s="261"/>
      <c r="AB113" s="261"/>
      <c r="AC113" s="328"/>
      <c r="AD113" s="179"/>
      <c r="AE113" s="2"/>
      <c r="AF113" s="183" t="str">
        <f>IF(Roster!$N$1=0,"",Roster!$N$1)</f>
        <v>AV</v>
      </c>
      <c r="AG113" s="184"/>
      <c r="AH113" s="342"/>
      <c r="AI113" s="261"/>
      <c r="AJ113" s="261"/>
      <c r="AK113" s="261"/>
      <c r="AL113" s="261"/>
      <c r="AM113" s="261"/>
      <c r="AN113" s="261"/>
      <c r="AO113" s="261"/>
      <c r="AP113" s="261"/>
      <c r="AQ113" s="261"/>
      <c r="AR113" s="328"/>
      <c r="AS113" s="179"/>
      <c r="AT113" s="2"/>
      <c r="AU113" s="357"/>
      <c r="AV113" s="261"/>
      <c r="AW113" s="261"/>
      <c r="AX113" s="261"/>
      <c r="AY113" s="261"/>
      <c r="AZ113" s="261"/>
      <c r="BA113" s="261"/>
      <c r="BB113" s="261"/>
      <c r="BC113" s="261"/>
      <c r="BD113" s="261"/>
      <c r="BE113" s="261"/>
      <c r="BF113" s="261"/>
      <c r="BG113" s="261"/>
      <c r="BH113" s="358"/>
    </row>
    <row r="114" spans="1:60" ht="15" customHeight="1">
      <c r="A114" s="2"/>
      <c r="B114" s="346" t="str">
        <f>IF(Roster!$N$17=0&amp;"+","",Roster!$N$17)</f>
        <v/>
      </c>
      <c r="C114" s="184"/>
      <c r="D114" s="192" t="str">
        <f>IF(Roster!$AF$17=0,"",Roster!$AF$17)</f>
        <v/>
      </c>
      <c r="E114" s="184"/>
      <c r="F114" s="192" t="str">
        <f>IF(Roster!$AG$17=0,"",Roster!$AG$17)</f>
        <v/>
      </c>
      <c r="G114" s="184"/>
      <c r="H114" s="192" t="str">
        <f>IF(Roster!$AH$17=0,"",Roster!$AH$17)</f>
        <v/>
      </c>
      <c r="I114" s="184"/>
      <c r="J114" s="192" t="str">
        <f>IF(Roster!$AI$17=0,"",Roster!$AI$17)</f>
        <v/>
      </c>
      <c r="K114" s="184"/>
      <c r="L114" s="192" t="str">
        <f>IF(Roster!$AI$17=0,"",Roster!$AI$17)</f>
        <v/>
      </c>
      <c r="M114" s="184"/>
      <c r="N114" s="192" t="str">
        <f>IF(Roster!$AJ$17=0,"",Roster!$AJ$17)</f>
        <v/>
      </c>
      <c r="O114" s="194"/>
      <c r="P114" s="2"/>
      <c r="Q114" s="346" t="str">
        <f>IF(Roster!$N$18=0,"",Roster!$N$18)</f>
        <v/>
      </c>
      <c r="R114" s="183"/>
      <c r="S114" s="343"/>
      <c r="T114" s="344"/>
      <c r="U114" s="344"/>
      <c r="V114" s="344"/>
      <c r="W114" s="344"/>
      <c r="X114" s="344"/>
      <c r="Y114" s="344"/>
      <c r="Z114" s="344"/>
      <c r="AA114" s="344"/>
      <c r="AB114" s="344"/>
      <c r="AC114" s="345"/>
      <c r="AD114" s="194"/>
      <c r="AE114" s="2"/>
      <c r="AF114" s="346" t="str">
        <f>IF(Roster!$N$19=0,"",Roster!$N$19)</f>
        <v/>
      </c>
      <c r="AG114" s="183"/>
      <c r="AH114" s="343"/>
      <c r="AI114" s="344"/>
      <c r="AJ114" s="344"/>
      <c r="AK114" s="344"/>
      <c r="AL114" s="344"/>
      <c r="AM114" s="344"/>
      <c r="AN114" s="344"/>
      <c r="AO114" s="344"/>
      <c r="AP114" s="344"/>
      <c r="AQ114" s="344"/>
      <c r="AR114" s="345"/>
      <c r="AS114" s="194"/>
      <c r="AT114" s="2"/>
      <c r="AU114" s="357"/>
      <c r="AV114" s="261"/>
      <c r="AW114" s="261"/>
      <c r="AX114" s="261"/>
      <c r="AY114" s="261"/>
      <c r="AZ114" s="261"/>
      <c r="BA114" s="261"/>
      <c r="BB114" s="261"/>
      <c r="BC114" s="261"/>
      <c r="BD114" s="261"/>
      <c r="BE114" s="261"/>
      <c r="BF114" s="261"/>
      <c r="BG114" s="261"/>
      <c r="BH114" s="358"/>
    </row>
    <row r="115" spans="1:60" ht="4.5" customHeight="1">
      <c r="A115" s="2"/>
      <c r="B115" s="228"/>
      <c r="C115" s="184"/>
      <c r="D115" s="184"/>
      <c r="E115" s="184"/>
      <c r="F115" s="184"/>
      <c r="G115" s="184"/>
      <c r="H115" s="184"/>
      <c r="I115" s="184"/>
      <c r="J115" s="184"/>
      <c r="K115" s="184"/>
      <c r="L115" s="184"/>
      <c r="M115" s="184"/>
      <c r="N115" s="190"/>
      <c r="O115" s="194"/>
      <c r="P115" s="2"/>
      <c r="Q115" s="228"/>
      <c r="R115" s="198"/>
      <c r="S115" s="198"/>
      <c r="T115" s="198"/>
      <c r="U115" s="198"/>
      <c r="V115" s="198"/>
      <c r="W115" s="198"/>
      <c r="X115" s="198"/>
      <c r="Y115" s="198"/>
      <c r="Z115" s="198"/>
      <c r="AA115" s="198"/>
      <c r="AB115" s="198"/>
      <c r="AC115" s="179"/>
      <c r="AD115" s="194"/>
      <c r="AE115" s="2"/>
      <c r="AF115" s="228"/>
      <c r="AG115" s="198"/>
      <c r="AH115" s="198"/>
      <c r="AI115" s="198"/>
      <c r="AJ115" s="198"/>
      <c r="AK115" s="198"/>
      <c r="AL115" s="198"/>
      <c r="AM115" s="198"/>
      <c r="AN115" s="198"/>
      <c r="AO115" s="198"/>
      <c r="AP115" s="198"/>
      <c r="AQ115" s="198"/>
      <c r="AR115" s="179"/>
      <c r="AS115" s="194"/>
      <c r="AT115" s="2"/>
      <c r="AU115" s="357"/>
      <c r="AV115" s="261"/>
      <c r="AW115" s="261"/>
      <c r="AX115" s="261"/>
      <c r="AY115" s="261"/>
      <c r="AZ115" s="261"/>
      <c r="BA115" s="261"/>
      <c r="BB115" s="261"/>
      <c r="BC115" s="261"/>
      <c r="BD115" s="261"/>
      <c r="BE115" s="261"/>
      <c r="BF115" s="261"/>
      <c r="BG115" s="261"/>
      <c r="BH115" s="358"/>
    </row>
    <row r="116" spans="1:60" ht="11.25" customHeight="1">
      <c r="A116" s="2"/>
      <c r="B116" s="228"/>
      <c r="C116" s="184"/>
      <c r="D116" s="347" t="str">
        <f>IF(Roster!$J$24="Español","HABILIDADES Y RASGOS","SKILLS &amp; TRAITS")</f>
        <v>SKILLS &amp; TRAITS</v>
      </c>
      <c r="E116" s="236"/>
      <c r="F116" s="236"/>
      <c r="G116" s="236"/>
      <c r="H116" s="236"/>
      <c r="I116" s="236"/>
      <c r="J116" s="236"/>
      <c r="K116" s="236"/>
      <c r="L116" s="236"/>
      <c r="M116" s="236"/>
      <c r="N116" s="237"/>
      <c r="O116" s="194"/>
      <c r="P116" s="2"/>
      <c r="Q116" s="228"/>
      <c r="R116" s="179"/>
      <c r="S116" s="347" t="str">
        <f>IF(Roster!$J$24="Español","HABILIDADES Y RASGOS","SKILLS &amp; TRAITS")</f>
        <v>SKILLS &amp; TRAITS</v>
      </c>
      <c r="T116" s="236"/>
      <c r="U116" s="236"/>
      <c r="V116" s="236"/>
      <c r="W116" s="236"/>
      <c r="X116" s="236"/>
      <c r="Y116" s="236"/>
      <c r="Z116" s="236"/>
      <c r="AA116" s="236"/>
      <c r="AB116" s="236"/>
      <c r="AC116" s="237"/>
      <c r="AD116" s="194"/>
      <c r="AE116" s="2"/>
      <c r="AF116" s="228"/>
      <c r="AG116" s="179"/>
      <c r="AH116" s="347" t="str">
        <f>IF(Roster!$J$24="Español","HABILIDADES Y RASGOS","SKILLS &amp; TRAITS")</f>
        <v>SKILLS &amp; TRAITS</v>
      </c>
      <c r="AI116" s="236"/>
      <c r="AJ116" s="236"/>
      <c r="AK116" s="236"/>
      <c r="AL116" s="236"/>
      <c r="AM116" s="236"/>
      <c r="AN116" s="236"/>
      <c r="AO116" s="236"/>
      <c r="AP116" s="236"/>
      <c r="AQ116" s="236"/>
      <c r="AR116" s="237"/>
      <c r="AS116" s="194"/>
      <c r="AT116" s="2"/>
      <c r="AU116" s="357"/>
      <c r="AV116" s="261"/>
      <c r="AW116" s="261"/>
      <c r="AX116" s="261"/>
      <c r="AY116" s="261"/>
      <c r="AZ116" s="261"/>
      <c r="BA116" s="261"/>
      <c r="BB116" s="261"/>
      <c r="BC116" s="261"/>
      <c r="BD116" s="261"/>
      <c r="BE116" s="261"/>
      <c r="BF116" s="261"/>
      <c r="BG116" s="261"/>
      <c r="BH116" s="358"/>
    </row>
    <row r="117" spans="1:60" ht="6.75" customHeight="1">
      <c r="A117" s="2"/>
      <c r="B117" s="229"/>
      <c r="C117" s="184"/>
      <c r="D117" s="348" t="str">
        <f>IF(Roster!$O$17=0&amp;BF17,"",Roster!$O$17)</f>
        <v/>
      </c>
      <c r="E117" s="340"/>
      <c r="F117" s="340"/>
      <c r="G117" s="340"/>
      <c r="H117" s="340"/>
      <c r="I117" s="340"/>
      <c r="J117" s="340"/>
      <c r="K117" s="340"/>
      <c r="L117" s="340"/>
      <c r="M117" s="340"/>
      <c r="N117" s="341"/>
      <c r="O117" s="194"/>
      <c r="P117" s="2"/>
      <c r="Q117" s="229"/>
      <c r="R117" s="199"/>
      <c r="S117" s="348" t="str">
        <f>IF(Roster!$O$18=0,"",Roster!$O$18)</f>
        <v/>
      </c>
      <c r="T117" s="340"/>
      <c r="U117" s="340"/>
      <c r="V117" s="340"/>
      <c r="W117" s="340"/>
      <c r="X117" s="340"/>
      <c r="Y117" s="340"/>
      <c r="Z117" s="340"/>
      <c r="AA117" s="340"/>
      <c r="AB117" s="340"/>
      <c r="AC117" s="341"/>
      <c r="AD117" s="194"/>
      <c r="AE117" s="2"/>
      <c r="AF117" s="229"/>
      <c r="AG117" s="199"/>
      <c r="AH117" s="348" t="str">
        <f>IF(Roster!$O$19=0,"",Roster!$O$19)</f>
        <v/>
      </c>
      <c r="AI117" s="340"/>
      <c r="AJ117" s="340"/>
      <c r="AK117" s="340"/>
      <c r="AL117" s="340"/>
      <c r="AM117" s="340"/>
      <c r="AN117" s="340"/>
      <c r="AO117" s="340"/>
      <c r="AP117" s="340"/>
      <c r="AQ117" s="340"/>
      <c r="AR117" s="341"/>
      <c r="AS117" s="194"/>
      <c r="AT117" s="2"/>
      <c r="AU117" s="357"/>
      <c r="AV117" s="261"/>
      <c r="AW117" s="261"/>
      <c r="AX117" s="261"/>
      <c r="AY117" s="261"/>
      <c r="AZ117" s="261"/>
      <c r="BA117" s="261"/>
      <c r="BB117" s="261"/>
      <c r="BC117" s="261"/>
      <c r="BD117" s="261"/>
      <c r="BE117" s="261"/>
      <c r="BF117" s="261"/>
      <c r="BG117" s="261"/>
      <c r="BH117" s="358"/>
    </row>
    <row r="118" spans="1:60" ht="11.25" customHeight="1">
      <c r="A118" s="2"/>
      <c r="B118" s="183" t="str">
        <f>IF(Roster!$AN$1=0,"",Roster!$AN$1)</f>
        <v>COST</v>
      </c>
      <c r="C118" s="183"/>
      <c r="D118" s="342"/>
      <c r="E118" s="261"/>
      <c r="F118" s="261"/>
      <c r="G118" s="261"/>
      <c r="H118" s="261"/>
      <c r="I118" s="261"/>
      <c r="J118" s="261"/>
      <c r="K118" s="261"/>
      <c r="L118" s="261"/>
      <c r="M118" s="261"/>
      <c r="N118" s="328"/>
      <c r="O118" s="195"/>
      <c r="P118" s="2"/>
      <c r="Q118" s="183" t="str">
        <f>IF(Roster!$AN$1=0,"",Roster!$AN$1)</f>
        <v>COST</v>
      </c>
      <c r="R118" s="199"/>
      <c r="S118" s="342"/>
      <c r="T118" s="261"/>
      <c r="U118" s="261"/>
      <c r="V118" s="261"/>
      <c r="W118" s="261"/>
      <c r="X118" s="261"/>
      <c r="Y118" s="261"/>
      <c r="Z118" s="261"/>
      <c r="AA118" s="261"/>
      <c r="AB118" s="261"/>
      <c r="AC118" s="328"/>
      <c r="AD118" s="195"/>
      <c r="AE118" s="2"/>
      <c r="AF118" s="183" t="str">
        <f>IF(Roster!$AN$1=0,"",Roster!$AN$1)</f>
        <v>COST</v>
      </c>
      <c r="AG118" s="199"/>
      <c r="AH118" s="342"/>
      <c r="AI118" s="261"/>
      <c r="AJ118" s="261"/>
      <c r="AK118" s="261"/>
      <c r="AL118" s="261"/>
      <c r="AM118" s="261"/>
      <c r="AN118" s="261"/>
      <c r="AO118" s="261"/>
      <c r="AP118" s="261"/>
      <c r="AQ118" s="261"/>
      <c r="AR118" s="328"/>
      <c r="AS118" s="195"/>
      <c r="AT118" s="2"/>
      <c r="AU118" s="357"/>
      <c r="AV118" s="261"/>
      <c r="AW118" s="261"/>
      <c r="AX118" s="261"/>
      <c r="AY118" s="261"/>
      <c r="AZ118" s="261"/>
      <c r="BA118" s="261"/>
      <c r="BB118" s="261"/>
      <c r="BC118" s="261"/>
      <c r="BD118" s="261"/>
      <c r="BE118" s="261"/>
      <c r="BF118" s="261"/>
      <c r="BG118" s="261"/>
      <c r="BH118" s="358"/>
    </row>
    <row r="119" spans="1:60" ht="34.5" customHeight="1">
      <c r="A119" s="2"/>
      <c r="B119" s="197" t="str">
        <f>IF(Roster!$AN$17=0,"",Roster!$AN$17)</f>
        <v/>
      </c>
      <c r="C119" s="198"/>
      <c r="D119" s="343"/>
      <c r="E119" s="344"/>
      <c r="F119" s="344"/>
      <c r="G119" s="344"/>
      <c r="H119" s="344"/>
      <c r="I119" s="344"/>
      <c r="J119" s="344"/>
      <c r="K119" s="344"/>
      <c r="L119" s="344"/>
      <c r="M119" s="344"/>
      <c r="N119" s="345"/>
      <c r="O119" s="195"/>
      <c r="P119" s="2"/>
      <c r="Q119" s="197" t="str">
        <f>IF(Roster!$AN$18=0,"",Roster!$AN$18)</f>
        <v/>
      </c>
      <c r="R119" s="199"/>
      <c r="S119" s="343"/>
      <c r="T119" s="344"/>
      <c r="U119" s="344"/>
      <c r="V119" s="344"/>
      <c r="W119" s="344"/>
      <c r="X119" s="344"/>
      <c r="Y119" s="344"/>
      <c r="Z119" s="344"/>
      <c r="AA119" s="344"/>
      <c r="AB119" s="344"/>
      <c r="AC119" s="345"/>
      <c r="AD119" s="195"/>
      <c r="AE119" s="2"/>
      <c r="AF119" s="197" t="str">
        <f>IF(Roster!$AN$19=0,"",Roster!$AN$19)</f>
        <v/>
      </c>
      <c r="AG119" s="199"/>
      <c r="AH119" s="343"/>
      <c r="AI119" s="344"/>
      <c r="AJ119" s="344"/>
      <c r="AK119" s="344"/>
      <c r="AL119" s="344"/>
      <c r="AM119" s="344"/>
      <c r="AN119" s="344"/>
      <c r="AO119" s="344"/>
      <c r="AP119" s="344"/>
      <c r="AQ119" s="344"/>
      <c r="AR119" s="345"/>
      <c r="AS119" s="195"/>
      <c r="AT119" s="2"/>
      <c r="AU119" s="357"/>
      <c r="AV119" s="261"/>
      <c r="AW119" s="261"/>
      <c r="AX119" s="261"/>
      <c r="AY119" s="261"/>
      <c r="AZ119" s="261"/>
      <c r="BA119" s="261"/>
      <c r="BB119" s="261"/>
      <c r="BC119" s="261"/>
      <c r="BD119" s="261"/>
      <c r="BE119" s="261"/>
      <c r="BF119" s="261"/>
      <c r="BG119" s="261"/>
      <c r="BH119" s="358"/>
    </row>
    <row r="120" spans="1:60" ht="4.5" customHeight="1">
      <c r="A120" s="2"/>
      <c r="B120" s="179"/>
      <c r="C120" s="179"/>
      <c r="D120" s="179"/>
      <c r="E120" s="179"/>
      <c r="F120" s="179"/>
      <c r="G120" s="179"/>
      <c r="H120" s="179"/>
      <c r="I120" s="179"/>
      <c r="J120" s="179"/>
      <c r="K120" s="179"/>
      <c r="L120" s="179"/>
      <c r="M120" s="179"/>
      <c r="N120" s="195"/>
      <c r="O120" s="195"/>
      <c r="P120" s="2"/>
      <c r="Q120" s="179"/>
      <c r="R120" s="179"/>
      <c r="S120" s="179"/>
      <c r="T120" s="179"/>
      <c r="U120" s="179"/>
      <c r="V120" s="179"/>
      <c r="W120" s="179"/>
      <c r="X120" s="179"/>
      <c r="Y120" s="179"/>
      <c r="Z120" s="179"/>
      <c r="AA120" s="179"/>
      <c r="AB120" s="179"/>
      <c r="AC120" s="195"/>
      <c r="AD120" s="195"/>
      <c r="AE120" s="2"/>
      <c r="AF120" s="179"/>
      <c r="AG120" s="179"/>
      <c r="AH120" s="179"/>
      <c r="AI120" s="179"/>
      <c r="AJ120" s="179"/>
      <c r="AK120" s="179"/>
      <c r="AL120" s="179"/>
      <c r="AM120" s="179"/>
      <c r="AN120" s="179"/>
      <c r="AO120" s="179"/>
      <c r="AP120" s="179"/>
      <c r="AQ120" s="179"/>
      <c r="AR120" s="195"/>
      <c r="AS120" s="195"/>
      <c r="AT120" s="2"/>
      <c r="AU120" s="359"/>
      <c r="AV120" s="360"/>
      <c r="AW120" s="360"/>
      <c r="AX120" s="360"/>
      <c r="AY120" s="360"/>
      <c r="AZ120" s="360"/>
      <c r="BA120" s="360"/>
      <c r="BB120" s="360"/>
      <c r="BC120" s="360"/>
      <c r="BD120" s="360"/>
      <c r="BE120" s="360"/>
      <c r="BF120" s="360"/>
      <c r="BG120" s="360"/>
      <c r="BH120" s="361"/>
    </row>
    <row r="121" spans="1:60" ht="10.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row>
    <row r="122" spans="1:60" ht="12.75" hidden="1"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row>
    <row r="123" spans="1:60" ht="12.75" hidden="1"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row>
    <row r="124" spans="1:60" ht="12.75" hidden="1"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row>
    <row r="125" spans="1:60" ht="12.75" hidden="1"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row>
    <row r="126" spans="1:60" ht="12.75" hidden="1"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row>
    <row r="127" spans="1:60" ht="12.75" hidden="1"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row>
    <row r="128" spans="1:60" ht="12.75" hidden="1"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row>
    <row r="129" spans="1:60" ht="12.75" hidden="1"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row>
    <row r="130" spans="1:60" ht="12.75" hidden="1"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row>
    <row r="131" spans="1:60" ht="12.75" hidden="1"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row>
    <row r="132" spans="1:60" ht="12.75" hidden="1"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row>
    <row r="133" spans="1:60" ht="12.75" hidden="1"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row>
    <row r="134" spans="1:60" ht="12.75" hidden="1"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row>
    <row r="135" spans="1:60" ht="12.75" hidden="1"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row>
    <row r="136" spans="1:60" ht="12.75" hidden="1"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row>
    <row r="137" spans="1:60" ht="12.75" hidden="1"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row>
    <row r="138" spans="1:60" ht="12.75" hidden="1"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row>
    <row r="139" spans="1:60" ht="12.75" hidden="1"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row>
    <row r="140" spans="1:60" ht="12.75" hidden="1"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row>
    <row r="141" spans="1:60" ht="12.75" hidden="1"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row>
    <row r="142" spans="1:60" ht="12.75" hidden="1"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row>
    <row r="143" spans="1:60" ht="12.75" hidden="1"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row>
    <row r="144" spans="1:60" ht="12.75" hidden="1"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row>
    <row r="145" spans="1:60" ht="12.75" hidden="1"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row>
    <row r="146" spans="1:60" ht="12.75" hidden="1"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row>
    <row r="147" spans="1:60" ht="12.75" hidden="1"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row>
    <row r="148" spans="1:60" ht="12.75" hidden="1"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row>
    <row r="149" spans="1:60" ht="12.75" hidden="1"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row>
    <row r="150" spans="1:60" ht="12.75" hidden="1"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row>
    <row r="151" spans="1:60" ht="12.75" hidden="1"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row>
    <row r="152" spans="1:60" ht="12.75" hidden="1"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row>
    <row r="153" spans="1:60" ht="12.75" hidden="1"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row>
    <row r="154" spans="1:60" ht="12.75" hidden="1"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row>
    <row r="155" spans="1:60" ht="12.75" hidden="1"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row>
    <row r="156" spans="1:60" ht="12.75" hidden="1"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row>
    <row r="157" spans="1:60" ht="12.75" hidden="1"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row>
    <row r="158" spans="1:60" ht="12.75" hidden="1"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row>
    <row r="159" spans="1:60" ht="12.75" hidden="1"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row>
    <row r="160" spans="1:60" ht="12.75" hidden="1"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row>
    <row r="161" spans="1:60" ht="12.75" hidden="1"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row>
    <row r="162" spans="1:60" ht="12.75" hidden="1"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row>
    <row r="163" spans="1:60" ht="12.75" hidden="1"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row>
    <row r="164" spans="1:60" ht="12.75" hidden="1"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row>
    <row r="165" spans="1:60" ht="12.75" hidden="1"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row>
    <row r="166" spans="1:60" ht="12.75" hidden="1"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row>
    <row r="167" spans="1:60" ht="12.75" hidden="1"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row>
    <row r="168" spans="1:60" ht="12.75" hidden="1"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row>
    <row r="169" spans="1:60" ht="12.75" hidden="1"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row>
    <row r="170" spans="1:60" ht="12.75" hidden="1"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row>
    <row r="171" spans="1:60" ht="12.75" hidden="1"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row>
    <row r="172" spans="1:60" ht="12.75" hidden="1"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row>
    <row r="173" spans="1:60" ht="12.75" hidden="1"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row>
    <row r="174" spans="1:60" ht="12.75" hidden="1"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row>
    <row r="175" spans="1:60" ht="12.75" hidden="1"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row>
    <row r="176" spans="1:60" ht="12.75" hidden="1"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row>
    <row r="177" spans="1:60" ht="12.75" hidden="1"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row>
    <row r="178" spans="1:60" ht="12.75" hidden="1"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row>
    <row r="179" spans="1:60" ht="12.75" hidden="1"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row>
    <row r="180" spans="1:60" ht="12.75" hidden="1"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row>
    <row r="181" spans="1:60" ht="12.75" hidden="1"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row>
    <row r="182" spans="1:60" ht="12.75" hidden="1"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row>
    <row r="183" spans="1:60" ht="12.75" hidden="1"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row>
    <row r="184" spans="1:60" ht="12.75" hidden="1"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row>
    <row r="185" spans="1:60" ht="12.75" hidden="1"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row>
    <row r="186" spans="1:60" ht="12.75" hidden="1"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row>
    <row r="187" spans="1:60" ht="12.75" hidden="1"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row>
    <row r="188" spans="1:60" ht="12.75" hidden="1"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row>
    <row r="189" spans="1:60" ht="12.75" hidden="1"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row>
    <row r="190" spans="1:60" ht="12.75" hidden="1"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row>
    <row r="191" spans="1:60" ht="12.75" hidden="1"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row>
    <row r="192" spans="1:60" ht="12.75" hidden="1"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row>
    <row r="193" spans="1:60" ht="12.75" hidden="1"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row>
    <row r="194" spans="1:60" ht="12.75" hidden="1"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row>
    <row r="195" spans="1:60" ht="12.75" hidden="1"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row>
    <row r="196" spans="1:60" ht="12.75" hidden="1"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row>
    <row r="197" spans="1:60" ht="12.75" hidden="1"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row>
    <row r="198" spans="1:60" ht="12.75" hidden="1"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row>
    <row r="199" spans="1:60" ht="12.75" hidden="1"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row>
    <row r="200" spans="1:60" ht="12.75" hidden="1"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row>
    <row r="201" spans="1:60" ht="12.75" hidden="1"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row>
    <row r="202" spans="1:60" ht="12.75" hidden="1"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row>
    <row r="203" spans="1:60" ht="12.75" hidden="1"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row>
    <row r="204" spans="1:60" ht="12.75" hidden="1"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row>
    <row r="205" spans="1:60" ht="12.75" hidden="1"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row>
    <row r="206" spans="1:60" ht="12.75" hidden="1"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row>
    <row r="207" spans="1:60" ht="12.75" hidden="1"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row>
    <row r="208" spans="1:60" ht="12.75" hidden="1"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row>
    <row r="209" spans="1:60" ht="12.75" hidden="1"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row>
    <row r="210" spans="1:60" ht="12.75" hidden="1"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row>
    <row r="211" spans="1:60" ht="12.75" hidden="1"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row>
    <row r="212" spans="1:60" ht="12.75" hidden="1"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row>
    <row r="213" spans="1:60" ht="12.75" hidden="1"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row>
    <row r="214" spans="1:60" ht="12.75" hidden="1"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row>
    <row r="215" spans="1:60" ht="12.75" hidden="1"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row>
    <row r="216" spans="1:60" ht="12.75" hidden="1"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row>
    <row r="217" spans="1:60" ht="12.75" hidden="1"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row>
    <row r="218" spans="1:60" ht="12.75" hidden="1"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row>
    <row r="219" spans="1:60" ht="12.75" hidden="1"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row>
    <row r="220" spans="1:60" ht="12.75" hidden="1"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row>
    <row r="221" spans="1:60" ht="12.75" hidden="1"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row>
    <row r="222" spans="1:60" ht="12.75" hidden="1"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row>
    <row r="223" spans="1:60" ht="12.75" hidden="1"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row>
    <row r="224" spans="1:60" ht="12.75" hidden="1"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row>
    <row r="225" spans="1:60" ht="12.75" hidden="1"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row>
    <row r="226" spans="1:60" ht="12.75" hidden="1"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row>
    <row r="227" spans="1:60" ht="12.75" hidden="1"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row>
    <row r="228" spans="1:60" ht="12.75" hidden="1"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row>
    <row r="229" spans="1:60" ht="12.75" hidden="1"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row>
    <row r="230" spans="1:60" ht="12.75" hidden="1"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row>
    <row r="231" spans="1:60" ht="12.75" hidden="1"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row>
    <row r="232" spans="1:60" ht="12.75" hidden="1"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row>
    <row r="233" spans="1:60" ht="12.75" hidden="1"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row>
    <row r="234" spans="1:60" ht="12.75" hidden="1"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row>
    <row r="235" spans="1:60" ht="12.75" hidden="1"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row>
    <row r="236" spans="1:60" ht="12.75" hidden="1"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row>
    <row r="237" spans="1:60" ht="12.75" hidden="1"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row>
    <row r="238" spans="1:60" ht="12.75" hidden="1"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row>
    <row r="239" spans="1:60" ht="12.75" hidden="1"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row>
    <row r="240" spans="1:60" ht="12.75" hidden="1"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row>
    <row r="241" spans="1:60" ht="12.75" hidden="1"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row>
    <row r="242" spans="1:60" ht="12.75" hidden="1"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row>
    <row r="243" spans="1:60" ht="12.75" hidden="1"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row>
    <row r="244" spans="1:60" ht="12.75" hidden="1"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row>
    <row r="245" spans="1:60" ht="12.75" hidden="1"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row>
    <row r="246" spans="1:60" ht="12.75" hidden="1"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row>
    <row r="247" spans="1:60" ht="12.75" hidden="1"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row>
    <row r="248" spans="1:60" ht="12.75" hidden="1"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row>
    <row r="249" spans="1:60" ht="12.75" hidden="1"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row>
    <row r="250" spans="1:60" ht="12.75" hidden="1"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row>
    <row r="251" spans="1:60" ht="12.75" hidden="1"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row>
    <row r="252" spans="1:60" ht="12.75" hidden="1"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row>
    <row r="253" spans="1:60" ht="12.75" hidden="1"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row>
    <row r="254" spans="1:60" ht="12.75" hidden="1"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row>
    <row r="255" spans="1:60" ht="12.75" hidden="1"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row>
    <row r="256" spans="1:60" ht="12.75" hidden="1"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row>
    <row r="257" spans="1:60" ht="12.75" hidden="1"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row>
    <row r="258" spans="1:60" ht="12.75" hidden="1"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row>
    <row r="259" spans="1:60" ht="12.75" hidden="1"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row>
    <row r="260" spans="1:60" ht="12.75" hidden="1"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row>
    <row r="261" spans="1:60" ht="12.75" hidden="1"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row>
    <row r="262" spans="1:60" ht="12.75" hidden="1"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row>
    <row r="263" spans="1:60" ht="12.75" hidden="1"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row>
    <row r="264" spans="1:60" ht="12.75" hidden="1"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row>
    <row r="265" spans="1:60" ht="12.75" hidden="1"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row>
    <row r="266" spans="1:60" ht="12.75" hidden="1"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row>
    <row r="267" spans="1:60" ht="12.75" hidden="1"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row>
    <row r="268" spans="1:60" ht="12.75" hidden="1"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row>
    <row r="269" spans="1:60" ht="12.75" hidden="1"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row>
    <row r="270" spans="1:60" ht="12.75" hidden="1"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row>
    <row r="271" spans="1:60" ht="12.75" hidden="1"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row>
    <row r="272" spans="1:60" ht="12.75" hidden="1"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row>
    <row r="273" spans="1:60" ht="12.75" hidden="1"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row>
    <row r="274" spans="1:60" ht="12.75" hidden="1"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row>
    <row r="275" spans="1:60" ht="12.75" hidden="1"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row>
    <row r="276" spans="1:60" ht="12.75" hidden="1"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row>
    <row r="277" spans="1:60" ht="12.75" hidden="1"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row>
    <row r="278" spans="1:60" ht="12.75" hidden="1"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row>
    <row r="279" spans="1:60" ht="12.75" hidden="1"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row>
    <row r="280" spans="1:60" ht="12.75" hidden="1"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row>
    <row r="281" spans="1:60" ht="12.75" hidden="1"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row>
    <row r="282" spans="1:60" ht="12.75" hidden="1"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row>
    <row r="283" spans="1:60" ht="12.75" hidden="1"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row>
    <row r="284" spans="1:60" ht="12.75" hidden="1"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row>
    <row r="285" spans="1:60" ht="12.75" hidden="1"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row>
    <row r="286" spans="1:60" ht="12.75" hidden="1"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row>
    <row r="287" spans="1:60" ht="12.75" hidden="1"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row>
    <row r="288" spans="1:60" ht="12.75" hidden="1"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row>
    <row r="289" spans="1:60" ht="12.75" hidden="1"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row>
    <row r="290" spans="1:60" ht="12.75" hidden="1"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row>
    <row r="291" spans="1:60" ht="12.75" hidden="1"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row>
    <row r="292" spans="1:60" ht="12.75" hidden="1"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row>
    <row r="293" spans="1:60" ht="12.75" hidden="1"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row>
    <row r="294" spans="1:60" ht="12.75" hidden="1"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row>
    <row r="295" spans="1:60" ht="12.75" hidden="1"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row>
    <row r="296" spans="1:60" ht="12.75" hidden="1"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row>
    <row r="297" spans="1:60" ht="12.75" hidden="1"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row>
    <row r="298" spans="1:60" ht="12.75" hidden="1"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row>
    <row r="299" spans="1:60" ht="12.75" hidden="1"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row>
    <row r="300" spans="1:60" ht="12.75" hidden="1"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row>
    <row r="301" spans="1:60" ht="12.75" hidden="1"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row>
    <row r="302" spans="1:60" ht="12.75" hidden="1"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row>
    <row r="303" spans="1:60" ht="12.75" hidden="1"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row>
    <row r="304" spans="1:60" ht="12.75" hidden="1"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row>
    <row r="305" spans="1:60" ht="12.75" hidden="1"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row>
    <row r="306" spans="1:60" ht="12.75" hidden="1"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row>
    <row r="307" spans="1:60" ht="12.75" hidden="1"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row>
    <row r="308" spans="1:60" ht="12.75" hidden="1"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row>
    <row r="309" spans="1:60" ht="12.75" hidden="1"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row>
    <row r="310" spans="1:60" ht="12.75" hidden="1"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row>
    <row r="311" spans="1:60" ht="12.75" hidden="1"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row>
    <row r="312" spans="1:60" ht="12.75" hidden="1"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row>
    <row r="313" spans="1:60" ht="12.75" hidden="1"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row>
    <row r="314" spans="1:60" ht="12.75" hidden="1"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row>
    <row r="315" spans="1:60" ht="12.75" hidden="1"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row>
    <row r="316" spans="1:60" ht="12.75" hidden="1"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row>
    <row r="317" spans="1:60" ht="12.75" hidden="1"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row>
    <row r="318" spans="1:60" ht="12.75" hidden="1"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row>
    <row r="319" spans="1:60" ht="12.75" hidden="1"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row>
    <row r="320" spans="1:60"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row>
    <row r="321" spans="1:60"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row>
    <row r="322" spans="1:60"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row>
    <row r="323" spans="1:60"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row>
    <row r="324" spans="1:60"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row>
    <row r="325" spans="1:60"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row>
    <row r="326" spans="1:60"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row>
    <row r="327" spans="1:60"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row>
    <row r="328" spans="1:60"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row>
    <row r="329" spans="1:60"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row>
    <row r="330" spans="1:60"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row>
    <row r="331" spans="1:60"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row>
    <row r="332" spans="1:60"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row>
    <row r="333" spans="1:60"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row>
    <row r="334" spans="1:60"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row>
    <row r="335" spans="1:60"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row>
    <row r="336" spans="1:60"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row>
    <row r="337" spans="1:60"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row>
    <row r="338" spans="1:60"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row>
    <row r="339" spans="1:60"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row>
    <row r="340" spans="1:60"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row>
    <row r="341" spans="1:60"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row>
    <row r="342" spans="1:60"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row>
    <row r="343" spans="1:60"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row>
    <row r="344" spans="1:60"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row>
    <row r="345" spans="1:60"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row>
    <row r="346" spans="1:60"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row>
    <row r="347" spans="1:60"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row>
    <row r="348" spans="1:60"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row>
    <row r="349" spans="1:60"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row>
    <row r="350" spans="1:60"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row>
    <row r="351" spans="1:60"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row>
    <row r="352" spans="1:60"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row>
    <row r="353" spans="1:60"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row>
    <row r="354" spans="1:60"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row>
    <row r="355" spans="1:60"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row>
    <row r="356" spans="1:60"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row>
    <row r="357" spans="1:60"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row>
    <row r="358" spans="1:60"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row>
    <row r="359" spans="1:60"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row>
    <row r="360" spans="1:60"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row>
    <row r="361" spans="1:60"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row>
    <row r="362" spans="1:60"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row>
    <row r="363" spans="1:60"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row>
    <row r="364" spans="1:60"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row>
    <row r="365" spans="1:60"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row>
    <row r="366" spans="1:60"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row>
    <row r="367" spans="1:60"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row>
    <row r="368" spans="1:60"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row>
    <row r="369" spans="1:60"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row>
    <row r="370" spans="1:60"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row>
    <row r="371" spans="1:60"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row>
    <row r="372" spans="1:60"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row>
    <row r="373" spans="1:60"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row>
    <row r="374" spans="1:60"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row>
    <row r="375" spans="1:60"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row>
    <row r="376" spans="1:60"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row>
    <row r="377" spans="1:60"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row>
    <row r="378" spans="1:60"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row>
    <row r="379" spans="1:60"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row>
    <row r="380" spans="1:60"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row>
    <row r="381" spans="1:60"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row>
    <row r="382" spans="1:60"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row>
    <row r="383" spans="1:60"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row>
    <row r="384" spans="1:60"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row>
    <row r="385" spans="1:60"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row>
    <row r="386" spans="1:60"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row>
    <row r="387" spans="1:60"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row>
    <row r="388" spans="1:60"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row>
    <row r="389" spans="1:60"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row>
    <row r="390" spans="1:60"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row>
    <row r="391" spans="1:60"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row>
    <row r="392" spans="1:60"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row>
    <row r="393" spans="1:60"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row>
    <row r="394" spans="1:60"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row>
    <row r="395" spans="1:60"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row>
    <row r="396" spans="1:60"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row>
    <row r="397" spans="1:60"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row>
    <row r="398" spans="1:60"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row>
    <row r="399" spans="1:60"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row>
    <row r="400" spans="1:60"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row>
    <row r="401" spans="1:60"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row>
    <row r="402" spans="1:60"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row>
    <row r="403" spans="1:60"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row>
    <row r="404" spans="1:60"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row>
    <row r="405" spans="1:60"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row>
    <row r="406" spans="1:60"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row>
    <row r="407" spans="1:60"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row>
    <row r="408" spans="1:60"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row>
    <row r="409" spans="1:60"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row>
    <row r="410" spans="1:60"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row>
    <row r="411" spans="1:60"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row>
    <row r="412" spans="1:60"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row>
    <row r="413" spans="1:60"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row>
    <row r="414" spans="1:60"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row>
    <row r="415" spans="1:60"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row>
    <row r="416" spans="1:60"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row>
    <row r="417" spans="1:60"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row>
    <row r="418" spans="1:60"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row>
    <row r="419" spans="1:60"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row>
    <row r="420" spans="1:60"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row>
    <row r="421" spans="1:60"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row>
    <row r="422" spans="1:60"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row>
    <row r="423" spans="1:60"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row>
    <row r="424" spans="1:60"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row>
    <row r="425" spans="1:60"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row>
    <row r="426" spans="1:60"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row>
    <row r="427" spans="1:60"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row>
    <row r="428" spans="1:60"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row>
    <row r="429" spans="1:60"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row>
    <row r="430" spans="1:60"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row>
    <row r="431" spans="1:60"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row>
    <row r="432" spans="1:60"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row>
    <row r="433" spans="1:60"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row>
    <row r="434" spans="1:60"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row>
    <row r="435" spans="1:60"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row>
    <row r="436" spans="1:60"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row>
    <row r="437" spans="1:60"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row>
    <row r="438" spans="1:60"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row>
    <row r="439" spans="1:60"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row>
    <row r="440" spans="1:60"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row>
    <row r="441" spans="1:60"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row>
    <row r="442" spans="1:60"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row>
    <row r="443" spans="1:60"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row>
    <row r="444" spans="1:60"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row>
    <row r="445" spans="1:60"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row>
    <row r="446" spans="1:60"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row>
    <row r="447" spans="1:60"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row>
    <row r="448" spans="1:60"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row>
    <row r="449" spans="1:60"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row>
    <row r="450" spans="1:60"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row>
    <row r="451" spans="1:60"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row>
    <row r="452" spans="1:60"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row>
    <row r="453" spans="1:60"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row>
    <row r="454" spans="1:60"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row>
    <row r="455" spans="1:60"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row>
    <row r="456" spans="1:60"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row>
    <row r="457" spans="1:60"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row>
    <row r="458" spans="1:60"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row>
    <row r="459" spans="1:60"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row>
    <row r="460" spans="1:60"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row>
    <row r="461" spans="1:60"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row>
    <row r="462" spans="1:60"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row>
    <row r="463" spans="1:60"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row>
    <row r="464" spans="1:60"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row>
    <row r="465" spans="1:60"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row>
    <row r="466" spans="1:60"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row>
    <row r="467" spans="1:60"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row>
    <row r="468" spans="1:60"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row>
    <row r="469" spans="1:60"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row>
    <row r="470" spans="1:60"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row>
    <row r="471" spans="1:60"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row>
    <row r="472" spans="1:60"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row>
    <row r="473" spans="1:60"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row>
    <row r="474" spans="1:60"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row>
    <row r="475" spans="1:60"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row>
    <row r="476" spans="1:60"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row>
    <row r="477" spans="1:60"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row>
    <row r="478" spans="1:60"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row>
    <row r="479" spans="1:60"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row>
    <row r="480" spans="1:60"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row>
    <row r="481" spans="1:60"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row>
    <row r="482" spans="1:60"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row>
    <row r="483" spans="1:60"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row>
    <row r="484" spans="1:60"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row>
    <row r="485" spans="1:60"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row>
    <row r="486" spans="1:60"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row>
    <row r="487" spans="1:60"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row>
    <row r="488" spans="1:60"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row>
    <row r="489" spans="1:60"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row>
    <row r="490" spans="1:60"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row>
    <row r="491" spans="1:60"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row>
    <row r="492" spans="1:60"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row>
    <row r="493" spans="1:60"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row>
    <row r="494" spans="1:60"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row>
    <row r="495" spans="1:60"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row>
    <row r="496" spans="1:60"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row>
    <row r="497" spans="1:60"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row>
    <row r="498" spans="1:60"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row>
    <row r="499" spans="1:60"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row>
    <row r="500" spans="1:60"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row>
    <row r="501" spans="1:60"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row>
    <row r="502" spans="1:60"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row>
    <row r="503" spans="1:60"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row>
    <row r="504" spans="1:60"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row>
    <row r="505" spans="1:60"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row>
    <row r="506" spans="1:60"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row>
    <row r="507" spans="1:60"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row>
    <row r="508" spans="1:60"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row>
    <row r="509" spans="1:60"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row>
    <row r="510" spans="1:60"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row>
    <row r="511" spans="1:60"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row>
    <row r="512" spans="1:60"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row>
    <row r="513" spans="1:60"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row>
    <row r="514" spans="1:60"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row>
    <row r="515" spans="1:60"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row>
    <row r="516" spans="1:60"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row>
    <row r="517" spans="1:60"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row>
    <row r="518" spans="1:60"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row>
    <row r="519" spans="1:60"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row>
    <row r="520" spans="1:60"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row>
    <row r="521" spans="1:60"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row>
    <row r="522" spans="1:60"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row>
    <row r="523" spans="1:60"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row>
    <row r="524" spans="1:60"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row>
    <row r="525" spans="1:60"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row>
    <row r="526" spans="1:60"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row>
    <row r="527" spans="1:60"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row>
    <row r="528" spans="1:60"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row>
    <row r="529" spans="1:60"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row>
    <row r="530" spans="1:60"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row>
    <row r="531" spans="1:60"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row>
    <row r="532" spans="1:60"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row>
    <row r="533" spans="1:60"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row>
    <row r="534" spans="1:60"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row>
    <row r="535" spans="1:60"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row>
    <row r="536" spans="1:60"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row>
    <row r="537" spans="1:60"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row>
    <row r="538" spans="1:60"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row>
    <row r="539" spans="1:60"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row>
    <row r="540" spans="1:60"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row>
    <row r="541" spans="1:60"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row>
    <row r="542" spans="1:60"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row>
    <row r="543" spans="1:60"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row>
    <row r="544" spans="1:60"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row>
    <row r="545" spans="1:60"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row>
    <row r="546" spans="1:60"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row>
    <row r="547" spans="1:60"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row>
    <row r="548" spans="1:60"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row>
    <row r="549" spans="1:60"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row>
    <row r="550" spans="1:60"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row>
    <row r="551" spans="1:60"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row>
    <row r="552" spans="1:60"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row>
    <row r="553" spans="1:60"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row>
    <row r="554" spans="1:60"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row>
    <row r="555" spans="1:60"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row>
    <row r="556" spans="1:60"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row>
    <row r="557" spans="1:60"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row>
    <row r="558" spans="1:60"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row>
    <row r="559" spans="1:60"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row>
    <row r="560" spans="1:60"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row>
    <row r="561" spans="1:60"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row>
    <row r="562" spans="1:60"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row>
    <row r="563" spans="1:60"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row>
    <row r="564" spans="1:60"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row>
    <row r="565" spans="1:60"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row>
    <row r="566" spans="1:60"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row>
    <row r="567" spans="1:60"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row>
    <row r="568" spans="1:60"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row>
    <row r="569" spans="1:60"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row>
    <row r="570" spans="1:60"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row>
    <row r="571" spans="1:60"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row>
    <row r="572" spans="1:60"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row>
    <row r="573" spans="1:60"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row>
    <row r="574" spans="1:60"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row>
    <row r="575" spans="1:60"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row>
    <row r="576" spans="1:60"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row>
    <row r="577" spans="1:60"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row>
    <row r="578" spans="1:60"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row>
    <row r="579" spans="1:60"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row>
    <row r="580" spans="1:60"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row>
    <row r="581" spans="1:60"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row>
    <row r="582" spans="1:60"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row>
    <row r="583" spans="1:60"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row>
    <row r="584" spans="1:60"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row>
    <row r="585" spans="1:60"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row>
    <row r="586" spans="1:60"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row>
    <row r="587" spans="1:60"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row>
    <row r="588" spans="1:60"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row>
    <row r="589" spans="1:60"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row>
    <row r="590" spans="1:60"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row>
    <row r="591" spans="1:60"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row>
    <row r="592" spans="1:60"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row>
    <row r="593" spans="1:60"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row>
    <row r="594" spans="1:60"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row>
    <row r="595" spans="1:60"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row>
    <row r="596" spans="1:60"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row>
    <row r="597" spans="1:60"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row>
    <row r="598" spans="1:60"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row>
    <row r="599" spans="1:60"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row>
    <row r="600" spans="1:60"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row>
    <row r="601" spans="1:60"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row>
    <row r="602" spans="1:60"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row>
    <row r="603" spans="1:60"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row>
    <row r="604" spans="1:60"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row>
    <row r="605" spans="1:60"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row>
    <row r="606" spans="1:60"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row>
    <row r="607" spans="1:60"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row>
    <row r="608" spans="1:60"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row>
    <row r="609" spans="1:60"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row>
    <row r="610" spans="1:60"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row>
    <row r="611" spans="1:60"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row>
    <row r="612" spans="1:60"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row>
    <row r="613" spans="1:60"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row>
    <row r="614" spans="1:60"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row>
    <row r="615" spans="1:60"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row>
    <row r="616" spans="1:60"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row>
    <row r="617" spans="1:60"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row>
    <row r="618" spans="1:60"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row>
    <row r="619" spans="1:60"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row>
    <row r="620" spans="1:60"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row>
    <row r="621" spans="1:60"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row>
    <row r="622" spans="1:60"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row>
    <row r="623" spans="1:60"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row>
    <row r="624" spans="1:60"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row>
    <row r="625" spans="1:60"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row>
    <row r="626" spans="1:60"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row>
    <row r="627" spans="1:60"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row>
    <row r="628" spans="1:60"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row>
    <row r="629" spans="1:60"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row>
    <row r="630" spans="1:60"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row>
    <row r="631" spans="1:60"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row>
    <row r="632" spans="1:60"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row>
    <row r="633" spans="1:60"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row>
    <row r="634" spans="1:60"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row>
    <row r="635" spans="1:60"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row>
    <row r="636" spans="1:60"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row>
    <row r="637" spans="1:60"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row>
    <row r="638" spans="1:60"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row>
    <row r="639" spans="1:60"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row>
    <row r="640" spans="1:60"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row>
    <row r="641" spans="1:60"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row>
    <row r="642" spans="1:60"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row>
    <row r="643" spans="1:60"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row>
    <row r="644" spans="1:60"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row>
    <row r="645" spans="1:60"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row>
    <row r="646" spans="1:60"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row>
    <row r="647" spans="1:60"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row>
    <row r="648" spans="1:60"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row>
    <row r="649" spans="1:60"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row>
    <row r="650" spans="1:60"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row>
    <row r="651" spans="1:60"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row>
    <row r="652" spans="1:60"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row>
    <row r="653" spans="1:60"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row>
    <row r="654" spans="1:60"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row>
    <row r="655" spans="1:60"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row>
    <row r="656" spans="1:60"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row>
    <row r="657" spans="1:60"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row>
    <row r="658" spans="1:60"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row>
    <row r="659" spans="1:60"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row>
    <row r="660" spans="1:60"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row>
    <row r="661" spans="1:60"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row>
    <row r="662" spans="1:60"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row>
    <row r="663" spans="1:60"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row>
    <row r="664" spans="1:60"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row>
    <row r="665" spans="1:60"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row>
    <row r="666" spans="1:60"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row>
    <row r="667" spans="1:60"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row>
    <row r="668" spans="1:60"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row>
    <row r="669" spans="1:60"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row>
    <row r="670" spans="1:60"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row>
    <row r="671" spans="1:60"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row>
    <row r="672" spans="1:60"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row>
    <row r="673" spans="1:60"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row>
    <row r="674" spans="1:60"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row>
    <row r="675" spans="1:60"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row>
    <row r="676" spans="1:60"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row>
    <row r="677" spans="1:60"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row>
    <row r="678" spans="1:60"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row>
    <row r="679" spans="1:60"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row>
    <row r="680" spans="1:60"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row>
    <row r="681" spans="1:60"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row>
    <row r="682" spans="1:60"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row>
    <row r="683" spans="1:60"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row>
    <row r="684" spans="1:60"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row>
    <row r="685" spans="1:60"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row>
    <row r="686" spans="1:60"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row>
    <row r="687" spans="1:60"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row>
    <row r="688" spans="1:60"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row>
    <row r="689" spans="1:60"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row>
    <row r="690" spans="1:60"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row>
    <row r="691" spans="1:60"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row>
    <row r="692" spans="1:60"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row>
    <row r="693" spans="1:60"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row>
    <row r="694" spans="1:60"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row>
    <row r="695" spans="1:60"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row>
    <row r="696" spans="1:60"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row>
    <row r="697" spans="1:60"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row>
    <row r="698" spans="1:60"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row>
    <row r="699" spans="1:60"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row>
    <row r="700" spans="1:60"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row>
    <row r="701" spans="1:60"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row>
    <row r="702" spans="1:60"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row>
    <row r="703" spans="1:60"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row>
    <row r="704" spans="1:60"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row>
    <row r="705" spans="1:60"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row>
    <row r="706" spans="1:60"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row>
    <row r="707" spans="1:60"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row>
    <row r="708" spans="1:60"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row>
    <row r="709" spans="1:60"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row>
    <row r="710" spans="1:60"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row>
    <row r="711" spans="1:60"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row>
    <row r="712" spans="1:60"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row>
    <row r="713" spans="1:60"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row>
    <row r="714" spans="1:60"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row>
    <row r="715" spans="1:60"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row>
    <row r="716" spans="1:60"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row>
    <row r="717" spans="1:60"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row>
    <row r="718" spans="1:60"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row>
    <row r="719" spans="1:60"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row>
    <row r="720" spans="1:60"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row>
    <row r="721" spans="1:60"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row>
    <row r="722" spans="1:60"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row>
    <row r="723" spans="1:60"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row>
    <row r="724" spans="1:60"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row>
    <row r="725" spans="1:60"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row>
    <row r="726" spans="1:60"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row>
    <row r="727" spans="1:60"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row>
    <row r="728" spans="1:60"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row>
    <row r="729" spans="1:60"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row>
    <row r="730" spans="1:60"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row>
    <row r="731" spans="1:60"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row>
    <row r="732" spans="1:60"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row>
    <row r="733" spans="1:60"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row>
    <row r="734" spans="1:60"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row>
    <row r="735" spans="1:60"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row>
    <row r="736" spans="1:60"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row>
    <row r="737" spans="1:60"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row>
    <row r="738" spans="1:60"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row>
    <row r="739" spans="1:60"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row>
    <row r="740" spans="1:60"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row>
    <row r="741" spans="1:60"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row>
    <row r="742" spans="1:60"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row>
    <row r="743" spans="1:60"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row>
    <row r="744" spans="1:60"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row>
    <row r="745" spans="1:60"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row>
    <row r="746" spans="1:60"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row>
    <row r="747" spans="1:60"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row>
    <row r="748" spans="1:60"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row>
    <row r="749" spans="1:60"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row>
    <row r="750" spans="1:60"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row>
    <row r="751" spans="1:60"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row>
    <row r="752" spans="1:60"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row>
    <row r="753" spans="1:60"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row>
    <row r="754" spans="1:60"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row>
    <row r="755" spans="1:60"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row>
    <row r="756" spans="1:60"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row>
    <row r="757" spans="1:60"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row>
    <row r="758" spans="1:60"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row>
    <row r="759" spans="1:60"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row>
    <row r="760" spans="1:60"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row>
    <row r="761" spans="1:60"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row>
    <row r="762" spans="1:60"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row>
    <row r="763" spans="1:60"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row>
    <row r="764" spans="1:60"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row>
    <row r="765" spans="1:60"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row>
    <row r="766" spans="1:60"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row>
    <row r="767" spans="1:60"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row>
    <row r="768" spans="1:60"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row>
    <row r="769" spans="1:60"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row>
    <row r="770" spans="1:60"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row>
    <row r="771" spans="1:60"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row>
    <row r="772" spans="1:60"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row>
    <row r="773" spans="1:60"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row>
    <row r="774" spans="1:60"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row>
    <row r="775" spans="1:60"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row>
    <row r="776" spans="1:60"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row>
    <row r="777" spans="1:60"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row>
    <row r="778" spans="1:60"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row>
    <row r="779" spans="1:60"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row>
    <row r="780" spans="1:60"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row>
    <row r="781" spans="1:60"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row>
    <row r="782" spans="1:60"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row>
    <row r="783" spans="1:60"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row>
    <row r="784" spans="1:60"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row>
    <row r="785" spans="1:60"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row>
    <row r="786" spans="1:60"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row>
    <row r="787" spans="1:60"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row>
    <row r="788" spans="1:60"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row>
    <row r="789" spans="1:60"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row>
    <row r="790" spans="1:60"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row>
    <row r="791" spans="1:60"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row>
    <row r="792" spans="1:60"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row>
    <row r="793" spans="1:60"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row>
    <row r="794" spans="1:60"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row>
    <row r="795" spans="1:60"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row>
    <row r="796" spans="1:60"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row>
    <row r="797" spans="1:60"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row>
    <row r="798" spans="1:60"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row>
    <row r="799" spans="1:60"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row>
    <row r="800" spans="1:60"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row>
    <row r="801" spans="1:60"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row>
    <row r="802" spans="1:60"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row>
    <row r="803" spans="1:60"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row>
    <row r="804" spans="1:60"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row>
    <row r="805" spans="1:60"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row>
    <row r="806" spans="1:60"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row>
    <row r="807" spans="1:60"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row>
    <row r="808" spans="1:60"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row>
    <row r="809" spans="1:60"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row>
    <row r="810" spans="1:60"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row>
    <row r="811" spans="1:60"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row>
    <row r="812" spans="1:60"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row>
    <row r="813" spans="1:60"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row>
    <row r="814" spans="1:60"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row>
    <row r="815" spans="1:60"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row>
    <row r="816" spans="1:60"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row>
    <row r="817" spans="1:60"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row>
    <row r="818" spans="1:60"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row>
    <row r="819" spans="1:60"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row>
    <row r="820" spans="1:60"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row>
    <row r="821" spans="1:60"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row>
    <row r="822" spans="1:60"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row>
    <row r="823" spans="1:60"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row>
    <row r="824" spans="1:60"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row>
    <row r="825" spans="1:60"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row>
    <row r="826" spans="1:60"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row>
    <row r="827" spans="1:60"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row>
    <row r="828" spans="1:60"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row>
    <row r="829" spans="1:60"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row>
    <row r="830" spans="1:60"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row>
    <row r="831" spans="1:60"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row>
    <row r="832" spans="1:60"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row>
    <row r="833" spans="1:60"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row>
    <row r="834" spans="1:60"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row>
    <row r="835" spans="1:60"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row>
    <row r="836" spans="1:60"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row>
    <row r="837" spans="1:60"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row>
    <row r="838" spans="1:60"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row>
    <row r="839" spans="1:60"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row>
    <row r="840" spans="1:60"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row>
    <row r="841" spans="1:60"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row>
    <row r="842" spans="1:60"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row>
    <row r="843" spans="1:60"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row>
    <row r="844" spans="1:60"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row>
    <row r="845" spans="1:60"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row>
    <row r="846" spans="1:60"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row>
    <row r="847" spans="1:60"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row>
    <row r="848" spans="1:60"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row>
    <row r="849" spans="1:60"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row>
    <row r="850" spans="1:60"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row>
    <row r="851" spans="1:60"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row>
    <row r="852" spans="1:60"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row>
    <row r="853" spans="1:60"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row>
    <row r="854" spans="1:60"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row>
    <row r="855" spans="1:60"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row>
    <row r="856" spans="1:60"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row>
    <row r="857" spans="1:60"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row>
    <row r="858" spans="1:60"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row>
    <row r="859" spans="1:60"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row>
    <row r="860" spans="1:60"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row>
    <row r="861" spans="1:60"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row>
    <row r="862" spans="1:60"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row>
    <row r="863" spans="1:60"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row>
    <row r="864" spans="1:60"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row>
    <row r="865" spans="1:60"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row>
    <row r="866" spans="1:60"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row>
    <row r="867" spans="1:60"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row>
    <row r="868" spans="1:60"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row>
    <row r="869" spans="1:60"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row>
    <row r="870" spans="1:60"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row>
    <row r="871" spans="1:60"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row>
    <row r="872" spans="1:60"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row>
    <row r="873" spans="1:60"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row>
    <row r="874" spans="1:60"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row>
    <row r="875" spans="1:60"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row>
    <row r="876" spans="1:60"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row>
    <row r="877" spans="1:60"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row>
    <row r="878" spans="1:60"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row>
    <row r="879" spans="1:60"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row>
    <row r="880" spans="1:60"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row>
    <row r="881" spans="1:60"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row>
    <row r="882" spans="1:60"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row>
    <row r="883" spans="1:60"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row>
    <row r="884" spans="1:60"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row>
    <row r="885" spans="1:60"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row>
    <row r="886" spans="1:60"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row>
    <row r="887" spans="1:60"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row>
    <row r="888" spans="1:60"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row>
    <row r="889" spans="1:60"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row>
    <row r="890" spans="1:60"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row>
    <row r="891" spans="1:60"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row>
    <row r="892" spans="1:60"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row>
    <row r="893" spans="1:60"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row>
    <row r="894" spans="1:60"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row>
    <row r="895" spans="1:60"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row>
    <row r="896" spans="1:60"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row>
    <row r="897" spans="1:60"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row>
    <row r="898" spans="1:60"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row>
    <row r="899" spans="1:60"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row>
    <row r="900" spans="1:60"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row>
    <row r="901" spans="1:60"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row>
    <row r="902" spans="1:60"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row>
    <row r="903" spans="1:60"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row>
    <row r="904" spans="1:60"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row>
    <row r="905" spans="1:60"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row>
    <row r="906" spans="1:60"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row>
    <row r="907" spans="1:60"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row>
    <row r="908" spans="1:60"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row>
    <row r="909" spans="1:60"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row>
    <row r="910" spans="1:60"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row>
    <row r="911" spans="1:60"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row>
    <row r="912" spans="1:60"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row>
    <row r="913" spans="1:60"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row>
    <row r="914" spans="1:60"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row>
    <row r="915" spans="1:60"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row>
    <row r="916" spans="1:60"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row>
    <row r="917" spans="1:60"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row>
    <row r="918" spans="1:60"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row>
    <row r="919" spans="1:60"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row>
    <row r="920" spans="1:60"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row>
    <row r="921" spans="1:60"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row>
    <row r="922" spans="1:60"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row>
    <row r="923" spans="1:60"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row>
    <row r="924" spans="1:60"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row>
    <row r="925" spans="1:60"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row>
    <row r="926" spans="1:60"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row>
    <row r="927" spans="1:60"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row>
    <row r="928" spans="1:60"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row>
    <row r="929" spans="1:60"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row>
    <row r="930" spans="1:60"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row>
    <row r="931" spans="1:60"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row>
    <row r="932" spans="1:60"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row>
    <row r="933" spans="1:60"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row>
    <row r="934" spans="1:60"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row>
    <row r="935" spans="1:60"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row>
    <row r="936" spans="1:60"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row>
    <row r="937" spans="1:60"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row>
    <row r="938" spans="1:60"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row>
    <row r="939" spans="1:60"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row>
    <row r="940" spans="1:60"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row>
    <row r="941" spans="1:60"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row>
    <row r="942" spans="1:60"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row>
    <row r="943" spans="1:60"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row>
    <row r="944" spans="1:60"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row>
    <row r="945" spans="1:60"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row>
    <row r="946" spans="1:60"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row>
    <row r="947" spans="1:60"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row>
    <row r="948" spans="1:60"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row>
    <row r="949" spans="1:60"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row>
    <row r="950" spans="1:60"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row>
    <row r="951" spans="1:60"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row>
    <row r="952" spans="1:60"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row>
    <row r="953" spans="1:60"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row>
    <row r="954" spans="1:60"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row>
    <row r="955" spans="1:60"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row>
    <row r="956" spans="1:60"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row>
    <row r="957" spans="1:60"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row>
    <row r="958" spans="1:60"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row>
    <row r="959" spans="1:60"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row>
    <row r="960" spans="1:60"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row>
    <row r="961" spans="1:60"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row>
    <row r="962" spans="1:60"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row>
    <row r="963" spans="1:60"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row>
    <row r="964" spans="1:60"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row>
    <row r="965" spans="1:60"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row>
    <row r="966" spans="1:60"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row>
    <row r="967" spans="1:60"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row>
    <row r="968" spans="1:60"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row>
    <row r="969" spans="1:60"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row>
    <row r="970" spans="1:60"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row>
    <row r="971" spans="1:60"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row>
    <row r="972" spans="1:60"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row>
    <row r="973" spans="1:60"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row>
    <row r="974" spans="1:60"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row>
    <row r="975" spans="1:60"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row>
    <row r="976" spans="1:60"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row>
    <row r="977" spans="1:60"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row>
    <row r="978" spans="1:60"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row>
    <row r="979" spans="1:60"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row>
    <row r="980" spans="1:60"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row>
    <row r="981" spans="1:60"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row>
    <row r="982" spans="1:60"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row>
    <row r="983" spans="1:60"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row>
    <row r="984" spans="1:60"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row>
    <row r="985" spans="1:60"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row>
    <row r="986" spans="1:60"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row>
    <row r="987" spans="1:60"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row>
    <row r="988" spans="1:60"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row>
    <row r="989" spans="1:60"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row>
    <row r="990" spans="1:60"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row>
    <row r="991" spans="1:60"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row>
    <row r="992" spans="1:60"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row>
    <row r="993" spans="1:60"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row>
    <row r="994" spans="1:60"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row>
    <row r="995" spans="1:60"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row>
    <row r="996" spans="1:60"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row>
    <row r="997" spans="1:60"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row>
    <row r="998" spans="1:60"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row>
    <row r="999" spans="1:60"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row>
    <row r="1000" spans="1:60"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row>
  </sheetData>
  <mergeCells count="192">
    <mergeCell ref="Q2:Q4"/>
    <mergeCell ref="H8:J8"/>
    <mergeCell ref="L8:N8"/>
    <mergeCell ref="R3:AC3"/>
    <mergeCell ref="R4:AC4"/>
    <mergeCell ref="D117:N119"/>
    <mergeCell ref="C75:N75"/>
    <mergeCell ref="C76:N76"/>
    <mergeCell ref="C77:N84"/>
    <mergeCell ref="D92:N92"/>
    <mergeCell ref="D93:N95"/>
    <mergeCell ref="C99:N99"/>
    <mergeCell ref="C100:N100"/>
    <mergeCell ref="Q66:Q69"/>
    <mergeCell ref="Q74:Q76"/>
    <mergeCell ref="Q84:Q88"/>
    <mergeCell ref="Q90:Q93"/>
    <mergeCell ref="R27:AC27"/>
    <mergeCell ref="R28:AC28"/>
    <mergeCell ref="S21:AC23"/>
    <mergeCell ref="Q18:Q21"/>
    <mergeCell ref="L23:N23"/>
    <mergeCell ref="R5:AC12"/>
    <mergeCell ref="R75:AC75"/>
    <mergeCell ref="AF26:AF28"/>
    <mergeCell ref="B90:B93"/>
    <mergeCell ref="B98:B100"/>
    <mergeCell ref="B108:B112"/>
    <mergeCell ref="B114:B117"/>
    <mergeCell ref="B26:B28"/>
    <mergeCell ref="B36:B40"/>
    <mergeCell ref="B42:B45"/>
    <mergeCell ref="B50:B52"/>
    <mergeCell ref="B60:B64"/>
    <mergeCell ref="B66:B69"/>
    <mergeCell ref="B74:B76"/>
    <mergeCell ref="Q98:Q100"/>
    <mergeCell ref="Q108:Q112"/>
    <mergeCell ref="Q114:Q117"/>
    <mergeCell ref="Q50:Q52"/>
    <mergeCell ref="C51:N51"/>
    <mergeCell ref="C52:N52"/>
    <mergeCell ref="C53:N60"/>
    <mergeCell ref="Q60:Q64"/>
    <mergeCell ref="D68:N68"/>
    <mergeCell ref="D69:N71"/>
    <mergeCell ref="C101:N108"/>
    <mergeCell ref="D116:N116"/>
    <mergeCell ref="B2:B5"/>
    <mergeCell ref="D5:F5"/>
    <mergeCell ref="B6:B23"/>
    <mergeCell ref="D8:F8"/>
    <mergeCell ref="D9:F9"/>
    <mergeCell ref="D10:F10"/>
    <mergeCell ref="D12:F16"/>
    <mergeCell ref="D22:F22"/>
    <mergeCell ref="D23:F23"/>
    <mergeCell ref="D11:F11"/>
    <mergeCell ref="C3:N3"/>
    <mergeCell ref="C4:N4"/>
    <mergeCell ref="H5:J5"/>
    <mergeCell ref="L5:N5"/>
    <mergeCell ref="H6:J6"/>
    <mergeCell ref="H7:J7"/>
    <mergeCell ref="L11:N11"/>
    <mergeCell ref="D6:F6"/>
    <mergeCell ref="D7:F7"/>
    <mergeCell ref="L6:N6"/>
    <mergeCell ref="L7:N7"/>
    <mergeCell ref="H9:J9"/>
    <mergeCell ref="L9:N9"/>
    <mergeCell ref="L18:N21"/>
    <mergeCell ref="B84:B88"/>
    <mergeCell ref="C29:N36"/>
    <mergeCell ref="Q36:Q40"/>
    <mergeCell ref="Q42:Q45"/>
    <mergeCell ref="D44:N44"/>
    <mergeCell ref="D45:N47"/>
    <mergeCell ref="H10:J10"/>
    <mergeCell ref="L10:N10"/>
    <mergeCell ref="H11:J11"/>
    <mergeCell ref="C27:N27"/>
    <mergeCell ref="C28:N28"/>
    <mergeCell ref="H12:J16"/>
    <mergeCell ref="L12:N16"/>
    <mergeCell ref="Q12:Q16"/>
    <mergeCell ref="H17:J17"/>
    <mergeCell ref="L17:N17"/>
    <mergeCell ref="H22:J22"/>
    <mergeCell ref="L22:N22"/>
    <mergeCell ref="H23:J23"/>
    <mergeCell ref="B24:N24"/>
    <mergeCell ref="Q24:AC24"/>
    <mergeCell ref="D17:F17"/>
    <mergeCell ref="D18:F21"/>
    <mergeCell ref="H18:J21"/>
    <mergeCell ref="AF12:AF16"/>
    <mergeCell ref="AF2:AF4"/>
    <mergeCell ref="AU2:AU4"/>
    <mergeCell ref="AH20:AR20"/>
    <mergeCell ref="AF18:AF21"/>
    <mergeCell ref="AU18:AU21"/>
    <mergeCell ref="AH21:AR23"/>
    <mergeCell ref="AV3:BG3"/>
    <mergeCell ref="Q26:Q28"/>
    <mergeCell ref="AU26:AU28"/>
    <mergeCell ref="AG27:AR27"/>
    <mergeCell ref="AV27:BG27"/>
    <mergeCell ref="AG28:AR28"/>
    <mergeCell ref="AV28:BG28"/>
    <mergeCell ref="AG3:AR3"/>
    <mergeCell ref="AG4:AR4"/>
    <mergeCell ref="AG5:AR12"/>
    <mergeCell ref="AV5:BG12"/>
    <mergeCell ref="AU12:AU16"/>
    <mergeCell ref="AW20:BG20"/>
    <mergeCell ref="AW21:BG23"/>
    <mergeCell ref="AV4:BG4"/>
    <mergeCell ref="S20:AC20"/>
    <mergeCell ref="AF24:AR24"/>
    <mergeCell ref="AG75:AR75"/>
    <mergeCell ref="R53:AC60"/>
    <mergeCell ref="R29:AC36"/>
    <mergeCell ref="AG29:AR36"/>
    <mergeCell ref="AV29:BG36"/>
    <mergeCell ref="AF36:AF40"/>
    <mergeCell ref="AU36:AU40"/>
    <mergeCell ref="AF42:AF45"/>
    <mergeCell ref="AU42:AU45"/>
    <mergeCell ref="AW44:BG44"/>
    <mergeCell ref="AV51:BG51"/>
    <mergeCell ref="AF50:AF52"/>
    <mergeCell ref="R52:AC52"/>
    <mergeCell ref="AV52:BG52"/>
    <mergeCell ref="S44:AC44"/>
    <mergeCell ref="AH44:AR44"/>
    <mergeCell ref="S45:AC47"/>
    <mergeCell ref="AH45:AR47"/>
    <mergeCell ref="AW45:BG47"/>
    <mergeCell ref="AU50:AU52"/>
    <mergeCell ref="AG52:AR52"/>
    <mergeCell ref="AF66:AF69"/>
    <mergeCell ref="S68:AC68"/>
    <mergeCell ref="S69:AC71"/>
    <mergeCell ref="AH68:AR68"/>
    <mergeCell ref="AH69:AR71"/>
    <mergeCell ref="R51:AC51"/>
    <mergeCell ref="AG51:AR51"/>
    <mergeCell ref="AU66:AU69"/>
    <mergeCell ref="AW93:BG95"/>
    <mergeCell ref="AF98:AF100"/>
    <mergeCell ref="AG99:AR99"/>
    <mergeCell ref="AG100:AR100"/>
    <mergeCell ref="AV53:BG60"/>
    <mergeCell ref="AW68:BG68"/>
    <mergeCell ref="AW69:BG71"/>
    <mergeCell ref="AV75:BG75"/>
    <mergeCell ref="AV76:BG76"/>
    <mergeCell ref="AU74:AU76"/>
    <mergeCell ref="AG53:AR60"/>
    <mergeCell ref="AF60:AF64"/>
    <mergeCell ref="AU60:AU64"/>
    <mergeCell ref="AF74:AF76"/>
    <mergeCell ref="AU84:AU88"/>
    <mergeCell ref="AU90:AU93"/>
    <mergeCell ref="AU98:BH120"/>
    <mergeCell ref="R76:AC76"/>
    <mergeCell ref="AH111:AR114"/>
    <mergeCell ref="R99:AC99"/>
    <mergeCell ref="R100:AC100"/>
    <mergeCell ref="R101:AC108"/>
    <mergeCell ref="AG101:AR108"/>
    <mergeCell ref="AF108:AF112"/>
    <mergeCell ref="S110:AC110"/>
    <mergeCell ref="S111:AC114"/>
    <mergeCell ref="AH93:AR95"/>
    <mergeCell ref="AF114:AF117"/>
    <mergeCell ref="S116:AC116"/>
    <mergeCell ref="AH116:AR116"/>
    <mergeCell ref="S117:AC119"/>
    <mergeCell ref="AH117:AR119"/>
    <mergeCell ref="AH110:AR110"/>
    <mergeCell ref="AG76:AR76"/>
    <mergeCell ref="R77:AC84"/>
    <mergeCell ref="AG77:AR84"/>
    <mergeCell ref="AV77:BG84"/>
    <mergeCell ref="AF84:AF88"/>
    <mergeCell ref="AF90:AF93"/>
    <mergeCell ref="AW92:BG92"/>
    <mergeCell ref="S92:AC92"/>
    <mergeCell ref="AH92:AR92"/>
    <mergeCell ref="S93:AC95"/>
  </mergeCells>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000"/>
  <sheetViews>
    <sheetView showGridLines="0" workbookViewId="0"/>
  </sheetViews>
  <sheetFormatPr defaultColWidth="14.42578125" defaultRowHeight="15" customHeight="1"/>
  <cols>
    <col min="1" max="1" width="2.140625" customWidth="1"/>
    <col min="2" max="2" width="7.85546875" customWidth="1"/>
    <col min="3" max="3" width="0.85546875" customWidth="1"/>
    <col min="4" max="4" width="5" customWidth="1"/>
    <col min="5" max="5" width="0.85546875" customWidth="1"/>
    <col min="6" max="6" width="5" customWidth="1"/>
    <col min="7" max="7" width="0.85546875" customWidth="1"/>
    <col min="8" max="8" width="5" customWidth="1"/>
    <col min="9" max="9" width="0.85546875" customWidth="1"/>
    <col min="10" max="10" width="5" customWidth="1"/>
    <col min="11" max="11" width="0.85546875" customWidth="1"/>
    <col min="12" max="12" width="5" customWidth="1"/>
    <col min="13" max="13" width="0.85546875" customWidth="1"/>
    <col min="14" max="14" width="5" customWidth="1"/>
    <col min="15" max="15" width="0.85546875" customWidth="1"/>
    <col min="16" max="16" width="2.140625" customWidth="1"/>
    <col min="17" max="17" width="7.85546875" customWidth="1"/>
    <col min="18" max="18" width="0.85546875" customWidth="1"/>
    <col min="19" max="19" width="5" customWidth="1"/>
    <col min="20" max="20" width="0.85546875" customWidth="1"/>
    <col min="21" max="21" width="5" customWidth="1"/>
    <col min="22" max="22" width="0.85546875" customWidth="1"/>
    <col min="23" max="23" width="5" customWidth="1"/>
    <col min="24" max="24" width="0.85546875" customWidth="1"/>
    <col min="25" max="25" width="5" customWidth="1"/>
    <col min="26" max="26" width="0.85546875" customWidth="1"/>
    <col min="27" max="27" width="5" customWidth="1"/>
    <col min="28" max="28" width="0.85546875" customWidth="1"/>
    <col min="29" max="29" width="5" customWidth="1"/>
    <col min="30" max="30" width="0.85546875" customWidth="1"/>
    <col min="31" max="31" width="2.140625" customWidth="1"/>
    <col min="32" max="32" width="7.85546875" customWidth="1"/>
    <col min="33" max="33" width="0.85546875" customWidth="1"/>
    <col min="34" max="34" width="5" customWidth="1"/>
    <col min="35" max="35" width="0.85546875" customWidth="1"/>
    <col min="36" max="36" width="5" customWidth="1"/>
    <col min="37" max="37" width="0.85546875" customWidth="1"/>
    <col min="38" max="38" width="5" customWidth="1"/>
    <col min="39" max="39" width="0.85546875" customWidth="1"/>
    <col min="40" max="40" width="5" customWidth="1"/>
    <col min="41" max="41" width="0.85546875" customWidth="1"/>
    <col min="42" max="42" width="5" customWidth="1"/>
    <col min="43" max="43" width="0.85546875" customWidth="1"/>
    <col min="44" max="44" width="5" customWidth="1"/>
    <col min="45" max="45" width="0.85546875" customWidth="1"/>
    <col min="46" max="46" width="2.140625" customWidth="1"/>
    <col min="47" max="47" width="7.85546875" customWidth="1"/>
    <col min="48" max="48" width="0.85546875" customWidth="1"/>
    <col min="49" max="49" width="5" customWidth="1"/>
    <col min="50" max="50" width="0.85546875" customWidth="1"/>
    <col min="51" max="51" width="5" customWidth="1"/>
    <col min="52" max="52" width="0.85546875" customWidth="1"/>
    <col min="53" max="53" width="5" customWidth="1"/>
    <col min="54" max="54" width="0.85546875" customWidth="1"/>
    <col min="55" max="55" width="5" customWidth="1"/>
    <col min="56" max="56" width="0.85546875" customWidth="1"/>
    <col min="57" max="57" width="5" customWidth="1"/>
    <col min="58" max="58" width="0.85546875" customWidth="1"/>
    <col min="59" max="59" width="5" customWidth="1"/>
    <col min="60" max="60" width="0.85546875" customWidth="1"/>
  </cols>
  <sheetData>
    <row r="1" spans="1:60" ht="11.2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row>
    <row r="2" spans="1:60" ht="4.5" customHeight="1">
      <c r="A2" s="2"/>
      <c r="B2" s="377"/>
      <c r="C2" s="200"/>
      <c r="D2" s="200"/>
      <c r="E2" s="200"/>
      <c r="F2" s="200"/>
      <c r="G2" s="200"/>
      <c r="H2" s="200"/>
      <c r="I2" s="200"/>
      <c r="J2" s="200"/>
      <c r="K2" s="200"/>
      <c r="L2" s="200"/>
      <c r="M2" s="200"/>
      <c r="N2" s="200"/>
      <c r="O2" s="201"/>
      <c r="P2" s="2"/>
      <c r="Q2" s="377" t="str">
        <f>IF(Roster!$A$2=0,"","#"&amp;Roster!$A$2)</f>
        <v>#1</v>
      </c>
      <c r="R2" s="200"/>
      <c r="S2" s="200"/>
      <c r="T2" s="200"/>
      <c r="U2" s="200"/>
      <c r="V2" s="200"/>
      <c r="W2" s="200"/>
      <c r="X2" s="200"/>
      <c r="Y2" s="200"/>
      <c r="Z2" s="200"/>
      <c r="AA2" s="200"/>
      <c r="AB2" s="200"/>
      <c r="AC2" s="200"/>
      <c r="AD2" s="201"/>
      <c r="AE2" s="2"/>
      <c r="AF2" s="377" t="str">
        <f>IF(Roster!$A$3=0,"","#"&amp;Roster!$A$3)</f>
        <v>#2</v>
      </c>
      <c r="AG2" s="200"/>
      <c r="AH2" s="200"/>
      <c r="AI2" s="200"/>
      <c r="AJ2" s="200"/>
      <c r="AK2" s="200"/>
      <c r="AL2" s="200"/>
      <c r="AM2" s="200"/>
      <c r="AN2" s="200"/>
      <c r="AO2" s="200"/>
      <c r="AP2" s="200"/>
      <c r="AQ2" s="200"/>
      <c r="AR2" s="200"/>
      <c r="AS2" s="201"/>
      <c r="AT2" s="2"/>
      <c r="AU2" s="377" t="str">
        <f>IF(Roster!$A$4=0,"","#"&amp;Roster!$A$4)</f>
        <v>#3</v>
      </c>
      <c r="AV2" s="200"/>
      <c r="AW2" s="200"/>
      <c r="AX2" s="200"/>
      <c r="AY2" s="200"/>
      <c r="AZ2" s="200"/>
      <c r="BA2" s="200"/>
      <c r="BB2" s="200"/>
      <c r="BC2" s="200"/>
      <c r="BD2" s="200"/>
      <c r="BE2" s="200"/>
      <c r="BF2" s="200"/>
      <c r="BG2" s="200"/>
      <c r="BH2" s="201"/>
    </row>
    <row r="3" spans="1:60" ht="15" customHeight="1">
      <c r="A3" s="2"/>
      <c r="B3" s="244"/>
      <c r="C3" s="369" t="str">
        <f>IF(Roster!$J$23=0,Roster!$C$23,Roster!$J$23)</f>
        <v>Midnight Stalkers</v>
      </c>
      <c r="D3" s="236"/>
      <c r="E3" s="236"/>
      <c r="F3" s="236"/>
      <c r="G3" s="236"/>
      <c r="H3" s="236"/>
      <c r="I3" s="236"/>
      <c r="J3" s="236"/>
      <c r="K3" s="236"/>
      <c r="L3" s="236"/>
      <c r="M3" s="236"/>
      <c r="N3" s="237"/>
      <c r="O3" s="202"/>
      <c r="P3" s="2"/>
      <c r="Q3" s="244"/>
      <c r="R3" s="369" t="str">
        <f>IF(Roster!$B$2=0,"",Roster!$B$2)</f>
        <v>Frankie Doodle</v>
      </c>
      <c r="S3" s="236"/>
      <c r="T3" s="236"/>
      <c r="U3" s="236"/>
      <c r="V3" s="236"/>
      <c r="W3" s="236"/>
      <c r="X3" s="236"/>
      <c r="Y3" s="236"/>
      <c r="Z3" s="236"/>
      <c r="AA3" s="236"/>
      <c r="AB3" s="236"/>
      <c r="AC3" s="237"/>
      <c r="AD3" s="202"/>
      <c r="AE3" s="2"/>
      <c r="AF3" s="244"/>
      <c r="AG3" s="369" t="str">
        <f>IF(Roster!$B$3=0,"",Roster!$B$3)</f>
        <v>Elton Joke</v>
      </c>
      <c r="AH3" s="236"/>
      <c r="AI3" s="236"/>
      <c r="AJ3" s="236"/>
      <c r="AK3" s="236"/>
      <c r="AL3" s="236"/>
      <c r="AM3" s="236"/>
      <c r="AN3" s="236"/>
      <c r="AO3" s="236"/>
      <c r="AP3" s="236"/>
      <c r="AQ3" s="236"/>
      <c r="AR3" s="237"/>
      <c r="AS3" s="202"/>
      <c r="AT3" s="2"/>
      <c r="AU3" s="244"/>
      <c r="AV3" s="369" t="str">
        <f>IF(Roster!$B$4=0,"",Roster!$B$4)</f>
        <v>Brown Sugar</v>
      </c>
      <c r="AW3" s="236"/>
      <c r="AX3" s="236"/>
      <c r="AY3" s="236"/>
      <c r="AZ3" s="236"/>
      <c r="BA3" s="236"/>
      <c r="BB3" s="236"/>
      <c r="BC3" s="236"/>
      <c r="BD3" s="236"/>
      <c r="BE3" s="236"/>
      <c r="BF3" s="236"/>
      <c r="BG3" s="237"/>
      <c r="BH3" s="202"/>
    </row>
    <row r="4" spans="1:60" ht="11.25" customHeight="1">
      <c r="A4" s="2"/>
      <c r="B4" s="244"/>
      <c r="C4" s="378" t="str">
        <f>IF(Roster!$J$20="SPONSORS",Roster!$J$22,Roster!$J$22&amp;"; Sponsor: "&amp;Roster!$J$20)</f>
        <v>Necromantic</v>
      </c>
      <c r="D4" s="236"/>
      <c r="E4" s="236"/>
      <c r="F4" s="236"/>
      <c r="G4" s="236"/>
      <c r="H4" s="236"/>
      <c r="I4" s="236"/>
      <c r="J4" s="236"/>
      <c r="K4" s="236"/>
      <c r="L4" s="236"/>
      <c r="M4" s="236"/>
      <c r="N4" s="237"/>
      <c r="O4" s="203"/>
      <c r="P4" s="2"/>
      <c r="Q4" s="245"/>
      <c r="R4" s="378" t="str">
        <f>IF(Roster!$C$2=0,"",Roster!$C$2)</f>
        <v>Flesh Golem</v>
      </c>
      <c r="S4" s="236"/>
      <c r="T4" s="236"/>
      <c r="U4" s="236"/>
      <c r="V4" s="236"/>
      <c r="W4" s="236"/>
      <c r="X4" s="236"/>
      <c r="Y4" s="236"/>
      <c r="Z4" s="236"/>
      <c r="AA4" s="236"/>
      <c r="AB4" s="236"/>
      <c r="AC4" s="237"/>
      <c r="AD4" s="203"/>
      <c r="AE4" s="2"/>
      <c r="AF4" s="245"/>
      <c r="AG4" s="378" t="str">
        <f>IF(Roster!$C$3=0,"",Roster!$C$3)</f>
        <v>Flesh Golem</v>
      </c>
      <c r="AH4" s="236"/>
      <c r="AI4" s="236"/>
      <c r="AJ4" s="236"/>
      <c r="AK4" s="236"/>
      <c r="AL4" s="236"/>
      <c r="AM4" s="236"/>
      <c r="AN4" s="236"/>
      <c r="AO4" s="236"/>
      <c r="AP4" s="236"/>
      <c r="AQ4" s="236"/>
      <c r="AR4" s="237"/>
      <c r="AS4" s="203"/>
      <c r="AT4" s="2"/>
      <c r="AU4" s="245"/>
      <c r="AV4" s="378" t="str">
        <f>IF(Roster!$C$4=0,"",Roster!$C$4)</f>
        <v>Werewolf</v>
      </c>
      <c r="AW4" s="236"/>
      <c r="AX4" s="236"/>
      <c r="AY4" s="236"/>
      <c r="AZ4" s="236"/>
      <c r="BA4" s="236"/>
      <c r="BB4" s="236"/>
      <c r="BC4" s="236"/>
      <c r="BD4" s="236"/>
      <c r="BE4" s="236"/>
      <c r="BF4" s="236"/>
      <c r="BG4" s="237"/>
      <c r="BH4" s="203"/>
    </row>
    <row r="5" spans="1:60" ht="11.25" customHeight="1">
      <c r="A5" s="2"/>
      <c r="B5" s="245"/>
      <c r="C5" s="204"/>
      <c r="D5" s="378" t="str">
        <f>IF(Roster!$C$31=0,"",Roster!$C$31)</f>
        <v>TEAM VALUE</v>
      </c>
      <c r="E5" s="236"/>
      <c r="F5" s="237"/>
      <c r="G5" s="205"/>
      <c r="H5" s="378" t="str">
        <f>IF(Roster!$C$25=0,"",Roster!$C$25)</f>
        <v>DEDICATED FANS</v>
      </c>
      <c r="I5" s="236"/>
      <c r="J5" s="237"/>
      <c r="K5" s="205"/>
      <c r="L5" s="378" t="str">
        <f>IF(Roster!$AD$20=0,"",Roster!$AD$20)</f>
        <v>TOTAL REROLLS</v>
      </c>
      <c r="M5" s="236"/>
      <c r="N5" s="237"/>
      <c r="O5" s="202"/>
      <c r="P5" s="2"/>
      <c r="Q5" s="206" t="str">
        <f>IF(Roster!$J$1=0,"",Roster!$J$1)</f>
        <v>MA</v>
      </c>
      <c r="R5" s="207"/>
      <c r="S5" s="207"/>
      <c r="T5" s="207"/>
      <c r="U5" s="207"/>
      <c r="V5" s="207"/>
      <c r="W5" s="207"/>
      <c r="X5" s="207"/>
      <c r="Y5" s="207"/>
      <c r="Z5" s="207"/>
      <c r="AA5" s="207"/>
      <c r="AB5" s="207"/>
      <c r="AC5" s="207"/>
      <c r="AD5" s="202"/>
      <c r="AE5" s="2"/>
      <c r="AF5" s="206" t="str">
        <f>IF(Roster!$J$1=0,"",Roster!$J$1)</f>
        <v>MA</v>
      </c>
      <c r="AG5" s="207"/>
      <c r="AH5" s="207"/>
      <c r="AI5" s="207"/>
      <c r="AJ5" s="207"/>
      <c r="AK5" s="207"/>
      <c r="AL5" s="207"/>
      <c r="AM5" s="207"/>
      <c r="AN5" s="207"/>
      <c r="AO5" s="207"/>
      <c r="AP5" s="207"/>
      <c r="AQ5" s="207"/>
      <c r="AR5" s="207"/>
      <c r="AS5" s="202"/>
      <c r="AT5" s="2"/>
      <c r="AU5" s="206" t="str">
        <f>IF(Roster!$J$1=0,"",Roster!$J$1)</f>
        <v>MA</v>
      </c>
      <c r="AV5" s="207"/>
      <c r="AW5" s="207"/>
      <c r="AX5" s="207"/>
      <c r="AY5" s="207"/>
      <c r="AZ5" s="207"/>
      <c r="BA5" s="207"/>
      <c r="BB5" s="207"/>
      <c r="BC5" s="207"/>
      <c r="BD5" s="207"/>
      <c r="BE5" s="207"/>
      <c r="BF5" s="207"/>
      <c r="BG5" s="207"/>
      <c r="BH5" s="202"/>
    </row>
    <row r="6" spans="1:60" ht="37.5" customHeight="1">
      <c r="A6" s="2"/>
      <c r="B6" s="397" t="str">
        <f>IF(Roster!$J$21=0,"",Roster!$J$21)</f>
        <v>Fabio Paride</v>
      </c>
      <c r="C6" s="208"/>
      <c r="D6" s="396">
        <f>Roster!$J$31</f>
        <v>1330</v>
      </c>
      <c r="E6" s="233"/>
      <c r="F6" s="234"/>
      <c r="G6" s="205"/>
      <c r="H6" s="396">
        <f>IF(Roster!$J$25=0,"",Roster!$J$25)</f>
        <v>3</v>
      </c>
      <c r="I6" s="233"/>
      <c r="J6" s="234"/>
      <c r="K6" s="205"/>
      <c r="L6" s="396">
        <f>Roster!$AI$21</f>
        <v>2</v>
      </c>
      <c r="M6" s="233"/>
      <c r="N6" s="234"/>
      <c r="O6" s="202"/>
      <c r="P6" s="2"/>
      <c r="Q6" s="209">
        <f>IF(Roster!$J$2=0,"",Roster!$J$2)</f>
        <v>4</v>
      </c>
      <c r="R6" s="207"/>
      <c r="S6" s="392"/>
      <c r="T6" s="289"/>
      <c r="U6" s="289"/>
      <c r="V6" s="289"/>
      <c r="W6" s="289"/>
      <c r="X6" s="289"/>
      <c r="Y6" s="289"/>
      <c r="Z6" s="289"/>
      <c r="AA6" s="289"/>
      <c r="AB6" s="289"/>
      <c r="AC6" s="264"/>
      <c r="AD6" s="202"/>
      <c r="AE6" s="2"/>
      <c r="AF6" s="209">
        <f>IF(Roster!$J$3=0,"",Roster!$J$3)</f>
        <v>4</v>
      </c>
      <c r="AG6" s="207"/>
      <c r="AH6" s="392"/>
      <c r="AI6" s="289"/>
      <c r="AJ6" s="289"/>
      <c r="AK6" s="289"/>
      <c r="AL6" s="289"/>
      <c r="AM6" s="289"/>
      <c r="AN6" s="289"/>
      <c r="AO6" s="289"/>
      <c r="AP6" s="289"/>
      <c r="AQ6" s="289"/>
      <c r="AR6" s="264"/>
      <c r="AS6" s="202"/>
      <c r="AT6" s="2"/>
      <c r="AU6" s="209">
        <f>IF(Roster!$J$4=0,"",Roster!$J$4)</f>
        <v>8</v>
      </c>
      <c r="AV6" s="207"/>
      <c r="AW6" s="392"/>
      <c r="AX6" s="289"/>
      <c r="AY6" s="289"/>
      <c r="AZ6" s="289"/>
      <c r="BA6" s="289"/>
      <c r="BB6" s="289"/>
      <c r="BC6" s="289"/>
      <c r="BD6" s="289"/>
      <c r="BE6" s="289"/>
      <c r="BF6" s="289"/>
      <c r="BG6" s="264"/>
      <c r="BH6" s="202"/>
    </row>
    <row r="7" spans="1:60" ht="11.25" customHeight="1">
      <c r="A7" s="2"/>
      <c r="B7" s="244"/>
      <c r="C7" s="207"/>
      <c r="D7" s="378" t="str">
        <f>IF(Roster!$R$21=0,"",Roster!$R$21)</f>
        <v>MORTUARY ASSISTANT</v>
      </c>
      <c r="E7" s="236"/>
      <c r="F7" s="237"/>
      <c r="G7" s="205"/>
      <c r="H7" s="378" t="str">
        <f>IF(Roster!$R$22=0,"",Roster!$R$22)</f>
        <v>CHEERLEADERS</v>
      </c>
      <c r="I7" s="236"/>
      <c r="J7" s="237"/>
      <c r="K7" s="205"/>
      <c r="L7" s="378" t="str">
        <f>IF(Roster!$R$23=0,"",Roster!$R$23)</f>
        <v>ASSISTANT COACHES</v>
      </c>
      <c r="M7" s="236"/>
      <c r="N7" s="237"/>
      <c r="O7" s="202"/>
      <c r="P7" s="2"/>
      <c r="Q7" s="206" t="str">
        <f>IF(Roster!$K$1=0,"",Roster!$K$1)</f>
        <v>ST</v>
      </c>
      <c r="R7" s="207"/>
      <c r="S7" s="265"/>
      <c r="T7" s="261"/>
      <c r="U7" s="261"/>
      <c r="V7" s="261"/>
      <c r="W7" s="261"/>
      <c r="X7" s="261"/>
      <c r="Y7" s="261"/>
      <c r="Z7" s="261"/>
      <c r="AA7" s="261"/>
      <c r="AB7" s="261"/>
      <c r="AC7" s="266"/>
      <c r="AD7" s="202"/>
      <c r="AE7" s="2"/>
      <c r="AF7" s="206" t="str">
        <f>IF(Roster!$K$1=0,"",Roster!$K$1)</f>
        <v>ST</v>
      </c>
      <c r="AG7" s="207"/>
      <c r="AH7" s="265"/>
      <c r="AI7" s="261"/>
      <c r="AJ7" s="261"/>
      <c r="AK7" s="261"/>
      <c r="AL7" s="261"/>
      <c r="AM7" s="261"/>
      <c r="AN7" s="261"/>
      <c r="AO7" s="261"/>
      <c r="AP7" s="261"/>
      <c r="AQ7" s="261"/>
      <c r="AR7" s="266"/>
      <c r="AS7" s="202"/>
      <c r="AT7" s="2"/>
      <c r="AU7" s="206" t="str">
        <f>IF(Roster!$K$1=0,"",Roster!$K$1)</f>
        <v>ST</v>
      </c>
      <c r="AV7" s="207"/>
      <c r="AW7" s="265"/>
      <c r="AX7" s="261"/>
      <c r="AY7" s="261"/>
      <c r="AZ7" s="261"/>
      <c r="BA7" s="261"/>
      <c r="BB7" s="261"/>
      <c r="BC7" s="261"/>
      <c r="BD7" s="261"/>
      <c r="BE7" s="261"/>
      <c r="BF7" s="261"/>
      <c r="BG7" s="266"/>
      <c r="BH7" s="202"/>
    </row>
    <row r="8" spans="1:60" ht="37.5" customHeight="1">
      <c r="A8" s="2"/>
      <c r="B8" s="244"/>
      <c r="C8" s="210"/>
      <c r="D8" s="396">
        <f>Roster!$W$21</f>
        <v>0</v>
      </c>
      <c r="E8" s="233"/>
      <c r="F8" s="234"/>
      <c r="G8" s="205"/>
      <c r="H8" s="396">
        <f>Roster!$W$22</f>
        <v>0</v>
      </c>
      <c r="I8" s="233"/>
      <c r="J8" s="234"/>
      <c r="K8" s="205"/>
      <c r="L8" s="396">
        <f>Roster!$W$23</f>
        <v>0</v>
      </c>
      <c r="M8" s="233"/>
      <c r="N8" s="234"/>
      <c r="O8" s="202"/>
      <c r="P8" s="2"/>
      <c r="Q8" s="209">
        <f>IF(Roster!$K$2=0,"",Roster!$K$2)</f>
        <v>4</v>
      </c>
      <c r="R8" s="207"/>
      <c r="S8" s="265"/>
      <c r="T8" s="261"/>
      <c r="U8" s="261"/>
      <c r="V8" s="261"/>
      <c r="W8" s="261"/>
      <c r="X8" s="261"/>
      <c r="Y8" s="261"/>
      <c r="Z8" s="261"/>
      <c r="AA8" s="261"/>
      <c r="AB8" s="261"/>
      <c r="AC8" s="266"/>
      <c r="AD8" s="202"/>
      <c r="AE8" s="2"/>
      <c r="AF8" s="209">
        <f>IF(Roster!$K$3=0,"",Roster!$K$3)</f>
        <v>4</v>
      </c>
      <c r="AG8" s="207"/>
      <c r="AH8" s="265"/>
      <c r="AI8" s="261"/>
      <c r="AJ8" s="261"/>
      <c r="AK8" s="261"/>
      <c r="AL8" s="261"/>
      <c r="AM8" s="261"/>
      <c r="AN8" s="261"/>
      <c r="AO8" s="261"/>
      <c r="AP8" s="261"/>
      <c r="AQ8" s="261"/>
      <c r="AR8" s="266"/>
      <c r="AS8" s="202"/>
      <c r="AT8" s="2"/>
      <c r="AU8" s="209">
        <f>IF(Roster!$K$4=0,"",Roster!$K$4)</f>
        <v>3</v>
      </c>
      <c r="AV8" s="207"/>
      <c r="AW8" s="265"/>
      <c r="AX8" s="261"/>
      <c r="AY8" s="261"/>
      <c r="AZ8" s="261"/>
      <c r="BA8" s="261"/>
      <c r="BB8" s="261"/>
      <c r="BC8" s="261"/>
      <c r="BD8" s="261"/>
      <c r="BE8" s="261"/>
      <c r="BF8" s="261"/>
      <c r="BG8" s="266"/>
      <c r="BH8" s="202"/>
    </row>
    <row r="9" spans="1:60" ht="11.25" customHeight="1">
      <c r="A9" s="2"/>
      <c r="B9" s="244"/>
      <c r="C9" s="204"/>
      <c r="D9" s="378" t="str">
        <f>IF(Roster!$R$24=0,"",Roster!$R$24)</f>
        <v>BLOODWEISER KEGS</v>
      </c>
      <c r="E9" s="236"/>
      <c r="F9" s="237"/>
      <c r="G9" s="205"/>
      <c r="H9" s="378" t="str">
        <f>IF(Roster!$R$28=0,"",Roster!$R$28)</f>
        <v>BRIBES</v>
      </c>
      <c r="I9" s="236"/>
      <c r="J9" s="237"/>
      <c r="K9" s="205"/>
      <c r="L9" s="378" t="str">
        <f>IF(Roster!$R$29=0,"",Roster!$R$29)</f>
        <v>MASTER CHEF</v>
      </c>
      <c r="M9" s="236"/>
      <c r="N9" s="237"/>
      <c r="O9" s="202"/>
      <c r="P9" s="2"/>
      <c r="Q9" s="206" t="str">
        <f>IF(Roster!$L$1=0,"",Roster!$L$1)</f>
        <v>AG</v>
      </c>
      <c r="R9" s="207"/>
      <c r="S9" s="265"/>
      <c r="T9" s="261"/>
      <c r="U9" s="261"/>
      <c r="V9" s="261"/>
      <c r="W9" s="261"/>
      <c r="X9" s="261"/>
      <c r="Y9" s="261"/>
      <c r="Z9" s="261"/>
      <c r="AA9" s="261"/>
      <c r="AB9" s="261"/>
      <c r="AC9" s="266"/>
      <c r="AD9" s="202"/>
      <c r="AE9" s="2"/>
      <c r="AF9" s="206" t="str">
        <f>IF(Roster!$L$1=0,"",Roster!$L$1)</f>
        <v>AG</v>
      </c>
      <c r="AG9" s="207"/>
      <c r="AH9" s="265"/>
      <c r="AI9" s="261"/>
      <c r="AJ9" s="261"/>
      <c r="AK9" s="261"/>
      <c r="AL9" s="261"/>
      <c r="AM9" s="261"/>
      <c r="AN9" s="261"/>
      <c r="AO9" s="261"/>
      <c r="AP9" s="261"/>
      <c r="AQ9" s="261"/>
      <c r="AR9" s="266"/>
      <c r="AS9" s="202"/>
      <c r="AT9" s="2"/>
      <c r="AU9" s="206" t="str">
        <f>IF(Roster!$L$1=0,"",Roster!$L$1)</f>
        <v>AG</v>
      </c>
      <c r="AV9" s="207"/>
      <c r="AW9" s="265"/>
      <c r="AX9" s="261"/>
      <c r="AY9" s="261"/>
      <c r="AZ9" s="261"/>
      <c r="BA9" s="261"/>
      <c r="BB9" s="261"/>
      <c r="BC9" s="261"/>
      <c r="BD9" s="261"/>
      <c r="BE9" s="261"/>
      <c r="BF9" s="261"/>
      <c r="BG9" s="266"/>
      <c r="BH9" s="202"/>
    </row>
    <row r="10" spans="1:60" ht="37.5" customHeight="1">
      <c r="A10" s="2"/>
      <c r="B10" s="244"/>
      <c r="C10" s="210"/>
      <c r="D10" s="396">
        <f>Roster!$W$24</f>
        <v>0</v>
      </c>
      <c r="E10" s="233"/>
      <c r="F10" s="234"/>
      <c r="G10" s="205"/>
      <c r="H10" s="396">
        <f>Roster!$W$28</f>
        <v>0</v>
      </c>
      <c r="I10" s="233"/>
      <c r="J10" s="234"/>
      <c r="K10" s="205"/>
      <c r="L10" s="396">
        <f>Roster!$W$29</f>
        <v>0</v>
      </c>
      <c r="M10" s="233"/>
      <c r="N10" s="234"/>
      <c r="O10" s="202"/>
      <c r="P10" s="2"/>
      <c r="Q10" s="209" t="str">
        <f>IF(Roster!$L$2=0&amp;"+","",Roster!$L$2)</f>
        <v>4+</v>
      </c>
      <c r="R10" s="207"/>
      <c r="S10" s="265"/>
      <c r="T10" s="261"/>
      <c r="U10" s="261"/>
      <c r="V10" s="261"/>
      <c r="W10" s="261"/>
      <c r="X10" s="261"/>
      <c r="Y10" s="261"/>
      <c r="Z10" s="261"/>
      <c r="AA10" s="261"/>
      <c r="AB10" s="261"/>
      <c r="AC10" s="266"/>
      <c r="AD10" s="202"/>
      <c r="AE10" s="2"/>
      <c r="AF10" s="209" t="str">
        <f>IF(Roster!$L$3=0&amp;"+","",Roster!$L$3)</f>
        <v>4+</v>
      </c>
      <c r="AG10" s="207"/>
      <c r="AH10" s="265"/>
      <c r="AI10" s="261"/>
      <c r="AJ10" s="261"/>
      <c r="AK10" s="261"/>
      <c r="AL10" s="261"/>
      <c r="AM10" s="261"/>
      <c r="AN10" s="261"/>
      <c r="AO10" s="261"/>
      <c r="AP10" s="261"/>
      <c r="AQ10" s="261"/>
      <c r="AR10" s="266"/>
      <c r="AS10" s="202"/>
      <c r="AT10" s="2"/>
      <c r="AU10" s="209" t="str">
        <f>IF(Roster!$L$4=0&amp;"+","",Roster!$L$4)</f>
        <v>3+</v>
      </c>
      <c r="AV10" s="207"/>
      <c r="AW10" s="265"/>
      <c r="AX10" s="261"/>
      <c r="AY10" s="261"/>
      <c r="AZ10" s="261"/>
      <c r="BA10" s="261"/>
      <c r="BB10" s="261"/>
      <c r="BC10" s="261"/>
      <c r="BD10" s="261"/>
      <c r="BE10" s="261"/>
      <c r="BF10" s="261"/>
      <c r="BG10" s="266"/>
      <c r="BH10" s="202"/>
    </row>
    <row r="11" spans="1:60" ht="11.25" customHeight="1">
      <c r="A11" s="2"/>
      <c r="B11" s="244"/>
      <c r="C11" s="207"/>
      <c r="D11" s="393" t="str">
        <f>IF(Roster!$R$30=0,"",Roster!$R$30)</f>
        <v>RIOTOUS ROOKIES</v>
      </c>
      <c r="E11" s="236"/>
      <c r="F11" s="237"/>
      <c r="G11" s="207"/>
      <c r="H11" s="393" t="str">
        <f>IF(Roster!$AD$24=0,"",Roster!$AD$24)</f>
        <v>WIZARDS</v>
      </c>
      <c r="I11" s="236"/>
      <c r="J11" s="237"/>
      <c r="K11" s="207"/>
      <c r="L11" s="378" t="str">
        <f>IF(Roster!$AD$23=0,"",Roster!$AD$23)</f>
        <v>WEATHER MAGE</v>
      </c>
      <c r="M11" s="236"/>
      <c r="N11" s="237"/>
      <c r="O11" s="211"/>
      <c r="P11" s="2"/>
      <c r="Q11" s="206" t="str">
        <f>IF(Roster!$M$1=0,"",Roster!$M$1)</f>
        <v>PA</v>
      </c>
      <c r="R11" s="207"/>
      <c r="S11" s="265"/>
      <c r="T11" s="261"/>
      <c r="U11" s="261"/>
      <c r="V11" s="261"/>
      <c r="W11" s="261"/>
      <c r="X11" s="261"/>
      <c r="Y11" s="261"/>
      <c r="Z11" s="261"/>
      <c r="AA11" s="261"/>
      <c r="AB11" s="261"/>
      <c r="AC11" s="266"/>
      <c r="AD11" s="211"/>
      <c r="AE11" s="2"/>
      <c r="AF11" s="206" t="str">
        <f>IF(Roster!$M$1=0,"",Roster!$M$1)</f>
        <v>PA</v>
      </c>
      <c r="AG11" s="207"/>
      <c r="AH11" s="265"/>
      <c r="AI11" s="261"/>
      <c r="AJ11" s="261"/>
      <c r="AK11" s="261"/>
      <c r="AL11" s="261"/>
      <c r="AM11" s="261"/>
      <c r="AN11" s="261"/>
      <c r="AO11" s="261"/>
      <c r="AP11" s="261"/>
      <c r="AQ11" s="261"/>
      <c r="AR11" s="266"/>
      <c r="AS11" s="211"/>
      <c r="AT11" s="2"/>
      <c r="AU11" s="206" t="str">
        <f>IF(Roster!$M$1=0,"",Roster!$M$1)</f>
        <v>PA</v>
      </c>
      <c r="AV11" s="207"/>
      <c r="AW11" s="265"/>
      <c r="AX11" s="261"/>
      <c r="AY11" s="261"/>
      <c r="AZ11" s="261"/>
      <c r="BA11" s="261"/>
      <c r="BB11" s="261"/>
      <c r="BC11" s="261"/>
      <c r="BD11" s="261"/>
      <c r="BE11" s="261"/>
      <c r="BF11" s="261"/>
      <c r="BG11" s="266"/>
      <c r="BH11" s="211"/>
    </row>
    <row r="12" spans="1:60" ht="6" customHeight="1">
      <c r="A12" s="2"/>
      <c r="B12" s="244"/>
      <c r="C12" s="208"/>
      <c r="D12" s="395">
        <f>Roster!$W$30</f>
        <v>0</v>
      </c>
      <c r="E12" s="289"/>
      <c r="F12" s="264"/>
      <c r="G12" s="212"/>
      <c r="H12" s="395">
        <f>Roster!$AI$24</f>
        <v>0</v>
      </c>
      <c r="I12" s="289"/>
      <c r="J12" s="264"/>
      <c r="K12" s="212"/>
      <c r="L12" s="395">
        <f>Roster!$AI$23</f>
        <v>0</v>
      </c>
      <c r="M12" s="289"/>
      <c r="N12" s="264"/>
      <c r="O12" s="213"/>
      <c r="P12" s="2"/>
      <c r="Q12" s="387" t="str">
        <f>IF(Roster!$M$2=0&amp;"+","",Roster!$M$2)</f>
        <v/>
      </c>
      <c r="R12" s="207"/>
      <c r="S12" s="267"/>
      <c r="T12" s="290"/>
      <c r="U12" s="290"/>
      <c r="V12" s="290"/>
      <c r="W12" s="290"/>
      <c r="X12" s="290"/>
      <c r="Y12" s="290"/>
      <c r="Z12" s="290"/>
      <c r="AA12" s="290"/>
      <c r="AB12" s="290"/>
      <c r="AC12" s="268"/>
      <c r="AD12" s="213"/>
      <c r="AE12" s="2"/>
      <c r="AF12" s="387" t="str">
        <f>IF(Roster!$M$3=0&amp;"+","",Roster!$M$3)</f>
        <v/>
      </c>
      <c r="AG12" s="207"/>
      <c r="AH12" s="267"/>
      <c r="AI12" s="290"/>
      <c r="AJ12" s="290"/>
      <c r="AK12" s="290"/>
      <c r="AL12" s="290"/>
      <c r="AM12" s="290"/>
      <c r="AN12" s="290"/>
      <c r="AO12" s="290"/>
      <c r="AP12" s="290"/>
      <c r="AQ12" s="290"/>
      <c r="AR12" s="268"/>
      <c r="AS12" s="213"/>
      <c r="AT12" s="2"/>
      <c r="AU12" s="387" t="str">
        <f>IF(Roster!$M$4=0&amp;"+","",Roster!$M$4)</f>
        <v>4+</v>
      </c>
      <c r="AV12" s="207"/>
      <c r="AW12" s="267"/>
      <c r="AX12" s="290"/>
      <c r="AY12" s="290"/>
      <c r="AZ12" s="290"/>
      <c r="BA12" s="290"/>
      <c r="BB12" s="290"/>
      <c r="BC12" s="290"/>
      <c r="BD12" s="290"/>
      <c r="BE12" s="290"/>
      <c r="BF12" s="290"/>
      <c r="BG12" s="268"/>
      <c r="BH12" s="213"/>
    </row>
    <row r="13" spans="1:60" ht="4.5" customHeight="1">
      <c r="A13" s="2"/>
      <c r="B13" s="244"/>
      <c r="C13" s="208"/>
      <c r="D13" s="265"/>
      <c r="E13" s="261"/>
      <c r="F13" s="266"/>
      <c r="G13" s="212"/>
      <c r="H13" s="265"/>
      <c r="I13" s="261"/>
      <c r="J13" s="266"/>
      <c r="K13" s="212"/>
      <c r="L13" s="265"/>
      <c r="M13" s="261"/>
      <c r="N13" s="266"/>
      <c r="O13" s="213"/>
      <c r="P13" s="2"/>
      <c r="Q13" s="241"/>
      <c r="R13" s="205"/>
      <c r="S13" s="214"/>
      <c r="T13" s="212"/>
      <c r="U13" s="214"/>
      <c r="V13" s="212"/>
      <c r="W13" s="214"/>
      <c r="X13" s="212"/>
      <c r="Y13" s="214"/>
      <c r="Z13" s="212"/>
      <c r="AA13" s="214"/>
      <c r="AB13" s="212"/>
      <c r="AC13" s="214"/>
      <c r="AD13" s="213"/>
      <c r="AE13" s="2"/>
      <c r="AF13" s="241"/>
      <c r="AG13" s="205"/>
      <c r="AH13" s="214"/>
      <c r="AI13" s="212"/>
      <c r="AJ13" s="214"/>
      <c r="AK13" s="212"/>
      <c r="AL13" s="214"/>
      <c r="AM13" s="212"/>
      <c r="AN13" s="214"/>
      <c r="AO13" s="212"/>
      <c r="AP13" s="214"/>
      <c r="AQ13" s="212"/>
      <c r="AR13" s="214"/>
      <c r="AS13" s="213"/>
      <c r="AT13" s="2"/>
      <c r="AU13" s="241"/>
      <c r="AV13" s="205"/>
      <c r="AW13" s="214"/>
      <c r="AX13" s="212"/>
      <c r="AY13" s="214"/>
      <c r="AZ13" s="212"/>
      <c r="BA13" s="214"/>
      <c r="BB13" s="212"/>
      <c r="BC13" s="214"/>
      <c r="BD13" s="212"/>
      <c r="BE13" s="214"/>
      <c r="BF13" s="212"/>
      <c r="BG13" s="214"/>
      <c r="BH13" s="213"/>
    </row>
    <row r="14" spans="1:60" ht="11.25" customHeight="1">
      <c r="A14" s="2"/>
      <c r="B14" s="244"/>
      <c r="C14" s="208"/>
      <c r="D14" s="265"/>
      <c r="E14" s="261"/>
      <c r="F14" s="266"/>
      <c r="G14" s="212"/>
      <c r="H14" s="265"/>
      <c r="I14" s="261"/>
      <c r="J14" s="266"/>
      <c r="K14" s="212"/>
      <c r="L14" s="265"/>
      <c r="M14" s="261"/>
      <c r="N14" s="266"/>
      <c r="O14" s="213"/>
      <c r="P14" s="2"/>
      <c r="Q14" s="241"/>
      <c r="R14" s="205"/>
      <c r="S14" s="373" t="str">
        <f>IF(Roster!$J$24="Español","HABILIDADES Y RASGOS","SKILLS &amp; TRAITS")</f>
        <v>SKILLS &amp; TRAITS</v>
      </c>
      <c r="T14" s="270"/>
      <c r="U14" s="270"/>
      <c r="V14" s="270"/>
      <c r="W14" s="270"/>
      <c r="X14" s="270"/>
      <c r="Y14" s="270"/>
      <c r="Z14" s="270"/>
      <c r="AA14" s="270"/>
      <c r="AB14" s="270"/>
      <c r="AC14" s="374"/>
      <c r="AD14" s="213"/>
      <c r="AE14" s="2"/>
      <c r="AF14" s="241"/>
      <c r="AG14" s="205"/>
      <c r="AH14" s="373" t="str">
        <f>IF(Roster!$J$24="Español","HABILIDADES Y RASGOS","SKILLS &amp; TRAITS")</f>
        <v>SKILLS &amp; TRAITS</v>
      </c>
      <c r="AI14" s="270"/>
      <c r="AJ14" s="270"/>
      <c r="AK14" s="270"/>
      <c r="AL14" s="270"/>
      <c r="AM14" s="270"/>
      <c r="AN14" s="270"/>
      <c r="AO14" s="270"/>
      <c r="AP14" s="270"/>
      <c r="AQ14" s="270"/>
      <c r="AR14" s="374"/>
      <c r="AS14" s="213"/>
      <c r="AT14" s="2"/>
      <c r="AU14" s="241"/>
      <c r="AV14" s="205"/>
      <c r="AW14" s="373" t="str">
        <f>IF(Roster!$J$24="Español","HABILIDADES Y RASGOS","SKILLS &amp; TRAITS")</f>
        <v>SKILLS &amp; TRAITS</v>
      </c>
      <c r="AX14" s="270"/>
      <c r="AY14" s="270"/>
      <c r="AZ14" s="270"/>
      <c r="BA14" s="270"/>
      <c r="BB14" s="270"/>
      <c r="BC14" s="270"/>
      <c r="BD14" s="270"/>
      <c r="BE14" s="270"/>
      <c r="BF14" s="270"/>
      <c r="BG14" s="374"/>
      <c r="BH14" s="213"/>
    </row>
    <row r="15" spans="1:60" ht="15" customHeight="1">
      <c r="A15" s="2"/>
      <c r="B15" s="244"/>
      <c r="C15" s="208"/>
      <c r="D15" s="265"/>
      <c r="E15" s="261"/>
      <c r="F15" s="266"/>
      <c r="G15" s="208"/>
      <c r="H15" s="265"/>
      <c r="I15" s="261"/>
      <c r="J15" s="266"/>
      <c r="K15" s="208"/>
      <c r="L15" s="265"/>
      <c r="M15" s="261"/>
      <c r="N15" s="266"/>
      <c r="O15" s="213"/>
      <c r="P15" s="2"/>
      <c r="Q15" s="241"/>
      <c r="R15" s="208"/>
      <c r="S15" s="375" t="str">
        <f>IF(Roster!$O$2=0&amp;$BF$2,"",Roster!$O$2)</f>
        <v>Regeneration, Stand Firm, Thick Skull, Block -  NI</v>
      </c>
      <c r="T15" s="340"/>
      <c r="U15" s="340"/>
      <c r="V15" s="340"/>
      <c r="W15" s="340"/>
      <c r="X15" s="340"/>
      <c r="Y15" s="340"/>
      <c r="Z15" s="340"/>
      <c r="AA15" s="340"/>
      <c r="AB15" s="340"/>
      <c r="AC15" s="376"/>
      <c r="AD15" s="213"/>
      <c r="AE15" s="2"/>
      <c r="AF15" s="241"/>
      <c r="AG15" s="208"/>
      <c r="AH15" s="375" t="str">
        <f>IF(Roster!$O$3=0&amp;$BF$3,"",Roster!$O$3)</f>
        <v>Regeneration, Stand Firm, Thick Skull</v>
      </c>
      <c r="AI15" s="340"/>
      <c r="AJ15" s="340"/>
      <c r="AK15" s="340"/>
      <c r="AL15" s="340"/>
      <c r="AM15" s="340"/>
      <c r="AN15" s="340"/>
      <c r="AO15" s="340"/>
      <c r="AP15" s="340"/>
      <c r="AQ15" s="340"/>
      <c r="AR15" s="376"/>
      <c r="AS15" s="213"/>
      <c r="AT15" s="2"/>
      <c r="AU15" s="241"/>
      <c r="AV15" s="208"/>
      <c r="AW15" s="375" t="str">
        <f>IF(Roster!$O$4=0&amp;$BF$4,"",Roster!$O$4)</f>
        <v>Claws, Frenzy, Regeneration, Block</v>
      </c>
      <c r="AX15" s="340"/>
      <c r="AY15" s="340"/>
      <c r="AZ15" s="340"/>
      <c r="BA15" s="340"/>
      <c r="BB15" s="340"/>
      <c r="BC15" s="340"/>
      <c r="BD15" s="340"/>
      <c r="BE15" s="340"/>
      <c r="BF15" s="340"/>
      <c r="BG15" s="376"/>
      <c r="BH15" s="213"/>
    </row>
    <row r="16" spans="1:60" ht="4.5" customHeight="1">
      <c r="A16" s="2"/>
      <c r="B16" s="244"/>
      <c r="C16" s="208"/>
      <c r="D16" s="267"/>
      <c r="E16" s="290"/>
      <c r="F16" s="268"/>
      <c r="G16" s="208"/>
      <c r="H16" s="267"/>
      <c r="I16" s="290"/>
      <c r="J16" s="268"/>
      <c r="K16" s="208"/>
      <c r="L16" s="267"/>
      <c r="M16" s="290"/>
      <c r="N16" s="268"/>
      <c r="O16" s="213"/>
      <c r="P16" s="2"/>
      <c r="Q16" s="242"/>
      <c r="R16" s="208"/>
      <c r="S16" s="265"/>
      <c r="T16" s="261"/>
      <c r="U16" s="261"/>
      <c r="V16" s="261"/>
      <c r="W16" s="261"/>
      <c r="X16" s="261"/>
      <c r="Y16" s="261"/>
      <c r="Z16" s="261"/>
      <c r="AA16" s="261"/>
      <c r="AB16" s="261"/>
      <c r="AC16" s="266"/>
      <c r="AD16" s="213"/>
      <c r="AE16" s="2"/>
      <c r="AF16" s="242"/>
      <c r="AG16" s="208"/>
      <c r="AH16" s="265"/>
      <c r="AI16" s="261"/>
      <c r="AJ16" s="261"/>
      <c r="AK16" s="261"/>
      <c r="AL16" s="261"/>
      <c r="AM16" s="261"/>
      <c r="AN16" s="261"/>
      <c r="AO16" s="261"/>
      <c r="AP16" s="261"/>
      <c r="AQ16" s="261"/>
      <c r="AR16" s="266"/>
      <c r="AS16" s="213"/>
      <c r="AT16" s="2"/>
      <c r="AU16" s="242"/>
      <c r="AV16" s="208"/>
      <c r="AW16" s="265"/>
      <c r="AX16" s="261"/>
      <c r="AY16" s="261"/>
      <c r="AZ16" s="261"/>
      <c r="BA16" s="261"/>
      <c r="BB16" s="261"/>
      <c r="BC16" s="261"/>
      <c r="BD16" s="261"/>
      <c r="BE16" s="261"/>
      <c r="BF16" s="261"/>
      <c r="BG16" s="266"/>
      <c r="BH16" s="213"/>
    </row>
    <row r="17" spans="1:60" ht="11.25" customHeight="1">
      <c r="A17" s="2"/>
      <c r="B17" s="244"/>
      <c r="C17" s="207"/>
      <c r="D17" s="378" t="str">
        <f>IF(Roster!$R$25=0,"",Roster!$R$25)</f>
        <v>SPECIAL CARD</v>
      </c>
      <c r="E17" s="236"/>
      <c r="F17" s="237"/>
      <c r="G17" s="207"/>
      <c r="H17" s="393" t="str">
        <f>IF(Roster!$AD$25=0,"",Roster!$AD$25)</f>
        <v>(IN)FAMOUS COACHES</v>
      </c>
      <c r="I17" s="236"/>
      <c r="J17" s="237"/>
      <c r="K17" s="207"/>
      <c r="L17" s="393" t="str">
        <f>IF(Roster!$AD$26=0,"",Roster!$AD$26)</f>
        <v>(IN)FAMOUS COACHES</v>
      </c>
      <c r="M17" s="236"/>
      <c r="N17" s="237"/>
      <c r="O17" s="202"/>
      <c r="P17" s="2"/>
      <c r="Q17" s="206" t="str">
        <f>IF(Roster!$N$1=0,"",Roster!$N$1)</f>
        <v>AV</v>
      </c>
      <c r="R17" s="207"/>
      <c r="S17" s="265"/>
      <c r="T17" s="261"/>
      <c r="U17" s="261"/>
      <c r="V17" s="261"/>
      <c r="W17" s="261"/>
      <c r="X17" s="261"/>
      <c r="Y17" s="261"/>
      <c r="Z17" s="261"/>
      <c r="AA17" s="261"/>
      <c r="AB17" s="261"/>
      <c r="AC17" s="266"/>
      <c r="AD17" s="202"/>
      <c r="AE17" s="2"/>
      <c r="AF17" s="206" t="str">
        <f>IF(Roster!$N$1=0,"",Roster!$N$1)</f>
        <v>AV</v>
      </c>
      <c r="AG17" s="207"/>
      <c r="AH17" s="265"/>
      <c r="AI17" s="261"/>
      <c r="AJ17" s="261"/>
      <c r="AK17" s="261"/>
      <c r="AL17" s="261"/>
      <c r="AM17" s="261"/>
      <c r="AN17" s="261"/>
      <c r="AO17" s="261"/>
      <c r="AP17" s="261"/>
      <c r="AQ17" s="261"/>
      <c r="AR17" s="266"/>
      <c r="AS17" s="202"/>
      <c r="AT17" s="2"/>
      <c r="AU17" s="206" t="str">
        <f>IF(Roster!$N$1=0,"",Roster!$N$1)</f>
        <v>AV</v>
      </c>
      <c r="AV17" s="207"/>
      <c r="AW17" s="265"/>
      <c r="AX17" s="261"/>
      <c r="AY17" s="261"/>
      <c r="AZ17" s="261"/>
      <c r="BA17" s="261"/>
      <c r="BB17" s="261"/>
      <c r="BC17" s="261"/>
      <c r="BD17" s="261"/>
      <c r="BE17" s="261"/>
      <c r="BF17" s="261"/>
      <c r="BG17" s="266"/>
      <c r="BH17" s="202"/>
    </row>
    <row r="18" spans="1:60" ht="15" customHeight="1">
      <c r="A18" s="2"/>
      <c r="B18" s="244"/>
      <c r="C18" s="208"/>
      <c r="D18" s="395">
        <f>Roster!$W$25</f>
        <v>0</v>
      </c>
      <c r="E18" s="289"/>
      <c r="F18" s="264"/>
      <c r="G18" s="208"/>
      <c r="H18" s="395">
        <f>Roster!$AI$25</f>
        <v>0</v>
      </c>
      <c r="I18" s="289"/>
      <c r="J18" s="264"/>
      <c r="K18" s="208"/>
      <c r="L18" s="395">
        <f>Roster!$AI$26</f>
        <v>0</v>
      </c>
      <c r="M18" s="289"/>
      <c r="N18" s="264"/>
      <c r="O18" s="215"/>
      <c r="P18" s="2"/>
      <c r="Q18" s="387" t="str">
        <f>IF(Roster!$N$2=0&amp;"+","",Roster!$N$2)</f>
        <v>10+</v>
      </c>
      <c r="R18" s="208"/>
      <c r="S18" s="265"/>
      <c r="T18" s="261"/>
      <c r="U18" s="261"/>
      <c r="V18" s="261"/>
      <c r="W18" s="261"/>
      <c r="X18" s="261"/>
      <c r="Y18" s="261"/>
      <c r="Z18" s="261"/>
      <c r="AA18" s="261"/>
      <c r="AB18" s="261"/>
      <c r="AC18" s="266"/>
      <c r="AD18" s="215"/>
      <c r="AE18" s="2"/>
      <c r="AF18" s="387" t="str">
        <f>IF(Roster!$N$3=0&amp;"+","",Roster!$N$3)</f>
        <v>10+</v>
      </c>
      <c r="AG18" s="208"/>
      <c r="AH18" s="265"/>
      <c r="AI18" s="261"/>
      <c r="AJ18" s="261"/>
      <c r="AK18" s="261"/>
      <c r="AL18" s="261"/>
      <c r="AM18" s="261"/>
      <c r="AN18" s="261"/>
      <c r="AO18" s="261"/>
      <c r="AP18" s="261"/>
      <c r="AQ18" s="261"/>
      <c r="AR18" s="266"/>
      <c r="AS18" s="215"/>
      <c r="AT18" s="2"/>
      <c r="AU18" s="387" t="str">
        <f>IF(Roster!$N$4=0&amp;"+","",Roster!$N$4)</f>
        <v>9+</v>
      </c>
      <c r="AV18" s="208"/>
      <c r="AW18" s="265"/>
      <c r="AX18" s="261"/>
      <c r="AY18" s="261"/>
      <c r="AZ18" s="261"/>
      <c r="BA18" s="261"/>
      <c r="BB18" s="261"/>
      <c r="BC18" s="261"/>
      <c r="BD18" s="261"/>
      <c r="BE18" s="261"/>
      <c r="BF18" s="261"/>
      <c r="BG18" s="266"/>
      <c r="BH18" s="215"/>
    </row>
    <row r="19" spans="1:60" ht="4.5" customHeight="1">
      <c r="A19" s="2"/>
      <c r="B19" s="244"/>
      <c r="C19" s="208"/>
      <c r="D19" s="265"/>
      <c r="E19" s="261"/>
      <c r="F19" s="266"/>
      <c r="G19" s="208"/>
      <c r="H19" s="265"/>
      <c r="I19" s="261"/>
      <c r="J19" s="266"/>
      <c r="K19" s="208"/>
      <c r="L19" s="265"/>
      <c r="M19" s="261"/>
      <c r="N19" s="266"/>
      <c r="O19" s="215"/>
      <c r="P19" s="2"/>
      <c r="Q19" s="241"/>
      <c r="R19" s="208"/>
      <c r="S19" s="265"/>
      <c r="T19" s="261"/>
      <c r="U19" s="261"/>
      <c r="V19" s="261"/>
      <c r="W19" s="261"/>
      <c r="X19" s="261"/>
      <c r="Y19" s="261"/>
      <c r="Z19" s="261"/>
      <c r="AA19" s="261"/>
      <c r="AB19" s="261"/>
      <c r="AC19" s="266"/>
      <c r="AD19" s="215"/>
      <c r="AE19" s="2"/>
      <c r="AF19" s="241"/>
      <c r="AG19" s="208"/>
      <c r="AH19" s="265"/>
      <c r="AI19" s="261"/>
      <c r="AJ19" s="261"/>
      <c r="AK19" s="261"/>
      <c r="AL19" s="261"/>
      <c r="AM19" s="261"/>
      <c r="AN19" s="261"/>
      <c r="AO19" s="261"/>
      <c r="AP19" s="261"/>
      <c r="AQ19" s="261"/>
      <c r="AR19" s="266"/>
      <c r="AS19" s="215"/>
      <c r="AT19" s="2"/>
      <c r="AU19" s="241"/>
      <c r="AV19" s="208"/>
      <c r="AW19" s="265"/>
      <c r="AX19" s="261"/>
      <c r="AY19" s="261"/>
      <c r="AZ19" s="261"/>
      <c r="BA19" s="261"/>
      <c r="BB19" s="261"/>
      <c r="BC19" s="261"/>
      <c r="BD19" s="261"/>
      <c r="BE19" s="261"/>
      <c r="BF19" s="261"/>
      <c r="BG19" s="266"/>
      <c r="BH19" s="215"/>
    </row>
    <row r="20" spans="1:60" ht="11.25" customHeight="1">
      <c r="A20" s="2"/>
      <c r="B20" s="244"/>
      <c r="C20" s="208"/>
      <c r="D20" s="265"/>
      <c r="E20" s="261"/>
      <c r="F20" s="266"/>
      <c r="G20" s="216"/>
      <c r="H20" s="265"/>
      <c r="I20" s="261"/>
      <c r="J20" s="266"/>
      <c r="K20" s="216"/>
      <c r="L20" s="265"/>
      <c r="M20" s="261"/>
      <c r="N20" s="266"/>
      <c r="O20" s="215"/>
      <c r="P20" s="2"/>
      <c r="Q20" s="241"/>
      <c r="R20" s="208"/>
      <c r="S20" s="265"/>
      <c r="T20" s="261"/>
      <c r="U20" s="261"/>
      <c r="V20" s="261"/>
      <c r="W20" s="261"/>
      <c r="X20" s="261"/>
      <c r="Y20" s="261"/>
      <c r="Z20" s="261"/>
      <c r="AA20" s="261"/>
      <c r="AB20" s="261"/>
      <c r="AC20" s="266"/>
      <c r="AD20" s="215"/>
      <c r="AE20" s="2"/>
      <c r="AF20" s="241"/>
      <c r="AG20" s="208"/>
      <c r="AH20" s="265"/>
      <c r="AI20" s="261"/>
      <c r="AJ20" s="261"/>
      <c r="AK20" s="261"/>
      <c r="AL20" s="261"/>
      <c r="AM20" s="261"/>
      <c r="AN20" s="261"/>
      <c r="AO20" s="261"/>
      <c r="AP20" s="261"/>
      <c r="AQ20" s="261"/>
      <c r="AR20" s="266"/>
      <c r="AS20" s="215"/>
      <c r="AT20" s="2"/>
      <c r="AU20" s="241"/>
      <c r="AV20" s="208"/>
      <c r="AW20" s="265"/>
      <c r="AX20" s="261"/>
      <c r="AY20" s="261"/>
      <c r="AZ20" s="261"/>
      <c r="BA20" s="261"/>
      <c r="BB20" s="261"/>
      <c r="BC20" s="261"/>
      <c r="BD20" s="261"/>
      <c r="BE20" s="261"/>
      <c r="BF20" s="261"/>
      <c r="BG20" s="266"/>
      <c r="BH20" s="215"/>
    </row>
    <row r="21" spans="1:60" ht="6.75" customHeight="1">
      <c r="A21" s="2"/>
      <c r="B21" s="244"/>
      <c r="C21" s="208"/>
      <c r="D21" s="267"/>
      <c r="E21" s="290"/>
      <c r="F21" s="268"/>
      <c r="G21" s="217"/>
      <c r="H21" s="267"/>
      <c r="I21" s="290"/>
      <c r="J21" s="268"/>
      <c r="K21" s="217"/>
      <c r="L21" s="267"/>
      <c r="M21" s="290"/>
      <c r="N21" s="268"/>
      <c r="O21" s="215"/>
      <c r="P21" s="2"/>
      <c r="Q21" s="242"/>
      <c r="R21" s="208"/>
      <c r="S21" s="265"/>
      <c r="T21" s="261"/>
      <c r="U21" s="261"/>
      <c r="V21" s="261"/>
      <c r="W21" s="261"/>
      <c r="X21" s="261"/>
      <c r="Y21" s="261"/>
      <c r="Z21" s="261"/>
      <c r="AA21" s="261"/>
      <c r="AB21" s="261"/>
      <c r="AC21" s="266"/>
      <c r="AD21" s="215"/>
      <c r="AE21" s="2"/>
      <c r="AF21" s="242"/>
      <c r="AG21" s="208"/>
      <c r="AH21" s="265"/>
      <c r="AI21" s="261"/>
      <c r="AJ21" s="261"/>
      <c r="AK21" s="261"/>
      <c r="AL21" s="261"/>
      <c r="AM21" s="261"/>
      <c r="AN21" s="261"/>
      <c r="AO21" s="261"/>
      <c r="AP21" s="261"/>
      <c r="AQ21" s="261"/>
      <c r="AR21" s="266"/>
      <c r="AS21" s="215"/>
      <c r="AT21" s="2"/>
      <c r="AU21" s="242"/>
      <c r="AV21" s="208"/>
      <c r="AW21" s="265"/>
      <c r="AX21" s="261"/>
      <c r="AY21" s="261"/>
      <c r="AZ21" s="261"/>
      <c r="BA21" s="261"/>
      <c r="BB21" s="261"/>
      <c r="BC21" s="261"/>
      <c r="BD21" s="261"/>
      <c r="BE21" s="261"/>
      <c r="BF21" s="261"/>
      <c r="BG21" s="266"/>
      <c r="BH21" s="215"/>
    </row>
    <row r="22" spans="1:60" ht="11.25" customHeight="1">
      <c r="A22" s="2"/>
      <c r="B22" s="244"/>
      <c r="C22" s="204"/>
      <c r="D22" s="393" t="str">
        <f>IF(Roster!$AD$27=0,"",Roster!$AD$27)</f>
        <v>BIASED REFEREE</v>
      </c>
      <c r="E22" s="236"/>
      <c r="F22" s="237"/>
      <c r="G22" s="217"/>
      <c r="H22" s="393" t="str">
        <f>IF(Roster!$AD$28=0,"",Roster!$AD$28)</f>
        <v>OTHER INDUCEMENTS</v>
      </c>
      <c r="I22" s="236"/>
      <c r="J22" s="237"/>
      <c r="K22" s="217"/>
      <c r="L22" s="378" t="str">
        <f>IF(Roster!$AD$30=0,"",Roster!$AD$30)</f>
        <v>WANDERING APO</v>
      </c>
      <c r="M22" s="236"/>
      <c r="N22" s="237"/>
      <c r="O22" s="218"/>
      <c r="P22" s="2"/>
      <c r="Q22" s="206" t="str">
        <f>IF(Roster!$AN$1=0,"",Roster!$AN$1)</f>
        <v>COST</v>
      </c>
      <c r="R22" s="207"/>
      <c r="S22" s="265"/>
      <c r="T22" s="261"/>
      <c r="U22" s="261"/>
      <c r="V22" s="261"/>
      <c r="W22" s="261"/>
      <c r="X22" s="261"/>
      <c r="Y22" s="261"/>
      <c r="Z22" s="261"/>
      <c r="AA22" s="261"/>
      <c r="AB22" s="261"/>
      <c r="AC22" s="266"/>
      <c r="AD22" s="218"/>
      <c r="AE22" s="2"/>
      <c r="AF22" s="206" t="str">
        <f>IF(Roster!$AN$1=0,"",Roster!$AN$1)</f>
        <v>COST</v>
      </c>
      <c r="AG22" s="207"/>
      <c r="AH22" s="265"/>
      <c r="AI22" s="261"/>
      <c r="AJ22" s="261"/>
      <c r="AK22" s="261"/>
      <c r="AL22" s="261"/>
      <c r="AM22" s="261"/>
      <c r="AN22" s="261"/>
      <c r="AO22" s="261"/>
      <c r="AP22" s="261"/>
      <c r="AQ22" s="261"/>
      <c r="AR22" s="266"/>
      <c r="AS22" s="218"/>
      <c r="AT22" s="2"/>
      <c r="AU22" s="206" t="str">
        <f>IF(Roster!$AN$1=0,"",Roster!$AN$1)</f>
        <v>COST</v>
      </c>
      <c r="AV22" s="207"/>
      <c r="AW22" s="265"/>
      <c r="AX22" s="261"/>
      <c r="AY22" s="261"/>
      <c r="AZ22" s="261"/>
      <c r="BA22" s="261"/>
      <c r="BB22" s="261"/>
      <c r="BC22" s="261"/>
      <c r="BD22" s="261"/>
      <c r="BE22" s="261"/>
      <c r="BF22" s="261"/>
      <c r="BG22" s="266"/>
      <c r="BH22" s="218"/>
    </row>
    <row r="23" spans="1:60" ht="34.5" customHeight="1">
      <c r="A23" s="2"/>
      <c r="B23" s="245"/>
      <c r="C23" s="219"/>
      <c r="D23" s="394">
        <f>Roster!$AI$27</f>
        <v>0</v>
      </c>
      <c r="E23" s="233"/>
      <c r="F23" s="234"/>
      <c r="G23" s="217"/>
      <c r="H23" s="394">
        <f>Roster!$AI$28</f>
        <v>0</v>
      </c>
      <c r="I23" s="233"/>
      <c r="J23" s="234"/>
      <c r="K23" s="217"/>
      <c r="L23" s="394">
        <f>Roster!$AI$30</f>
        <v>0</v>
      </c>
      <c r="M23" s="233"/>
      <c r="N23" s="234"/>
      <c r="O23" s="218"/>
      <c r="P23" s="2"/>
      <c r="Q23" s="220">
        <f>IF(Roster!$AN$2=0,"",Roster!$AN$2)</f>
        <v>135000</v>
      </c>
      <c r="R23" s="221"/>
      <c r="S23" s="267"/>
      <c r="T23" s="290"/>
      <c r="U23" s="290"/>
      <c r="V23" s="290"/>
      <c r="W23" s="290"/>
      <c r="X23" s="290"/>
      <c r="Y23" s="290"/>
      <c r="Z23" s="290"/>
      <c r="AA23" s="290"/>
      <c r="AB23" s="290"/>
      <c r="AC23" s="268"/>
      <c r="AD23" s="218"/>
      <c r="AE23" s="2"/>
      <c r="AF23" s="220">
        <f>IF(Roster!$AN$3=0,"",Roster!$AN$3)</f>
        <v>115000</v>
      </c>
      <c r="AG23" s="221"/>
      <c r="AH23" s="267"/>
      <c r="AI23" s="290"/>
      <c r="AJ23" s="290"/>
      <c r="AK23" s="290"/>
      <c r="AL23" s="290"/>
      <c r="AM23" s="290"/>
      <c r="AN23" s="290"/>
      <c r="AO23" s="290"/>
      <c r="AP23" s="290"/>
      <c r="AQ23" s="290"/>
      <c r="AR23" s="268"/>
      <c r="AS23" s="218"/>
      <c r="AT23" s="2"/>
      <c r="AU23" s="220">
        <f>IF(Roster!$AN$4=0,"",Roster!$AN$4)</f>
        <v>145000</v>
      </c>
      <c r="AV23" s="221"/>
      <c r="AW23" s="267"/>
      <c r="AX23" s="290"/>
      <c r="AY23" s="290"/>
      <c r="AZ23" s="290"/>
      <c r="BA23" s="290"/>
      <c r="BB23" s="290"/>
      <c r="BC23" s="290"/>
      <c r="BD23" s="290"/>
      <c r="BE23" s="290"/>
      <c r="BF23" s="290"/>
      <c r="BG23" s="268"/>
      <c r="BH23" s="218"/>
    </row>
    <row r="24" spans="1:60" ht="4.5" customHeight="1">
      <c r="A24" s="2"/>
      <c r="B24" s="370"/>
      <c r="C24" s="273"/>
      <c r="D24" s="273"/>
      <c r="E24" s="273"/>
      <c r="F24" s="273"/>
      <c r="G24" s="273"/>
      <c r="H24" s="273"/>
      <c r="I24" s="273"/>
      <c r="J24" s="273"/>
      <c r="K24" s="273"/>
      <c r="L24" s="273"/>
      <c r="M24" s="273"/>
      <c r="N24" s="274"/>
      <c r="O24" s="222"/>
      <c r="P24" s="2"/>
      <c r="Q24" s="370"/>
      <c r="R24" s="273"/>
      <c r="S24" s="273"/>
      <c r="T24" s="273"/>
      <c r="U24" s="273"/>
      <c r="V24" s="273"/>
      <c r="W24" s="273"/>
      <c r="X24" s="273"/>
      <c r="Y24" s="273"/>
      <c r="Z24" s="273"/>
      <c r="AA24" s="273"/>
      <c r="AB24" s="273"/>
      <c r="AC24" s="274"/>
      <c r="AD24" s="222"/>
      <c r="AE24" s="2"/>
      <c r="AF24" s="370"/>
      <c r="AG24" s="273"/>
      <c r="AH24" s="273"/>
      <c r="AI24" s="273"/>
      <c r="AJ24" s="273"/>
      <c r="AK24" s="273"/>
      <c r="AL24" s="273"/>
      <c r="AM24" s="273"/>
      <c r="AN24" s="273"/>
      <c r="AO24" s="273"/>
      <c r="AP24" s="273"/>
      <c r="AQ24" s="273"/>
      <c r="AR24" s="274"/>
      <c r="AS24" s="222"/>
      <c r="AT24" s="2"/>
      <c r="AU24" s="370"/>
      <c r="AV24" s="273"/>
      <c r="AW24" s="273"/>
      <c r="AX24" s="273"/>
      <c r="AY24" s="273"/>
      <c r="AZ24" s="273"/>
      <c r="BA24" s="273"/>
      <c r="BB24" s="273"/>
      <c r="BC24" s="273"/>
      <c r="BD24" s="273"/>
      <c r="BE24" s="273"/>
      <c r="BF24" s="273"/>
      <c r="BG24" s="274"/>
      <c r="BH24" s="222"/>
    </row>
    <row r="25" spans="1:60" ht="11.25" customHeight="1">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row>
    <row r="26" spans="1:60" ht="4.5" customHeight="1">
      <c r="A26" s="2"/>
      <c r="B26" s="377" t="str">
        <f>IF(Roster!$A$5=0,"","#"&amp;Roster!$A$5)</f>
        <v>#4</v>
      </c>
      <c r="C26" s="200"/>
      <c r="D26" s="200"/>
      <c r="E26" s="200"/>
      <c r="F26" s="200"/>
      <c r="G26" s="200"/>
      <c r="H26" s="200"/>
      <c r="I26" s="200"/>
      <c r="J26" s="200"/>
      <c r="K26" s="200"/>
      <c r="L26" s="200"/>
      <c r="M26" s="200"/>
      <c r="N26" s="200"/>
      <c r="O26" s="201"/>
      <c r="P26" s="2"/>
      <c r="Q26" s="377" t="str">
        <f>IF(Roster!$A$6=0,"","#"&amp;Roster!$A$6)</f>
        <v>#5</v>
      </c>
      <c r="R26" s="200"/>
      <c r="S26" s="200"/>
      <c r="T26" s="200"/>
      <c r="U26" s="200"/>
      <c r="V26" s="200"/>
      <c r="W26" s="200"/>
      <c r="X26" s="200"/>
      <c r="Y26" s="200"/>
      <c r="Z26" s="200"/>
      <c r="AA26" s="200"/>
      <c r="AB26" s="200"/>
      <c r="AC26" s="200"/>
      <c r="AD26" s="201"/>
      <c r="AE26" s="2"/>
      <c r="AF26" s="377" t="str">
        <f>IF(Roster!$A$7=0,"","#"&amp;Roster!$A$7)</f>
        <v>#6</v>
      </c>
      <c r="AG26" s="200"/>
      <c r="AH26" s="200"/>
      <c r="AI26" s="200"/>
      <c r="AJ26" s="200"/>
      <c r="AK26" s="200"/>
      <c r="AL26" s="200"/>
      <c r="AM26" s="200"/>
      <c r="AN26" s="200"/>
      <c r="AO26" s="200"/>
      <c r="AP26" s="200"/>
      <c r="AQ26" s="200"/>
      <c r="AR26" s="200"/>
      <c r="AS26" s="201"/>
      <c r="AT26" s="2"/>
      <c r="AU26" s="377" t="str">
        <f>IF(Roster!$A$8=0,"","#"&amp;Roster!$A$8)</f>
        <v>#7</v>
      </c>
      <c r="AV26" s="200"/>
      <c r="AW26" s="200"/>
      <c r="AX26" s="200"/>
      <c r="AY26" s="200"/>
      <c r="AZ26" s="200"/>
      <c r="BA26" s="200"/>
      <c r="BB26" s="200"/>
      <c r="BC26" s="200"/>
      <c r="BD26" s="200"/>
      <c r="BE26" s="200"/>
      <c r="BF26" s="200"/>
      <c r="BG26" s="200"/>
      <c r="BH26" s="201"/>
    </row>
    <row r="27" spans="1:60" ht="15" customHeight="1">
      <c r="A27" s="2"/>
      <c r="B27" s="244"/>
      <c r="C27" s="369" t="str">
        <f>IF(Roster!$B$5=0,"",Roster!$B$5)</f>
        <v>Coal Chamber</v>
      </c>
      <c r="D27" s="236"/>
      <c r="E27" s="236"/>
      <c r="F27" s="236"/>
      <c r="G27" s="236"/>
      <c r="H27" s="236"/>
      <c r="I27" s="236"/>
      <c r="J27" s="236"/>
      <c r="K27" s="236"/>
      <c r="L27" s="236"/>
      <c r="M27" s="236"/>
      <c r="N27" s="237"/>
      <c r="O27" s="202"/>
      <c r="P27" s="2"/>
      <c r="Q27" s="244"/>
      <c r="R27" s="369" t="str">
        <f>IF(Roster!$B$6=0,"",Roster!$B$6)</f>
        <v>Slender Jet</v>
      </c>
      <c r="S27" s="236"/>
      <c r="T27" s="236"/>
      <c r="U27" s="236"/>
      <c r="V27" s="236"/>
      <c r="W27" s="236"/>
      <c r="X27" s="236"/>
      <c r="Y27" s="236"/>
      <c r="Z27" s="236"/>
      <c r="AA27" s="236"/>
      <c r="AB27" s="236"/>
      <c r="AC27" s="237"/>
      <c r="AD27" s="202"/>
      <c r="AE27" s="2"/>
      <c r="AF27" s="244"/>
      <c r="AG27" s="369" t="str">
        <f>IF(Roster!$B$7=0,"",Roster!$B$7)</f>
        <v>Spekter Grey</v>
      </c>
      <c r="AH27" s="236"/>
      <c r="AI27" s="236"/>
      <c r="AJ27" s="236"/>
      <c r="AK27" s="236"/>
      <c r="AL27" s="236"/>
      <c r="AM27" s="236"/>
      <c r="AN27" s="236"/>
      <c r="AO27" s="236"/>
      <c r="AP27" s="236"/>
      <c r="AQ27" s="236"/>
      <c r="AR27" s="237"/>
      <c r="AS27" s="202"/>
      <c r="AT27" s="2"/>
      <c r="AU27" s="244"/>
      <c r="AV27" s="369" t="str">
        <f>IF(Roster!$B$8=0,"",Roster!$B$8)</f>
        <v>Jon Slow</v>
      </c>
      <c r="AW27" s="236"/>
      <c r="AX27" s="236"/>
      <c r="AY27" s="236"/>
      <c r="AZ27" s="236"/>
      <c r="BA27" s="236"/>
      <c r="BB27" s="236"/>
      <c r="BC27" s="236"/>
      <c r="BD27" s="236"/>
      <c r="BE27" s="236"/>
      <c r="BF27" s="236"/>
      <c r="BG27" s="237"/>
      <c r="BH27" s="202"/>
    </row>
    <row r="28" spans="1:60" ht="11.25" customHeight="1">
      <c r="A28" s="2"/>
      <c r="B28" s="245"/>
      <c r="C28" s="378" t="str">
        <f>IF(Roster!$C$5=0,"",Roster!$C$5)</f>
        <v>Werewolf</v>
      </c>
      <c r="D28" s="236"/>
      <c r="E28" s="236"/>
      <c r="F28" s="236"/>
      <c r="G28" s="236"/>
      <c r="H28" s="236"/>
      <c r="I28" s="236"/>
      <c r="J28" s="236"/>
      <c r="K28" s="236"/>
      <c r="L28" s="236"/>
      <c r="M28" s="236"/>
      <c r="N28" s="237"/>
      <c r="O28" s="203"/>
      <c r="P28" s="2"/>
      <c r="Q28" s="245"/>
      <c r="R28" s="378" t="str">
        <f>IF(Roster!$C$6=0,"",Roster!$C$6)</f>
        <v>Ghoul</v>
      </c>
      <c r="S28" s="236"/>
      <c r="T28" s="236"/>
      <c r="U28" s="236"/>
      <c r="V28" s="236"/>
      <c r="W28" s="236"/>
      <c r="X28" s="236"/>
      <c r="Y28" s="236"/>
      <c r="Z28" s="236"/>
      <c r="AA28" s="236"/>
      <c r="AB28" s="236"/>
      <c r="AC28" s="237"/>
      <c r="AD28" s="203"/>
      <c r="AE28" s="2"/>
      <c r="AF28" s="245"/>
      <c r="AG28" s="378" t="str">
        <f>IF(Roster!$C$7=0,"",Roster!$C$7)</f>
        <v>Wraiths</v>
      </c>
      <c r="AH28" s="236"/>
      <c r="AI28" s="236"/>
      <c r="AJ28" s="236"/>
      <c r="AK28" s="236"/>
      <c r="AL28" s="236"/>
      <c r="AM28" s="236"/>
      <c r="AN28" s="236"/>
      <c r="AO28" s="236"/>
      <c r="AP28" s="236"/>
      <c r="AQ28" s="236"/>
      <c r="AR28" s="237"/>
      <c r="AS28" s="203"/>
      <c r="AT28" s="2"/>
      <c r="AU28" s="245"/>
      <c r="AV28" s="378" t="str">
        <f>IF(Roster!$C$8=0,"",Roster!$C$8)</f>
        <v>Zombie</v>
      </c>
      <c r="AW28" s="236"/>
      <c r="AX28" s="236"/>
      <c r="AY28" s="236"/>
      <c r="AZ28" s="236"/>
      <c r="BA28" s="236"/>
      <c r="BB28" s="236"/>
      <c r="BC28" s="236"/>
      <c r="BD28" s="236"/>
      <c r="BE28" s="236"/>
      <c r="BF28" s="236"/>
      <c r="BG28" s="237"/>
      <c r="BH28" s="203"/>
    </row>
    <row r="29" spans="1:60" ht="11.25" customHeight="1">
      <c r="A29" s="2"/>
      <c r="B29" s="206" t="str">
        <f>IF(Roster!$J$1=0,"",Roster!$J$1)</f>
        <v>MA</v>
      </c>
      <c r="C29" s="207"/>
      <c r="D29" s="207"/>
      <c r="E29" s="207"/>
      <c r="F29" s="207"/>
      <c r="G29" s="207"/>
      <c r="H29" s="207"/>
      <c r="I29" s="207"/>
      <c r="J29" s="207"/>
      <c r="K29" s="207"/>
      <c r="L29" s="207"/>
      <c r="M29" s="207"/>
      <c r="N29" s="207"/>
      <c r="O29" s="202"/>
      <c r="P29" s="2"/>
      <c r="Q29" s="206" t="str">
        <f>IF(Roster!$J$1=0,"",Roster!$J$1)</f>
        <v>MA</v>
      </c>
      <c r="R29" s="207"/>
      <c r="S29" s="207"/>
      <c r="T29" s="207"/>
      <c r="U29" s="207"/>
      <c r="V29" s="207"/>
      <c r="W29" s="207"/>
      <c r="X29" s="207"/>
      <c r="Y29" s="207"/>
      <c r="Z29" s="207"/>
      <c r="AA29" s="207"/>
      <c r="AB29" s="207"/>
      <c r="AC29" s="207"/>
      <c r="AD29" s="202"/>
      <c r="AE29" s="2"/>
      <c r="AF29" s="206" t="str">
        <f>IF(Roster!$J$1=0,"",Roster!$J$1)</f>
        <v>MA</v>
      </c>
      <c r="AG29" s="207"/>
      <c r="AH29" s="207"/>
      <c r="AI29" s="207"/>
      <c r="AJ29" s="207"/>
      <c r="AK29" s="207"/>
      <c r="AL29" s="207"/>
      <c r="AM29" s="207"/>
      <c r="AN29" s="207"/>
      <c r="AO29" s="207"/>
      <c r="AP29" s="207"/>
      <c r="AQ29" s="207"/>
      <c r="AR29" s="207"/>
      <c r="AS29" s="202"/>
      <c r="AT29" s="2"/>
      <c r="AU29" s="206" t="str">
        <f>IF(Roster!$J$1=0,"",Roster!$J$1)</f>
        <v>MA</v>
      </c>
      <c r="AV29" s="207"/>
      <c r="AW29" s="207"/>
      <c r="AX29" s="207"/>
      <c r="AY29" s="207"/>
      <c r="AZ29" s="207"/>
      <c r="BA29" s="207"/>
      <c r="BB29" s="207"/>
      <c r="BC29" s="207"/>
      <c r="BD29" s="207"/>
      <c r="BE29" s="207"/>
      <c r="BF29" s="207"/>
      <c r="BG29" s="207"/>
      <c r="BH29" s="202"/>
    </row>
    <row r="30" spans="1:60" ht="37.5" customHeight="1">
      <c r="A30" s="2"/>
      <c r="B30" s="209">
        <f>IF(Roster!$J$5=0,"",Roster!$J$5)</f>
        <v>8</v>
      </c>
      <c r="C30" s="207"/>
      <c r="D30" s="392"/>
      <c r="E30" s="289"/>
      <c r="F30" s="289"/>
      <c r="G30" s="289"/>
      <c r="H30" s="289"/>
      <c r="I30" s="289"/>
      <c r="J30" s="289"/>
      <c r="K30" s="289"/>
      <c r="L30" s="289"/>
      <c r="M30" s="289"/>
      <c r="N30" s="264"/>
      <c r="O30" s="202"/>
      <c r="P30" s="2"/>
      <c r="Q30" s="209">
        <f>IF(Roster!$J$6=0,"",Roster!$J$6)</f>
        <v>7</v>
      </c>
      <c r="R30" s="207"/>
      <c r="S30" s="392"/>
      <c r="T30" s="289"/>
      <c r="U30" s="289"/>
      <c r="V30" s="289"/>
      <c r="W30" s="289"/>
      <c r="X30" s="289"/>
      <c r="Y30" s="289"/>
      <c r="Z30" s="289"/>
      <c r="AA30" s="289"/>
      <c r="AB30" s="289"/>
      <c r="AC30" s="264"/>
      <c r="AD30" s="202"/>
      <c r="AE30" s="2"/>
      <c r="AF30" s="209">
        <f>IF(Roster!$J$7=0,"",Roster!$J$7)</f>
        <v>6</v>
      </c>
      <c r="AG30" s="207"/>
      <c r="AH30" s="392"/>
      <c r="AI30" s="289"/>
      <c r="AJ30" s="289"/>
      <c r="AK30" s="289"/>
      <c r="AL30" s="289"/>
      <c r="AM30" s="289"/>
      <c r="AN30" s="289"/>
      <c r="AO30" s="289"/>
      <c r="AP30" s="289"/>
      <c r="AQ30" s="289"/>
      <c r="AR30" s="264"/>
      <c r="AS30" s="202"/>
      <c r="AT30" s="2"/>
      <c r="AU30" s="209">
        <f>IF(Roster!$J$8=0,"",Roster!$J$8)</f>
        <v>4</v>
      </c>
      <c r="AV30" s="207"/>
      <c r="AW30" s="392"/>
      <c r="AX30" s="289"/>
      <c r="AY30" s="289"/>
      <c r="AZ30" s="289"/>
      <c r="BA30" s="289"/>
      <c r="BB30" s="289"/>
      <c r="BC30" s="289"/>
      <c r="BD30" s="289"/>
      <c r="BE30" s="289"/>
      <c r="BF30" s="289"/>
      <c r="BG30" s="264"/>
      <c r="BH30" s="202"/>
    </row>
    <row r="31" spans="1:60" ht="11.25" customHeight="1">
      <c r="A31" s="2"/>
      <c r="B31" s="206" t="str">
        <f>IF(Roster!$K$1=0,"",Roster!$K$1)</f>
        <v>ST</v>
      </c>
      <c r="C31" s="207"/>
      <c r="D31" s="265"/>
      <c r="E31" s="261"/>
      <c r="F31" s="261"/>
      <c r="G31" s="261"/>
      <c r="H31" s="261"/>
      <c r="I31" s="261"/>
      <c r="J31" s="261"/>
      <c r="K31" s="261"/>
      <c r="L31" s="261"/>
      <c r="M31" s="261"/>
      <c r="N31" s="266"/>
      <c r="O31" s="202"/>
      <c r="P31" s="2"/>
      <c r="Q31" s="206" t="str">
        <f>IF(Roster!$K$1=0,"",Roster!$K$1)</f>
        <v>ST</v>
      </c>
      <c r="R31" s="207"/>
      <c r="S31" s="265"/>
      <c r="T31" s="261"/>
      <c r="U31" s="261"/>
      <c r="V31" s="261"/>
      <c r="W31" s="261"/>
      <c r="X31" s="261"/>
      <c r="Y31" s="261"/>
      <c r="Z31" s="261"/>
      <c r="AA31" s="261"/>
      <c r="AB31" s="261"/>
      <c r="AC31" s="266"/>
      <c r="AD31" s="202"/>
      <c r="AE31" s="2"/>
      <c r="AF31" s="206" t="str">
        <f>IF(Roster!$K$1=0,"",Roster!$K$1)</f>
        <v>ST</v>
      </c>
      <c r="AG31" s="207"/>
      <c r="AH31" s="265"/>
      <c r="AI31" s="261"/>
      <c r="AJ31" s="261"/>
      <c r="AK31" s="261"/>
      <c r="AL31" s="261"/>
      <c r="AM31" s="261"/>
      <c r="AN31" s="261"/>
      <c r="AO31" s="261"/>
      <c r="AP31" s="261"/>
      <c r="AQ31" s="261"/>
      <c r="AR31" s="266"/>
      <c r="AS31" s="202"/>
      <c r="AT31" s="2"/>
      <c r="AU31" s="206" t="str">
        <f>IF(Roster!$K$1=0,"",Roster!$K$1)</f>
        <v>ST</v>
      </c>
      <c r="AV31" s="207"/>
      <c r="AW31" s="265"/>
      <c r="AX31" s="261"/>
      <c r="AY31" s="261"/>
      <c r="AZ31" s="261"/>
      <c r="BA31" s="261"/>
      <c r="BB31" s="261"/>
      <c r="BC31" s="261"/>
      <c r="BD31" s="261"/>
      <c r="BE31" s="261"/>
      <c r="BF31" s="261"/>
      <c r="BG31" s="266"/>
      <c r="BH31" s="202"/>
    </row>
    <row r="32" spans="1:60" ht="37.5" customHeight="1">
      <c r="A32" s="2"/>
      <c r="B32" s="209">
        <f>IF(Roster!$K$5=0,"",Roster!$K$5)</f>
        <v>3</v>
      </c>
      <c r="C32" s="207"/>
      <c r="D32" s="265"/>
      <c r="E32" s="261"/>
      <c r="F32" s="261"/>
      <c r="G32" s="261"/>
      <c r="H32" s="261"/>
      <c r="I32" s="261"/>
      <c r="J32" s="261"/>
      <c r="K32" s="261"/>
      <c r="L32" s="261"/>
      <c r="M32" s="261"/>
      <c r="N32" s="266"/>
      <c r="O32" s="202"/>
      <c r="P32" s="2"/>
      <c r="Q32" s="209">
        <f>IF(Roster!$K$6=0,"",Roster!$K$6)</f>
        <v>3</v>
      </c>
      <c r="R32" s="207"/>
      <c r="S32" s="265"/>
      <c r="T32" s="261"/>
      <c r="U32" s="261"/>
      <c r="V32" s="261"/>
      <c r="W32" s="261"/>
      <c r="X32" s="261"/>
      <c r="Y32" s="261"/>
      <c r="Z32" s="261"/>
      <c r="AA32" s="261"/>
      <c r="AB32" s="261"/>
      <c r="AC32" s="266"/>
      <c r="AD32" s="202"/>
      <c r="AE32" s="2"/>
      <c r="AF32" s="209">
        <f>IF(Roster!$K$7=0,"",Roster!$K$7)</f>
        <v>3</v>
      </c>
      <c r="AG32" s="207"/>
      <c r="AH32" s="265"/>
      <c r="AI32" s="261"/>
      <c r="AJ32" s="261"/>
      <c r="AK32" s="261"/>
      <c r="AL32" s="261"/>
      <c r="AM32" s="261"/>
      <c r="AN32" s="261"/>
      <c r="AO32" s="261"/>
      <c r="AP32" s="261"/>
      <c r="AQ32" s="261"/>
      <c r="AR32" s="266"/>
      <c r="AS32" s="202"/>
      <c r="AT32" s="2"/>
      <c r="AU32" s="209">
        <f>IF(Roster!$K$8=0,"",Roster!$K$8)</f>
        <v>3</v>
      </c>
      <c r="AV32" s="207"/>
      <c r="AW32" s="265"/>
      <c r="AX32" s="261"/>
      <c r="AY32" s="261"/>
      <c r="AZ32" s="261"/>
      <c r="BA32" s="261"/>
      <c r="BB32" s="261"/>
      <c r="BC32" s="261"/>
      <c r="BD32" s="261"/>
      <c r="BE32" s="261"/>
      <c r="BF32" s="261"/>
      <c r="BG32" s="266"/>
      <c r="BH32" s="202"/>
    </row>
    <row r="33" spans="1:60" ht="11.25" customHeight="1">
      <c r="A33" s="2"/>
      <c r="B33" s="206" t="str">
        <f>IF(Roster!$L$1=0,"",Roster!$L$1)</f>
        <v>AG</v>
      </c>
      <c r="C33" s="207"/>
      <c r="D33" s="265"/>
      <c r="E33" s="261"/>
      <c r="F33" s="261"/>
      <c r="G33" s="261"/>
      <c r="H33" s="261"/>
      <c r="I33" s="261"/>
      <c r="J33" s="261"/>
      <c r="K33" s="261"/>
      <c r="L33" s="261"/>
      <c r="M33" s="261"/>
      <c r="N33" s="266"/>
      <c r="O33" s="202"/>
      <c r="P33" s="2"/>
      <c r="Q33" s="206" t="str">
        <f>IF(Roster!$L$1=0,"",Roster!$L$1)</f>
        <v>AG</v>
      </c>
      <c r="R33" s="207"/>
      <c r="S33" s="265"/>
      <c r="T33" s="261"/>
      <c r="U33" s="261"/>
      <c r="V33" s="261"/>
      <c r="W33" s="261"/>
      <c r="X33" s="261"/>
      <c r="Y33" s="261"/>
      <c r="Z33" s="261"/>
      <c r="AA33" s="261"/>
      <c r="AB33" s="261"/>
      <c r="AC33" s="266"/>
      <c r="AD33" s="202"/>
      <c r="AE33" s="2"/>
      <c r="AF33" s="206" t="str">
        <f>IF(Roster!$L$1=0,"",Roster!$L$1)</f>
        <v>AG</v>
      </c>
      <c r="AG33" s="207"/>
      <c r="AH33" s="265"/>
      <c r="AI33" s="261"/>
      <c r="AJ33" s="261"/>
      <c r="AK33" s="261"/>
      <c r="AL33" s="261"/>
      <c r="AM33" s="261"/>
      <c r="AN33" s="261"/>
      <c r="AO33" s="261"/>
      <c r="AP33" s="261"/>
      <c r="AQ33" s="261"/>
      <c r="AR33" s="266"/>
      <c r="AS33" s="202"/>
      <c r="AT33" s="2"/>
      <c r="AU33" s="206" t="str">
        <f>IF(Roster!$L$1=0,"",Roster!$L$1)</f>
        <v>AG</v>
      </c>
      <c r="AV33" s="207"/>
      <c r="AW33" s="265"/>
      <c r="AX33" s="261"/>
      <c r="AY33" s="261"/>
      <c r="AZ33" s="261"/>
      <c r="BA33" s="261"/>
      <c r="BB33" s="261"/>
      <c r="BC33" s="261"/>
      <c r="BD33" s="261"/>
      <c r="BE33" s="261"/>
      <c r="BF33" s="261"/>
      <c r="BG33" s="266"/>
      <c r="BH33" s="202"/>
    </row>
    <row r="34" spans="1:60" ht="37.5" customHeight="1">
      <c r="A34" s="2"/>
      <c r="B34" s="209" t="str">
        <f>IF(Roster!$L$5=0&amp;"+","",Roster!$L$5)</f>
        <v>3+</v>
      </c>
      <c r="C34" s="207"/>
      <c r="D34" s="265"/>
      <c r="E34" s="261"/>
      <c r="F34" s="261"/>
      <c r="G34" s="261"/>
      <c r="H34" s="261"/>
      <c r="I34" s="261"/>
      <c r="J34" s="261"/>
      <c r="K34" s="261"/>
      <c r="L34" s="261"/>
      <c r="M34" s="261"/>
      <c r="N34" s="266"/>
      <c r="O34" s="202"/>
      <c r="P34" s="2"/>
      <c r="Q34" s="209" t="str">
        <f>IF(Roster!$L$6=0&amp;"+","",Roster!$L$6)</f>
        <v>3+</v>
      </c>
      <c r="R34" s="207"/>
      <c r="S34" s="265"/>
      <c r="T34" s="261"/>
      <c r="U34" s="261"/>
      <c r="V34" s="261"/>
      <c r="W34" s="261"/>
      <c r="X34" s="261"/>
      <c r="Y34" s="261"/>
      <c r="Z34" s="261"/>
      <c r="AA34" s="261"/>
      <c r="AB34" s="261"/>
      <c r="AC34" s="266"/>
      <c r="AD34" s="202"/>
      <c r="AE34" s="2"/>
      <c r="AF34" s="209" t="str">
        <f>IF(Roster!$L$7=0&amp;"+","",Roster!$L$7)</f>
        <v>3+</v>
      </c>
      <c r="AG34" s="207"/>
      <c r="AH34" s="265"/>
      <c r="AI34" s="261"/>
      <c r="AJ34" s="261"/>
      <c r="AK34" s="261"/>
      <c r="AL34" s="261"/>
      <c r="AM34" s="261"/>
      <c r="AN34" s="261"/>
      <c r="AO34" s="261"/>
      <c r="AP34" s="261"/>
      <c r="AQ34" s="261"/>
      <c r="AR34" s="266"/>
      <c r="AS34" s="202"/>
      <c r="AT34" s="2"/>
      <c r="AU34" s="209" t="str">
        <f>IF(Roster!$L$8=0&amp;"+","",Roster!$L$8)</f>
        <v>4+</v>
      </c>
      <c r="AV34" s="207"/>
      <c r="AW34" s="265"/>
      <c r="AX34" s="261"/>
      <c r="AY34" s="261"/>
      <c r="AZ34" s="261"/>
      <c r="BA34" s="261"/>
      <c r="BB34" s="261"/>
      <c r="BC34" s="261"/>
      <c r="BD34" s="261"/>
      <c r="BE34" s="261"/>
      <c r="BF34" s="261"/>
      <c r="BG34" s="266"/>
      <c r="BH34" s="202"/>
    </row>
    <row r="35" spans="1:60" ht="11.25" customHeight="1">
      <c r="A35" s="2"/>
      <c r="B35" s="206" t="str">
        <f>IF(Roster!$M$1=0,"",Roster!$M$1)</f>
        <v>PA</v>
      </c>
      <c r="C35" s="207"/>
      <c r="D35" s="265"/>
      <c r="E35" s="261"/>
      <c r="F35" s="261"/>
      <c r="G35" s="261"/>
      <c r="H35" s="261"/>
      <c r="I35" s="261"/>
      <c r="J35" s="261"/>
      <c r="K35" s="261"/>
      <c r="L35" s="261"/>
      <c r="M35" s="261"/>
      <c r="N35" s="266"/>
      <c r="O35" s="211"/>
      <c r="P35" s="2"/>
      <c r="Q35" s="206" t="str">
        <f>IF(Roster!$M$1=0,"",Roster!$M$1)</f>
        <v>PA</v>
      </c>
      <c r="R35" s="207"/>
      <c r="S35" s="265"/>
      <c r="T35" s="261"/>
      <c r="U35" s="261"/>
      <c r="V35" s="261"/>
      <c r="W35" s="261"/>
      <c r="X35" s="261"/>
      <c r="Y35" s="261"/>
      <c r="Z35" s="261"/>
      <c r="AA35" s="261"/>
      <c r="AB35" s="261"/>
      <c r="AC35" s="266"/>
      <c r="AD35" s="211"/>
      <c r="AE35" s="2"/>
      <c r="AF35" s="206" t="str">
        <f>IF(Roster!$M$1=0,"",Roster!$M$1)</f>
        <v>PA</v>
      </c>
      <c r="AG35" s="207"/>
      <c r="AH35" s="265"/>
      <c r="AI35" s="261"/>
      <c r="AJ35" s="261"/>
      <c r="AK35" s="261"/>
      <c r="AL35" s="261"/>
      <c r="AM35" s="261"/>
      <c r="AN35" s="261"/>
      <c r="AO35" s="261"/>
      <c r="AP35" s="261"/>
      <c r="AQ35" s="261"/>
      <c r="AR35" s="266"/>
      <c r="AS35" s="211"/>
      <c r="AT35" s="2"/>
      <c r="AU35" s="206" t="str">
        <f>IF(Roster!$M$1=0,"",Roster!$M$1)</f>
        <v>PA</v>
      </c>
      <c r="AV35" s="207"/>
      <c r="AW35" s="265"/>
      <c r="AX35" s="261"/>
      <c r="AY35" s="261"/>
      <c r="AZ35" s="261"/>
      <c r="BA35" s="261"/>
      <c r="BB35" s="261"/>
      <c r="BC35" s="261"/>
      <c r="BD35" s="261"/>
      <c r="BE35" s="261"/>
      <c r="BF35" s="261"/>
      <c r="BG35" s="266"/>
      <c r="BH35" s="211"/>
    </row>
    <row r="36" spans="1:60" ht="6" customHeight="1">
      <c r="A36" s="2"/>
      <c r="B36" s="387" t="str">
        <f>IF(Roster!$M$5=0&amp;"+","",Roster!$M$5)</f>
        <v>4+</v>
      </c>
      <c r="C36" s="207"/>
      <c r="D36" s="267"/>
      <c r="E36" s="290"/>
      <c r="F36" s="290"/>
      <c r="G36" s="290"/>
      <c r="H36" s="290"/>
      <c r="I36" s="290"/>
      <c r="J36" s="290"/>
      <c r="K36" s="290"/>
      <c r="L36" s="290"/>
      <c r="M36" s="290"/>
      <c r="N36" s="268"/>
      <c r="O36" s="213"/>
      <c r="P36" s="2"/>
      <c r="Q36" s="387" t="str">
        <f>IF(Roster!$M$6=0&amp;"+","",Roster!$M$6)</f>
        <v>4+</v>
      </c>
      <c r="R36" s="207"/>
      <c r="S36" s="267"/>
      <c r="T36" s="290"/>
      <c r="U36" s="290"/>
      <c r="V36" s="290"/>
      <c r="W36" s="290"/>
      <c r="X36" s="290"/>
      <c r="Y36" s="290"/>
      <c r="Z36" s="290"/>
      <c r="AA36" s="290"/>
      <c r="AB36" s="290"/>
      <c r="AC36" s="268"/>
      <c r="AD36" s="213"/>
      <c r="AE36" s="2"/>
      <c r="AF36" s="387" t="str">
        <f>IF(Roster!$M$7=0&amp;"+","",Roster!$M$7)</f>
        <v/>
      </c>
      <c r="AG36" s="207"/>
      <c r="AH36" s="267"/>
      <c r="AI36" s="290"/>
      <c r="AJ36" s="290"/>
      <c r="AK36" s="290"/>
      <c r="AL36" s="290"/>
      <c r="AM36" s="290"/>
      <c r="AN36" s="290"/>
      <c r="AO36" s="290"/>
      <c r="AP36" s="290"/>
      <c r="AQ36" s="290"/>
      <c r="AR36" s="268"/>
      <c r="AS36" s="213"/>
      <c r="AT36" s="2"/>
      <c r="AU36" s="387" t="str">
        <f>IF(Roster!$M$8=0&amp;"+","",Roster!$M$8)</f>
        <v/>
      </c>
      <c r="AV36" s="207"/>
      <c r="AW36" s="267"/>
      <c r="AX36" s="290"/>
      <c r="AY36" s="290"/>
      <c r="AZ36" s="290"/>
      <c r="BA36" s="290"/>
      <c r="BB36" s="290"/>
      <c r="BC36" s="290"/>
      <c r="BD36" s="290"/>
      <c r="BE36" s="290"/>
      <c r="BF36" s="290"/>
      <c r="BG36" s="268"/>
      <c r="BH36" s="213"/>
    </row>
    <row r="37" spans="1:60" ht="4.5" customHeight="1">
      <c r="A37" s="2"/>
      <c r="B37" s="241"/>
      <c r="C37" s="205"/>
      <c r="D37" s="214"/>
      <c r="E37" s="212"/>
      <c r="F37" s="214"/>
      <c r="G37" s="212"/>
      <c r="H37" s="214"/>
      <c r="I37" s="212"/>
      <c r="J37" s="214"/>
      <c r="K37" s="212"/>
      <c r="L37" s="214"/>
      <c r="M37" s="212"/>
      <c r="N37" s="214"/>
      <c r="O37" s="213"/>
      <c r="P37" s="2"/>
      <c r="Q37" s="241"/>
      <c r="R37" s="205"/>
      <c r="S37" s="214"/>
      <c r="T37" s="212"/>
      <c r="U37" s="214"/>
      <c r="V37" s="212"/>
      <c r="W37" s="214"/>
      <c r="X37" s="212"/>
      <c r="Y37" s="214"/>
      <c r="Z37" s="212"/>
      <c r="AA37" s="214"/>
      <c r="AB37" s="212"/>
      <c r="AC37" s="214"/>
      <c r="AD37" s="213"/>
      <c r="AE37" s="2"/>
      <c r="AF37" s="241"/>
      <c r="AG37" s="205"/>
      <c r="AH37" s="214"/>
      <c r="AI37" s="212"/>
      <c r="AJ37" s="214"/>
      <c r="AK37" s="212"/>
      <c r="AL37" s="214"/>
      <c r="AM37" s="212"/>
      <c r="AN37" s="214"/>
      <c r="AO37" s="212"/>
      <c r="AP37" s="214"/>
      <c r="AQ37" s="212"/>
      <c r="AR37" s="214"/>
      <c r="AS37" s="213"/>
      <c r="AT37" s="2"/>
      <c r="AU37" s="241"/>
      <c r="AV37" s="205"/>
      <c r="AW37" s="214"/>
      <c r="AX37" s="212"/>
      <c r="AY37" s="214"/>
      <c r="AZ37" s="212"/>
      <c r="BA37" s="214"/>
      <c r="BB37" s="212"/>
      <c r="BC37" s="214"/>
      <c r="BD37" s="212"/>
      <c r="BE37" s="214"/>
      <c r="BF37" s="212"/>
      <c r="BG37" s="214"/>
      <c r="BH37" s="213"/>
    </row>
    <row r="38" spans="1:60" ht="11.25" customHeight="1">
      <c r="A38" s="2"/>
      <c r="B38" s="241"/>
      <c r="C38" s="205"/>
      <c r="D38" s="373" t="str">
        <f>IF(Roster!$J$24="Español","HABILIDADES Y RASGOS","SKILLS &amp; TRAITS")</f>
        <v>SKILLS &amp; TRAITS</v>
      </c>
      <c r="E38" s="270"/>
      <c r="F38" s="270"/>
      <c r="G38" s="270"/>
      <c r="H38" s="270"/>
      <c r="I38" s="270"/>
      <c r="J38" s="270"/>
      <c r="K38" s="270"/>
      <c r="L38" s="270"/>
      <c r="M38" s="270"/>
      <c r="N38" s="374"/>
      <c r="O38" s="213"/>
      <c r="P38" s="2"/>
      <c r="Q38" s="241"/>
      <c r="R38" s="205"/>
      <c r="S38" s="373" t="str">
        <f>IF(Roster!$J$24="Español","HABILIDADES Y RASGOS","SKILLS &amp; TRAITS")</f>
        <v>SKILLS &amp; TRAITS</v>
      </c>
      <c r="T38" s="270"/>
      <c r="U38" s="270"/>
      <c r="V38" s="270"/>
      <c r="W38" s="270"/>
      <c r="X38" s="270"/>
      <c r="Y38" s="270"/>
      <c r="Z38" s="270"/>
      <c r="AA38" s="270"/>
      <c r="AB38" s="270"/>
      <c r="AC38" s="374"/>
      <c r="AD38" s="213"/>
      <c r="AE38" s="2"/>
      <c r="AF38" s="241"/>
      <c r="AG38" s="205"/>
      <c r="AH38" s="373" t="str">
        <f>IF(Roster!$J$24="Español","HABILIDADES Y RASGOS","SKILLS &amp; TRAITS")</f>
        <v>SKILLS &amp; TRAITS</v>
      </c>
      <c r="AI38" s="270"/>
      <c r="AJ38" s="270"/>
      <c r="AK38" s="270"/>
      <c r="AL38" s="270"/>
      <c r="AM38" s="270"/>
      <c r="AN38" s="270"/>
      <c r="AO38" s="270"/>
      <c r="AP38" s="270"/>
      <c r="AQ38" s="270"/>
      <c r="AR38" s="374"/>
      <c r="AS38" s="213"/>
      <c r="AT38" s="2"/>
      <c r="AU38" s="241"/>
      <c r="AV38" s="205"/>
      <c r="AW38" s="373" t="str">
        <f>IF(Roster!$J$24="Español","HABILIDADES Y RASGOS","SKILLS &amp; TRAITS")</f>
        <v>SKILLS &amp; TRAITS</v>
      </c>
      <c r="AX38" s="270"/>
      <c r="AY38" s="270"/>
      <c r="AZ38" s="270"/>
      <c r="BA38" s="270"/>
      <c r="BB38" s="270"/>
      <c r="BC38" s="270"/>
      <c r="BD38" s="270"/>
      <c r="BE38" s="270"/>
      <c r="BF38" s="270"/>
      <c r="BG38" s="374"/>
      <c r="BH38" s="213"/>
    </row>
    <row r="39" spans="1:60" ht="15" customHeight="1">
      <c r="A39" s="2"/>
      <c r="B39" s="241"/>
      <c r="C39" s="208"/>
      <c r="D39" s="375" t="str">
        <f>IF(Roster!$O$5=0&amp;$BF$5,"",Roster!$O$5)</f>
        <v>Claws, Frenzy, Regeneration, Block</v>
      </c>
      <c r="E39" s="340"/>
      <c r="F39" s="340"/>
      <c r="G39" s="340"/>
      <c r="H39" s="340"/>
      <c r="I39" s="340"/>
      <c r="J39" s="340"/>
      <c r="K39" s="340"/>
      <c r="L39" s="340"/>
      <c r="M39" s="340"/>
      <c r="N39" s="376"/>
      <c r="O39" s="213"/>
      <c r="P39" s="2"/>
      <c r="Q39" s="241"/>
      <c r="R39" s="208"/>
      <c r="S39" s="375" t="str">
        <f>IF(Roster!$O$6=0&amp;$BF$6,"",Roster!$O$6)</f>
        <v>Dodge, Block, Sure Hands</v>
      </c>
      <c r="T39" s="340"/>
      <c r="U39" s="340"/>
      <c r="V39" s="340"/>
      <c r="W39" s="340"/>
      <c r="X39" s="340"/>
      <c r="Y39" s="340"/>
      <c r="Z39" s="340"/>
      <c r="AA39" s="340"/>
      <c r="AB39" s="340"/>
      <c r="AC39" s="376"/>
      <c r="AD39" s="213"/>
      <c r="AE39" s="2"/>
      <c r="AF39" s="241"/>
      <c r="AG39" s="208"/>
      <c r="AH39" s="375" t="str">
        <f>IF(Roster!$O$7=0&amp;$BF$7,"",Roster!$O$7)</f>
        <v>Block, Foul Appearance, No Hands, Regeneration, Side Step, Guard</v>
      </c>
      <c r="AI39" s="340"/>
      <c r="AJ39" s="340"/>
      <c r="AK39" s="340"/>
      <c r="AL39" s="340"/>
      <c r="AM39" s="340"/>
      <c r="AN39" s="340"/>
      <c r="AO39" s="340"/>
      <c r="AP39" s="340"/>
      <c r="AQ39" s="340"/>
      <c r="AR39" s="376"/>
      <c r="AS39" s="213"/>
      <c r="AT39" s="2"/>
      <c r="AU39" s="241"/>
      <c r="AV39" s="208"/>
      <c r="AW39" s="375" t="str">
        <f>IF(Roster!$O$8=0&amp;$BF$8,"",Roster!$O$8)</f>
        <v>Regeneration</v>
      </c>
      <c r="AX39" s="340"/>
      <c r="AY39" s="340"/>
      <c r="AZ39" s="340"/>
      <c r="BA39" s="340"/>
      <c r="BB39" s="340"/>
      <c r="BC39" s="340"/>
      <c r="BD39" s="340"/>
      <c r="BE39" s="340"/>
      <c r="BF39" s="340"/>
      <c r="BG39" s="376"/>
      <c r="BH39" s="213"/>
    </row>
    <row r="40" spans="1:60" ht="4.5" customHeight="1">
      <c r="A40" s="2"/>
      <c r="B40" s="242"/>
      <c r="C40" s="208"/>
      <c r="D40" s="265"/>
      <c r="E40" s="261"/>
      <c r="F40" s="261"/>
      <c r="G40" s="261"/>
      <c r="H40" s="261"/>
      <c r="I40" s="261"/>
      <c r="J40" s="261"/>
      <c r="K40" s="261"/>
      <c r="L40" s="261"/>
      <c r="M40" s="261"/>
      <c r="N40" s="266"/>
      <c r="O40" s="213"/>
      <c r="P40" s="2"/>
      <c r="Q40" s="242"/>
      <c r="R40" s="208"/>
      <c r="S40" s="265"/>
      <c r="T40" s="261"/>
      <c r="U40" s="261"/>
      <c r="V40" s="261"/>
      <c r="W40" s="261"/>
      <c r="X40" s="261"/>
      <c r="Y40" s="261"/>
      <c r="Z40" s="261"/>
      <c r="AA40" s="261"/>
      <c r="AB40" s="261"/>
      <c r="AC40" s="266"/>
      <c r="AD40" s="213"/>
      <c r="AE40" s="2"/>
      <c r="AF40" s="242"/>
      <c r="AG40" s="208"/>
      <c r="AH40" s="265"/>
      <c r="AI40" s="261"/>
      <c r="AJ40" s="261"/>
      <c r="AK40" s="261"/>
      <c r="AL40" s="261"/>
      <c r="AM40" s="261"/>
      <c r="AN40" s="261"/>
      <c r="AO40" s="261"/>
      <c r="AP40" s="261"/>
      <c r="AQ40" s="261"/>
      <c r="AR40" s="266"/>
      <c r="AS40" s="213"/>
      <c r="AT40" s="2"/>
      <c r="AU40" s="242"/>
      <c r="AV40" s="208"/>
      <c r="AW40" s="265"/>
      <c r="AX40" s="261"/>
      <c r="AY40" s="261"/>
      <c r="AZ40" s="261"/>
      <c r="BA40" s="261"/>
      <c r="BB40" s="261"/>
      <c r="BC40" s="261"/>
      <c r="BD40" s="261"/>
      <c r="BE40" s="261"/>
      <c r="BF40" s="261"/>
      <c r="BG40" s="266"/>
      <c r="BH40" s="213"/>
    </row>
    <row r="41" spans="1:60" ht="11.25" customHeight="1">
      <c r="A41" s="2"/>
      <c r="B41" s="206" t="str">
        <f>IF(Roster!$N$1=0,"",Roster!$N$1)</f>
        <v>AV</v>
      </c>
      <c r="C41" s="207"/>
      <c r="D41" s="265"/>
      <c r="E41" s="261"/>
      <c r="F41" s="261"/>
      <c r="G41" s="261"/>
      <c r="H41" s="261"/>
      <c r="I41" s="261"/>
      <c r="J41" s="261"/>
      <c r="K41" s="261"/>
      <c r="L41" s="261"/>
      <c r="M41" s="261"/>
      <c r="N41" s="266"/>
      <c r="O41" s="202"/>
      <c r="P41" s="2"/>
      <c r="Q41" s="206" t="str">
        <f>IF(Roster!$N$1=0,"",Roster!$N$1)</f>
        <v>AV</v>
      </c>
      <c r="R41" s="207"/>
      <c r="S41" s="265"/>
      <c r="T41" s="261"/>
      <c r="U41" s="261"/>
      <c r="V41" s="261"/>
      <c r="W41" s="261"/>
      <c r="X41" s="261"/>
      <c r="Y41" s="261"/>
      <c r="Z41" s="261"/>
      <c r="AA41" s="261"/>
      <c r="AB41" s="261"/>
      <c r="AC41" s="266"/>
      <c r="AD41" s="202"/>
      <c r="AE41" s="2"/>
      <c r="AF41" s="206" t="str">
        <f>IF(Roster!$N$1=0,"",Roster!$N$1)</f>
        <v>AV</v>
      </c>
      <c r="AG41" s="207"/>
      <c r="AH41" s="265"/>
      <c r="AI41" s="261"/>
      <c r="AJ41" s="261"/>
      <c r="AK41" s="261"/>
      <c r="AL41" s="261"/>
      <c r="AM41" s="261"/>
      <c r="AN41" s="261"/>
      <c r="AO41" s="261"/>
      <c r="AP41" s="261"/>
      <c r="AQ41" s="261"/>
      <c r="AR41" s="266"/>
      <c r="AS41" s="202"/>
      <c r="AT41" s="2"/>
      <c r="AU41" s="206" t="str">
        <f>IF(Roster!$N$1=0,"",Roster!$N$1)</f>
        <v>AV</v>
      </c>
      <c r="AV41" s="207"/>
      <c r="AW41" s="265"/>
      <c r="AX41" s="261"/>
      <c r="AY41" s="261"/>
      <c r="AZ41" s="261"/>
      <c r="BA41" s="261"/>
      <c r="BB41" s="261"/>
      <c r="BC41" s="261"/>
      <c r="BD41" s="261"/>
      <c r="BE41" s="261"/>
      <c r="BF41" s="261"/>
      <c r="BG41" s="266"/>
      <c r="BH41" s="202"/>
    </row>
    <row r="42" spans="1:60" ht="15" customHeight="1">
      <c r="A42" s="2"/>
      <c r="B42" s="387" t="str">
        <f>IF(Roster!$N$5=0&amp;"+","",Roster!$N$5)</f>
        <v>9+</v>
      </c>
      <c r="C42" s="208"/>
      <c r="D42" s="265"/>
      <c r="E42" s="261"/>
      <c r="F42" s="261"/>
      <c r="G42" s="261"/>
      <c r="H42" s="261"/>
      <c r="I42" s="261"/>
      <c r="J42" s="261"/>
      <c r="K42" s="261"/>
      <c r="L42" s="261"/>
      <c r="M42" s="261"/>
      <c r="N42" s="266"/>
      <c r="O42" s="215"/>
      <c r="P42" s="2"/>
      <c r="Q42" s="387" t="str">
        <f>IF(Roster!$N$6=0&amp;"+","",Roster!$N$6)</f>
        <v>8+</v>
      </c>
      <c r="R42" s="208"/>
      <c r="S42" s="265"/>
      <c r="T42" s="261"/>
      <c r="U42" s="261"/>
      <c r="V42" s="261"/>
      <c r="W42" s="261"/>
      <c r="X42" s="261"/>
      <c r="Y42" s="261"/>
      <c r="Z42" s="261"/>
      <c r="AA42" s="261"/>
      <c r="AB42" s="261"/>
      <c r="AC42" s="266"/>
      <c r="AD42" s="215"/>
      <c r="AE42" s="2"/>
      <c r="AF42" s="387" t="str">
        <f>IF(Roster!$N$7=0&amp;"+","",Roster!$N$7)</f>
        <v>9+</v>
      </c>
      <c r="AG42" s="208"/>
      <c r="AH42" s="265"/>
      <c r="AI42" s="261"/>
      <c r="AJ42" s="261"/>
      <c r="AK42" s="261"/>
      <c r="AL42" s="261"/>
      <c r="AM42" s="261"/>
      <c r="AN42" s="261"/>
      <c r="AO42" s="261"/>
      <c r="AP42" s="261"/>
      <c r="AQ42" s="261"/>
      <c r="AR42" s="266"/>
      <c r="AS42" s="215"/>
      <c r="AT42" s="2"/>
      <c r="AU42" s="387" t="str">
        <f>IF(Roster!$N$8=0&amp;"+","",Roster!$N$8)</f>
        <v>9+</v>
      </c>
      <c r="AV42" s="208"/>
      <c r="AW42" s="265"/>
      <c r="AX42" s="261"/>
      <c r="AY42" s="261"/>
      <c r="AZ42" s="261"/>
      <c r="BA42" s="261"/>
      <c r="BB42" s="261"/>
      <c r="BC42" s="261"/>
      <c r="BD42" s="261"/>
      <c r="BE42" s="261"/>
      <c r="BF42" s="261"/>
      <c r="BG42" s="266"/>
      <c r="BH42" s="215"/>
    </row>
    <row r="43" spans="1:60" ht="4.5" customHeight="1">
      <c r="A43" s="2"/>
      <c r="B43" s="241"/>
      <c r="C43" s="208"/>
      <c r="D43" s="265"/>
      <c r="E43" s="261"/>
      <c r="F43" s="261"/>
      <c r="G43" s="261"/>
      <c r="H43" s="261"/>
      <c r="I43" s="261"/>
      <c r="J43" s="261"/>
      <c r="K43" s="261"/>
      <c r="L43" s="261"/>
      <c r="M43" s="261"/>
      <c r="N43" s="266"/>
      <c r="O43" s="215"/>
      <c r="P43" s="2"/>
      <c r="Q43" s="241"/>
      <c r="R43" s="208"/>
      <c r="S43" s="265"/>
      <c r="T43" s="261"/>
      <c r="U43" s="261"/>
      <c r="V43" s="261"/>
      <c r="W43" s="261"/>
      <c r="X43" s="261"/>
      <c r="Y43" s="261"/>
      <c r="Z43" s="261"/>
      <c r="AA43" s="261"/>
      <c r="AB43" s="261"/>
      <c r="AC43" s="266"/>
      <c r="AD43" s="215"/>
      <c r="AE43" s="2"/>
      <c r="AF43" s="241"/>
      <c r="AG43" s="208"/>
      <c r="AH43" s="265"/>
      <c r="AI43" s="261"/>
      <c r="AJ43" s="261"/>
      <c r="AK43" s="261"/>
      <c r="AL43" s="261"/>
      <c r="AM43" s="261"/>
      <c r="AN43" s="261"/>
      <c r="AO43" s="261"/>
      <c r="AP43" s="261"/>
      <c r="AQ43" s="261"/>
      <c r="AR43" s="266"/>
      <c r="AS43" s="215"/>
      <c r="AT43" s="2"/>
      <c r="AU43" s="241"/>
      <c r="AV43" s="208"/>
      <c r="AW43" s="265"/>
      <c r="AX43" s="261"/>
      <c r="AY43" s="261"/>
      <c r="AZ43" s="261"/>
      <c r="BA43" s="261"/>
      <c r="BB43" s="261"/>
      <c r="BC43" s="261"/>
      <c r="BD43" s="261"/>
      <c r="BE43" s="261"/>
      <c r="BF43" s="261"/>
      <c r="BG43" s="266"/>
      <c r="BH43" s="215"/>
    </row>
    <row r="44" spans="1:60" ht="11.25" customHeight="1">
      <c r="A44" s="2"/>
      <c r="B44" s="241"/>
      <c r="C44" s="208"/>
      <c r="D44" s="265"/>
      <c r="E44" s="261"/>
      <c r="F44" s="261"/>
      <c r="G44" s="261"/>
      <c r="H44" s="261"/>
      <c r="I44" s="261"/>
      <c r="J44" s="261"/>
      <c r="K44" s="261"/>
      <c r="L44" s="261"/>
      <c r="M44" s="261"/>
      <c r="N44" s="266"/>
      <c r="O44" s="215"/>
      <c r="P44" s="2"/>
      <c r="Q44" s="241"/>
      <c r="R44" s="208"/>
      <c r="S44" s="265"/>
      <c r="T44" s="261"/>
      <c r="U44" s="261"/>
      <c r="V44" s="261"/>
      <c r="W44" s="261"/>
      <c r="X44" s="261"/>
      <c r="Y44" s="261"/>
      <c r="Z44" s="261"/>
      <c r="AA44" s="261"/>
      <c r="AB44" s="261"/>
      <c r="AC44" s="266"/>
      <c r="AD44" s="215"/>
      <c r="AE44" s="2"/>
      <c r="AF44" s="241"/>
      <c r="AG44" s="208"/>
      <c r="AH44" s="265"/>
      <c r="AI44" s="261"/>
      <c r="AJ44" s="261"/>
      <c r="AK44" s="261"/>
      <c r="AL44" s="261"/>
      <c r="AM44" s="261"/>
      <c r="AN44" s="261"/>
      <c r="AO44" s="261"/>
      <c r="AP44" s="261"/>
      <c r="AQ44" s="261"/>
      <c r="AR44" s="266"/>
      <c r="AS44" s="215"/>
      <c r="AT44" s="2"/>
      <c r="AU44" s="241"/>
      <c r="AV44" s="208"/>
      <c r="AW44" s="265"/>
      <c r="AX44" s="261"/>
      <c r="AY44" s="261"/>
      <c r="AZ44" s="261"/>
      <c r="BA44" s="261"/>
      <c r="BB44" s="261"/>
      <c r="BC44" s="261"/>
      <c r="BD44" s="261"/>
      <c r="BE44" s="261"/>
      <c r="BF44" s="261"/>
      <c r="BG44" s="266"/>
      <c r="BH44" s="215"/>
    </row>
    <row r="45" spans="1:60" ht="6.75" customHeight="1">
      <c r="A45" s="2"/>
      <c r="B45" s="242"/>
      <c r="C45" s="208"/>
      <c r="D45" s="265"/>
      <c r="E45" s="261"/>
      <c r="F45" s="261"/>
      <c r="G45" s="261"/>
      <c r="H45" s="261"/>
      <c r="I45" s="261"/>
      <c r="J45" s="261"/>
      <c r="K45" s="261"/>
      <c r="L45" s="261"/>
      <c r="M45" s="261"/>
      <c r="N45" s="266"/>
      <c r="O45" s="215"/>
      <c r="P45" s="2"/>
      <c r="Q45" s="242"/>
      <c r="R45" s="208"/>
      <c r="S45" s="265"/>
      <c r="T45" s="261"/>
      <c r="U45" s="261"/>
      <c r="V45" s="261"/>
      <c r="W45" s="261"/>
      <c r="X45" s="261"/>
      <c r="Y45" s="261"/>
      <c r="Z45" s="261"/>
      <c r="AA45" s="261"/>
      <c r="AB45" s="261"/>
      <c r="AC45" s="266"/>
      <c r="AD45" s="215"/>
      <c r="AE45" s="2"/>
      <c r="AF45" s="242"/>
      <c r="AG45" s="208"/>
      <c r="AH45" s="265"/>
      <c r="AI45" s="261"/>
      <c r="AJ45" s="261"/>
      <c r="AK45" s="261"/>
      <c r="AL45" s="261"/>
      <c r="AM45" s="261"/>
      <c r="AN45" s="261"/>
      <c r="AO45" s="261"/>
      <c r="AP45" s="261"/>
      <c r="AQ45" s="261"/>
      <c r="AR45" s="266"/>
      <c r="AS45" s="215"/>
      <c r="AT45" s="2"/>
      <c r="AU45" s="242"/>
      <c r="AV45" s="208"/>
      <c r="AW45" s="265"/>
      <c r="AX45" s="261"/>
      <c r="AY45" s="261"/>
      <c r="AZ45" s="261"/>
      <c r="BA45" s="261"/>
      <c r="BB45" s="261"/>
      <c r="BC45" s="261"/>
      <c r="BD45" s="261"/>
      <c r="BE45" s="261"/>
      <c r="BF45" s="261"/>
      <c r="BG45" s="266"/>
      <c r="BH45" s="215"/>
    </row>
    <row r="46" spans="1:60" ht="11.25" customHeight="1">
      <c r="A46" s="2"/>
      <c r="B46" s="206" t="str">
        <f>IF(Roster!$AN$1=0,"",Roster!$AN$1)</f>
        <v>COST</v>
      </c>
      <c r="C46" s="207"/>
      <c r="D46" s="265"/>
      <c r="E46" s="261"/>
      <c r="F46" s="261"/>
      <c r="G46" s="261"/>
      <c r="H46" s="261"/>
      <c r="I46" s="261"/>
      <c r="J46" s="261"/>
      <c r="K46" s="261"/>
      <c r="L46" s="261"/>
      <c r="M46" s="261"/>
      <c r="N46" s="266"/>
      <c r="O46" s="218"/>
      <c r="P46" s="2"/>
      <c r="Q46" s="206" t="str">
        <f>IF(Roster!$AN$1=0,"",Roster!$AN$1)</f>
        <v>COST</v>
      </c>
      <c r="R46" s="207"/>
      <c r="S46" s="265"/>
      <c r="T46" s="261"/>
      <c r="U46" s="261"/>
      <c r="V46" s="261"/>
      <c r="W46" s="261"/>
      <c r="X46" s="261"/>
      <c r="Y46" s="261"/>
      <c r="Z46" s="261"/>
      <c r="AA46" s="261"/>
      <c r="AB46" s="261"/>
      <c r="AC46" s="266"/>
      <c r="AD46" s="218"/>
      <c r="AE46" s="2"/>
      <c r="AF46" s="206" t="str">
        <f>IF(Roster!$AN$1=0,"",Roster!$AN$1)</f>
        <v>COST</v>
      </c>
      <c r="AG46" s="207"/>
      <c r="AH46" s="265"/>
      <c r="AI46" s="261"/>
      <c r="AJ46" s="261"/>
      <c r="AK46" s="261"/>
      <c r="AL46" s="261"/>
      <c r="AM46" s="261"/>
      <c r="AN46" s="261"/>
      <c r="AO46" s="261"/>
      <c r="AP46" s="261"/>
      <c r="AQ46" s="261"/>
      <c r="AR46" s="266"/>
      <c r="AS46" s="218"/>
      <c r="AT46" s="2"/>
      <c r="AU46" s="206" t="str">
        <f>IF(Roster!$AN$1=0,"",Roster!$AN$1)</f>
        <v>COST</v>
      </c>
      <c r="AV46" s="207"/>
      <c r="AW46" s="265"/>
      <c r="AX46" s="261"/>
      <c r="AY46" s="261"/>
      <c r="AZ46" s="261"/>
      <c r="BA46" s="261"/>
      <c r="BB46" s="261"/>
      <c r="BC46" s="261"/>
      <c r="BD46" s="261"/>
      <c r="BE46" s="261"/>
      <c r="BF46" s="261"/>
      <c r="BG46" s="266"/>
      <c r="BH46" s="218"/>
    </row>
    <row r="47" spans="1:60" ht="34.5" customHeight="1">
      <c r="A47" s="2"/>
      <c r="B47" s="220">
        <f>IF(Roster!$AN$5=0,"",Roster!$AN$5)</f>
        <v>145000</v>
      </c>
      <c r="C47" s="221"/>
      <c r="D47" s="267"/>
      <c r="E47" s="290"/>
      <c r="F47" s="290"/>
      <c r="G47" s="290"/>
      <c r="H47" s="290"/>
      <c r="I47" s="290"/>
      <c r="J47" s="290"/>
      <c r="K47" s="290"/>
      <c r="L47" s="290"/>
      <c r="M47" s="290"/>
      <c r="N47" s="268"/>
      <c r="O47" s="218"/>
      <c r="P47" s="2"/>
      <c r="Q47" s="220">
        <f>IF(Roster!$AN$6=0,"",Roster!$AN$6)</f>
        <v>115000</v>
      </c>
      <c r="R47" s="221"/>
      <c r="S47" s="267"/>
      <c r="T47" s="290"/>
      <c r="U47" s="290"/>
      <c r="V47" s="290"/>
      <c r="W47" s="290"/>
      <c r="X47" s="290"/>
      <c r="Y47" s="290"/>
      <c r="Z47" s="290"/>
      <c r="AA47" s="290"/>
      <c r="AB47" s="290"/>
      <c r="AC47" s="268"/>
      <c r="AD47" s="218"/>
      <c r="AE47" s="2"/>
      <c r="AF47" s="220">
        <f>IF(Roster!$AN$7=0,"",Roster!$AN$7)</f>
        <v>115000</v>
      </c>
      <c r="AG47" s="221"/>
      <c r="AH47" s="267"/>
      <c r="AI47" s="290"/>
      <c r="AJ47" s="290"/>
      <c r="AK47" s="290"/>
      <c r="AL47" s="290"/>
      <c r="AM47" s="290"/>
      <c r="AN47" s="290"/>
      <c r="AO47" s="290"/>
      <c r="AP47" s="290"/>
      <c r="AQ47" s="290"/>
      <c r="AR47" s="268"/>
      <c r="AS47" s="218"/>
      <c r="AT47" s="2"/>
      <c r="AU47" s="220">
        <f>IF(Roster!$AN$8=0,"",Roster!$AN$8)</f>
        <v>40000</v>
      </c>
      <c r="AV47" s="221"/>
      <c r="AW47" s="267"/>
      <c r="AX47" s="290"/>
      <c r="AY47" s="290"/>
      <c r="AZ47" s="290"/>
      <c r="BA47" s="290"/>
      <c r="BB47" s="290"/>
      <c r="BC47" s="290"/>
      <c r="BD47" s="290"/>
      <c r="BE47" s="290"/>
      <c r="BF47" s="290"/>
      <c r="BG47" s="268"/>
      <c r="BH47" s="218"/>
    </row>
    <row r="48" spans="1:60" ht="4.5" customHeight="1">
      <c r="A48" s="2"/>
      <c r="B48" s="370"/>
      <c r="C48" s="273"/>
      <c r="D48" s="273"/>
      <c r="E48" s="273"/>
      <c r="F48" s="273"/>
      <c r="G48" s="273"/>
      <c r="H48" s="273"/>
      <c r="I48" s="273"/>
      <c r="J48" s="273"/>
      <c r="K48" s="273"/>
      <c r="L48" s="273"/>
      <c r="M48" s="273"/>
      <c r="N48" s="274"/>
      <c r="O48" s="222"/>
      <c r="P48" s="2"/>
      <c r="Q48" s="370"/>
      <c r="R48" s="273"/>
      <c r="S48" s="273"/>
      <c r="T48" s="273"/>
      <c r="U48" s="273"/>
      <c r="V48" s="273"/>
      <c r="W48" s="273"/>
      <c r="X48" s="273"/>
      <c r="Y48" s="273"/>
      <c r="Z48" s="273"/>
      <c r="AA48" s="273"/>
      <c r="AB48" s="273"/>
      <c r="AC48" s="274"/>
      <c r="AD48" s="222"/>
      <c r="AE48" s="2"/>
      <c r="AF48" s="370"/>
      <c r="AG48" s="273"/>
      <c r="AH48" s="273"/>
      <c r="AI48" s="273"/>
      <c r="AJ48" s="273"/>
      <c r="AK48" s="273"/>
      <c r="AL48" s="273"/>
      <c r="AM48" s="273"/>
      <c r="AN48" s="273"/>
      <c r="AO48" s="273"/>
      <c r="AP48" s="273"/>
      <c r="AQ48" s="273"/>
      <c r="AR48" s="274"/>
      <c r="AS48" s="222"/>
      <c r="AT48" s="2"/>
      <c r="AU48" s="370"/>
      <c r="AV48" s="273"/>
      <c r="AW48" s="273"/>
      <c r="AX48" s="273"/>
      <c r="AY48" s="273"/>
      <c r="AZ48" s="273"/>
      <c r="BA48" s="273"/>
      <c r="BB48" s="273"/>
      <c r="BC48" s="273"/>
      <c r="BD48" s="273"/>
      <c r="BE48" s="273"/>
      <c r="BF48" s="273"/>
      <c r="BG48" s="274"/>
      <c r="BH48" s="222"/>
    </row>
    <row r="49" spans="1:60" ht="11.2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row>
    <row r="50" spans="1:60" ht="4.5" customHeight="1">
      <c r="A50" s="2"/>
      <c r="B50" s="377" t="str">
        <f>IF(Roster!$A$9=0,"","#"&amp;Roster!$A$9)</f>
        <v>#8</v>
      </c>
      <c r="C50" s="200"/>
      <c r="D50" s="200"/>
      <c r="E50" s="200"/>
      <c r="F50" s="200"/>
      <c r="G50" s="200"/>
      <c r="H50" s="200"/>
      <c r="I50" s="200"/>
      <c r="J50" s="200"/>
      <c r="K50" s="200"/>
      <c r="L50" s="200"/>
      <c r="M50" s="200"/>
      <c r="N50" s="200"/>
      <c r="O50" s="201"/>
      <c r="P50" s="2"/>
      <c r="Q50" s="377" t="str">
        <f>IF(Roster!$A$10=0,"","#"&amp;Roster!$A$10)</f>
        <v>#9</v>
      </c>
      <c r="R50" s="200"/>
      <c r="S50" s="200"/>
      <c r="T50" s="200"/>
      <c r="U50" s="200"/>
      <c r="V50" s="200"/>
      <c r="W50" s="200"/>
      <c r="X50" s="200"/>
      <c r="Y50" s="200"/>
      <c r="Z50" s="200"/>
      <c r="AA50" s="200"/>
      <c r="AB50" s="200"/>
      <c r="AC50" s="200"/>
      <c r="AD50" s="201"/>
      <c r="AE50" s="2"/>
      <c r="AF50" s="377" t="str">
        <f>IF(Roster!$A$11=0,"","#"&amp;Roster!$A$11)</f>
        <v>#10</v>
      </c>
      <c r="AG50" s="200"/>
      <c r="AH50" s="200"/>
      <c r="AI50" s="200"/>
      <c r="AJ50" s="200"/>
      <c r="AK50" s="200"/>
      <c r="AL50" s="200"/>
      <c r="AM50" s="200"/>
      <c r="AN50" s="200"/>
      <c r="AO50" s="200"/>
      <c r="AP50" s="200"/>
      <c r="AQ50" s="200"/>
      <c r="AR50" s="200"/>
      <c r="AS50" s="201"/>
      <c r="AT50" s="2"/>
      <c r="AU50" s="377" t="str">
        <f>IF(Roster!$A$12=0,"","#"&amp;Roster!$A$12)</f>
        <v>#11</v>
      </c>
      <c r="AV50" s="200"/>
      <c r="AW50" s="200"/>
      <c r="AX50" s="200"/>
      <c r="AY50" s="200"/>
      <c r="AZ50" s="200"/>
      <c r="BA50" s="200"/>
      <c r="BB50" s="200"/>
      <c r="BC50" s="200"/>
      <c r="BD50" s="200"/>
      <c r="BE50" s="200"/>
      <c r="BF50" s="200"/>
      <c r="BG50" s="200"/>
      <c r="BH50" s="201"/>
    </row>
    <row r="51" spans="1:60" ht="15" customHeight="1">
      <c r="A51" s="2"/>
      <c r="B51" s="244"/>
      <c r="C51" s="369" t="str">
        <f>IF(Roster!$B$9=0,"",Roster!$B$9)</f>
        <v>Muuvt</v>
      </c>
      <c r="D51" s="236"/>
      <c r="E51" s="236"/>
      <c r="F51" s="236"/>
      <c r="G51" s="236"/>
      <c r="H51" s="236"/>
      <c r="I51" s="236"/>
      <c r="J51" s="236"/>
      <c r="K51" s="236"/>
      <c r="L51" s="236"/>
      <c r="M51" s="236"/>
      <c r="N51" s="237"/>
      <c r="O51" s="202"/>
      <c r="P51" s="2"/>
      <c r="Q51" s="244"/>
      <c r="R51" s="369" t="str">
        <f>IF(Roster!$B$10=0,"",Roster!$B$10)</f>
        <v>Jimmy Pace</v>
      </c>
      <c r="S51" s="236"/>
      <c r="T51" s="236"/>
      <c r="U51" s="236"/>
      <c r="V51" s="236"/>
      <c r="W51" s="236"/>
      <c r="X51" s="236"/>
      <c r="Y51" s="236"/>
      <c r="Z51" s="236"/>
      <c r="AA51" s="236"/>
      <c r="AB51" s="236"/>
      <c r="AC51" s="237"/>
      <c r="AD51" s="202"/>
      <c r="AE51" s="2"/>
      <c r="AF51" s="244"/>
      <c r="AG51" s="369" t="str">
        <f>IF(Roster!$B$11=0,"",Roster!$B$11)</f>
        <v>Ronnie Boh</v>
      </c>
      <c r="AH51" s="236"/>
      <c r="AI51" s="236"/>
      <c r="AJ51" s="236"/>
      <c r="AK51" s="236"/>
      <c r="AL51" s="236"/>
      <c r="AM51" s="236"/>
      <c r="AN51" s="236"/>
      <c r="AO51" s="236"/>
      <c r="AP51" s="236"/>
      <c r="AQ51" s="236"/>
      <c r="AR51" s="237"/>
      <c r="AS51" s="202"/>
      <c r="AT51" s="2"/>
      <c r="AU51" s="244"/>
      <c r="AV51" s="369" t="str">
        <f>IF(Roster!$B$12=0,"",Roster!$B$12)</f>
        <v>Cam Maybe</v>
      </c>
      <c r="AW51" s="236"/>
      <c r="AX51" s="236"/>
      <c r="AY51" s="236"/>
      <c r="AZ51" s="236"/>
      <c r="BA51" s="236"/>
      <c r="BB51" s="236"/>
      <c r="BC51" s="236"/>
      <c r="BD51" s="236"/>
      <c r="BE51" s="236"/>
      <c r="BF51" s="236"/>
      <c r="BG51" s="237"/>
      <c r="BH51" s="202"/>
    </row>
    <row r="52" spans="1:60" ht="11.25" customHeight="1">
      <c r="A52" s="2"/>
      <c r="B52" s="245"/>
      <c r="C52" s="378" t="str">
        <f>IF(Roster!$C$9=0,"",Roster!$C$9)</f>
        <v>Ghoul</v>
      </c>
      <c r="D52" s="236"/>
      <c r="E52" s="236"/>
      <c r="F52" s="236"/>
      <c r="G52" s="236"/>
      <c r="H52" s="236"/>
      <c r="I52" s="236"/>
      <c r="J52" s="236"/>
      <c r="K52" s="236"/>
      <c r="L52" s="236"/>
      <c r="M52" s="236"/>
      <c r="N52" s="237"/>
      <c r="O52" s="203"/>
      <c r="P52" s="2"/>
      <c r="Q52" s="245"/>
      <c r="R52" s="378" t="str">
        <f>IF(Roster!$C$10=0,"",Roster!$C$10)</f>
        <v>Zombie</v>
      </c>
      <c r="S52" s="236"/>
      <c r="T52" s="236"/>
      <c r="U52" s="236"/>
      <c r="V52" s="236"/>
      <c r="W52" s="236"/>
      <c r="X52" s="236"/>
      <c r="Y52" s="236"/>
      <c r="Z52" s="236"/>
      <c r="AA52" s="236"/>
      <c r="AB52" s="236"/>
      <c r="AC52" s="237"/>
      <c r="AD52" s="203"/>
      <c r="AE52" s="2"/>
      <c r="AF52" s="245"/>
      <c r="AG52" s="378" t="str">
        <f>IF(Roster!$C$11=0,"",Roster!$C$11)</f>
        <v>Zombie</v>
      </c>
      <c r="AH52" s="236"/>
      <c r="AI52" s="236"/>
      <c r="AJ52" s="236"/>
      <c r="AK52" s="236"/>
      <c r="AL52" s="236"/>
      <c r="AM52" s="236"/>
      <c r="AN52" s="236"/>
      <c r="AO52" s="236"/>
      <c r="AP52" s="236"/>
      <c r="AQ52" s="236"/>
      <c r="AR52" s="237"/>
      <c r="AS52" s="203"/>
      <c r="AT52" s="2"/>
      <c r="AU52" s="245"/>
      <c r="AV52" s="378" t="str">
        <f>IF(Roster!$C$12=0,"",Roster!$C$12)</f>
        <v>Zombie</v>
      </c>
      <c r="AW52" s="236"/>
      <c r="AX52" s="236"/>
      <c r="AY52" s="236"/>
      <c r="AZ52" s="236"/>
      <c r="BA52" s="236"/>
      <c r="BB52" s="236"/>
      <c r="BC52" s="236"/>
      <c r="BD52" s="236"/>
      <c r="BE52" s="236"/>
      <c r="BF52" s="236"/>
      <c r="BG52" s="237"/>
      <c r="BH52" s="203"/>
    </row>
    <row r="53" spans="1:60" ht="11.25" customHeight="1">
      <c r="A53" s="2"/>
      <c r="B53" s="206" t="str">
        <f>IF(Roster!$J$1=0,"",Roster!$J$1)</f>
        <v>MA</v>
      </c>
      <c r="C53" s="207"/>
      <c r="D53" s="207"/>
      <c r="E53" s="207"/>
      <c r="F53" s="207"/>
      <c r="G53" s="207"/>
      <c r="H53" s="207"/>
      <c r="I53" s="207"/>
      <c r="J53" s="207"/>
      <c r="K53" s="207"/>
      <c r="L53" s="207"/>
      <c r="M53" s="207"/>
      <c r="N53" s="207"/>
      <c r="O53" s="202"/>
      <c r="P53" s="2"/>
      <c r="Q53" s="206" t="str">
        <f>IF(Roster!$J$1=0,"",Roster!$J$1)</f>
        <v>MA</v>
      </c>
      <c r="R53" s="207"/>
      <c r="S53" s="207"/>
      <c r="T53" s="207"/>
      <c r="U53" s="207"/>
      <c r="V53" s="207"/>
      <c r="W53" s="207"/>
      <c r="X53" s="207"/>
      <c r="Y53" s="207"/>
      <c r="Z53" s="207"/>
      <c r="AA53" s="207"/>
      <c r="AB53" s="207"/>
      <c r="AC53" s="207"/>
      <c r="AD53" s="202"/>
      <c r="AE53" s="2"/>
      <c r="AF53" s="206" t="str">
        <f>IF(Roster!$J$1=0,"",Roster!$J$1)</f>
        <v>MA</v>
      </c>
      <c r="AG53" s="207"/>
      <c r="AH53" s="207"/>
      <c r="AI53" s="207"/>
      <c r="AJ53" s="207"/>
      <c r="AK53" s="207"/>
      <c r="AL53" s="207"/>
      <c r="AM53" s="207"/>
      <c r="AN53" s="207"/>
      <c r="AO53" s="207"/>
      <c r="AP53" s="207"/>
      <c r="AQ53" s="207"/>
      <c r="AR53" s="207"/>
      <c r="AS53" s="202"/>
      <c r="AT53" s="2"/>
      <c r="AU53" s="206" t="str">
        <f>IF(Roster!$J$1=0,"",Roster!$J$1)</f>
        <v>MA</v>
      </c>
      <c r="AV53" s="207"/>
      <c r="AW53" s="207"/>
      <c r="AX53" s="207"/>
      <c r="AY53" s="207"/>
      <c r="AZ53" s="207"/>
      <c r="BA53" s="207"/>
      <c r="BB53" s="207"/>
      <c r="BC53" s="207"/>
      <c r="BD53" s="207"/>
      <c r="BE53" s="207"/>
      <c r="BF53" s="207"/>
      <c r="BG53" s="207"/>
      <c r="BH53" s="202"/>
    </row>
    <row r="54" spans="1:60" ht="37.5" customHeight="1">
      <c r="A54" s="2"/>
      <c r="B54" s="209">
        <f>IF(Roster!$J$9=0,"",Roster!$J$9)</f>
        <v>7</v>
      </c>
      <c r="C54" s="207"/>
      <c r="D54" s="392"/>
      <c r="E54" s="289"/>
      <c r="F54" s="289"/>
      <c r="G54" s="289"/>
      <c r="H54" s="289"/>
      <c r="I54" s="289"/>
      <c r="J54" s="289"/>
      <c r="K54" s="289"/>
      <c r="L54" s="289"/>
      <c r="M54" s="289"/>
      <c r="N54" s="264"/>
      <c r="O54" s="202"/>
      <c r="P54" s="2"/>
      <c r="Q54" s="209">
        <f>IF(Roster!$J$10=0,"",Roster!$J$10)</f>
        <v>4</v>
      </c>
      <c r="R54" s="207"/>
      <c r="S54" s="392"/>
      <c r="T54" s="289"/>
      <c r="U54" s="289"/>
      <c r="V54" s="289"/>
      <c r="W54" s="289"/>
      <c r="X54" s="289"/>
      <c r="Y54" s="289"/>
      <c r="Z54" s="289"/>
      <c r="AA54" s="289"/>
      <c r="AB54" s="289"/>
      <c r="AC54" s="264"/>
      <c r="AD54" s="202"/>
      <c r="AE54" s="2"/>
      <c r="AF54" s="209">
        <f>IF(Roster!$J$11=0,"",Roster!$J$11)</f>
        <v>4</v>
      </c>
      <c r="AG54" s="207"/>
      <c r="AH54" s="392"/>
      <c r="AI54" s="289"/>
      <c r="AJ54" s="289"/>
      <c r="AK54" s="289"/>
      <c r="AL54" s="289"/>
      <c r="AM54" s="289"/>
      <c r="AN54" s="289"/>
      <c r="AO54" s="289"/>
      <c r="AP54" s="289"/>
      <c r="AQ54" s="289"/>
      <c r="AR54" s="264"/>
      <c r="AS54" s="202"/>
      <c r="AT54" s="2"/>
      <c r="AU54" s="209">
        <f>IF(Roster!$J$12=0,"",Roster!$J$12)</f>
        <v>4</v>
      </c>
      <c r="AV54" s="207"/>
      <c r="AW54" s="392"/>
      <c r="AX54" s="289"/>
      <c r="AY54" s="289"/>
      <c r="AZ54" s="289"/>
      <c r="BA54" s="289"/>
      <c r="BB54" s="289"/>
      <c r="BC54" s="289"/>
      <c r="BD54" s="289"/>
      <c r="BE54" s="289"/>
      <c r="BF54" s="289"/>
      <c r="BG54" s="264"/>
      <c r="BH54" s="202"/>
    </row>
    <row r="55" spans="1:60" ht="11.25" customHeight="1">
      <c r="A55" s="2"/>
      <c r="B55" s="206" t="str">
        <f>IF(Roster!$K$1=0,"",Roster!$K$1)</f>
        <v>ST</v>
      </c>
      <c r="C55" s="207"/>
      <c r="D55" s="265"/>
      <c r="E55" s="261"/>
      <c r="F55" s="261"/>
      <c r="G55" s="261"/>
      <c r="H55" s="261"/>
      <c r="I55" s="261"/>
      <c r="J55" s="261"/>
      <c r="K55" s="261"/>
      <c r="L55" s="261"/>
      <c r="M55" s="261"/>
      <c r="N55" s="266"/>
      <c r="O55" s="202"/>
      <c r="P55" s="2"/>
      <c r="Q55" s="206" t="str">
        <f>IF(Roster!$K$1=0,"",Roster!$K$1)</f>
        <v>ST</v>
      </c>
      <c r="R55" s="207"/>
      <c r="S55" s="265"/>
      <c r="T55" s="261"/>
      <c r="U55" s="261"/>
      <c r="V55" s="261"/>
      <c r="W55" s="261"/>
      <c r="X55" s="261"/>
      <c r="Y55" s="261"/>
      <c r="Z55" s="261"/>
      <c r="AA55" s="261"/>
      <c r="AB55" s="261"/>
      <c r="AC55" s="266"/>
      <c r="AD55" s="202"/>
      <c r="AE55" s="2"/>
      <c r="AF55" s="206" t="str">
        <f>IF(Roster!$K$1=0,"",Roster!$K$1)</f>
        <v>ST</v>
      </c>
      <c r="AG55" s="207"/>
      <c r="AH55" s="265"/>
      <c r="AI55" s="261"/>
      <c r="AJ55" s="261"/>
      <c r="AK55" s="261"/>
      <c r="AL55" s="261"/>
      <c r="AM55" s="261"/>
      <c r="AN55" s="261"/>
      <c r="AO55" s="261"/>
      <c r="AP55" s="261"/>
      <c r="AQ55" s="261"/>
      <c r="AR55" s="266"/>
      <c r="AS55" s="202"/>
      <c r="AT55" s="2"/>
      <c r="AU55" s="206" t="str">
        <f>IF(Roster!$K$1=0,"",Roster!$K$1)</f>
        <v>ST</v>
      </c>
      <c r="AV55" s="207"/>
      <c r="AW55" s="265"/>
      <c r="AX55" s="261"/>
      <c r="AY55" s="261"/>
      <c r="AZ55" s="261"/>
      <c r="BA55" s="261"/>
      <c r="BB55" s="261"/>
      <c r="BC55" s="261"/>
      <c r="BD55" s="261"/>
      <c r="BE55" s="261"/>
      <c r="BF55" s="261"/>
      <c r="BG55" s="266"/>
      <c r="BH55" s="202"/>
    </row>
    <row r="56" spans="1:60" ht="37.5" customHeight="1">
      <c r="A56" s="2"/>
      <c r="B56" s="209">
        <f>IF(Roster!$K$9=0,"",Roster!$K$9)</f>
        <v>3</v>
      </c>
      <c r="C56" s="207"/>
      <c r="D56" s="265"/>
      <c r="E56" s="261"/>
      <c r="F56" s="261"/>
      <c r="G56" s="261"/>
      <c r="H56" s="261"/>
      <c r="I56" s="261"/>
      <c r="J56" s="261"/>
      <c r="K56" s="261"/>
      <c r="L56" s="261"/>
      <c r="M56" s="261"/>
      <c r="N56" s="266"/>
      <c r="O56" s="202"/>
      <c r="P56" s="2"/>
      <c r="Q56" s="209">
        <f>IF(Roster!$K$10=0,"",Roster!$K$10)</f>
        <v>3</v>
      </c>
      <c r="R56" s="207"/>
      <c r="S56" s="265"/>
      <c r="T56" s="261"/>
      <c r="U56" s="261"/>
      <c r="V56" s="261"/>
      <c r="W56" s="261"/>
      <c r="X56" s="261"/>
      <c r="Y56" s="261"/>
      <c r="Z56" s="261"/>
      <c r="AA56" s="261"/>
      <c r="AB56" s="261"/>
      <c r="AC56" s="266"/>
      <c r="AD56" s="202"/>
      <c r="AE56" s="2"/>
      <c r="AF56" s="209">
        <f>IF(Roster!$K$11=0,"",Roster!$K$11)</f>
        <v>3</v>
      </c>
      <c r="AG56" s="207"/>
      <c r="AH56" s="265"/>
      <c r="AI56" s="261"/>
      <c r="AJ56" s="261"/>
      <c r="AK56" s="261"/>
      <c r="AL56" s="261"/>
      <c r="AM56" s="261"/>
      <c r="AN56" s="261"/>
      <c r="AO56" s="261"/>
      <c r="AP56" s="261"/>
      <c r="AQ56" s="261"/>
      <c r="AR56" s="266"/>
      <c r="AS56" s="202"/>
      <c r="AT56" s="2"/>
      <c r="AU56" s="209">
        <f>IF(Roster!$K$12=0,"",Roster!$K$12)</f>
        <v>3</v>
      </c>
      <c r="AV56" s="207"/>
      <c r="AW56" s="265"/>
      <c r="AX56" s="261"/>
      <c r="AY56" s="261"/>
      <c r="AZ56" s="261"/>
      <c r="BA56" s="261"/>
      <c r="BB56" s="261"/>
      <c r="BC56" s="261"/>
      <c r="BD56" s="261"/>
      <c r="BE56" s="261"/>
      <c r="BF56" s="261"/>
      <c r="BG56" s="266"/>
      <c r="BH56" s="202"/>
    </row>
    <row r="57" spans="1:60" ht="11.25" customHeight="1">
      <c r="A57" s="2"/>
      <c r="B57" s="206" t="str">
        <f>IF(Roster!$L$1=0,"",Roster!$L$1)</f>
        <v>AG</v>
      </c>
      <c r="C57" s="207"/>
      <c r="D57" s="265"/>
      <c r="E57" s="261"/>
      <c r="F57" s="261"/>
      <c r="G57" s="261"/>
      <c r="H57" s="261"/>
      <c r="I57" s="261"/>
      <c r="J57" s="261"/>
      <c r="K57" s="261"/>
      <c r="L57" s="261"/>
      <c r="M57" s="261"/>
      <c r="N57" s="266"/>
      <c r="O57" s="202"/>
      <c r="P57" s="2"/>
      <c r="Q57" s="206" t="str">
        <f>IF(Roster!$L$1=0,"",Roster!$L$1)</f>
        <v>AG</v>
      </c>
      <c r="R57" s="207"/>
      <c r="S57" s="265"/>
      <c r="T57" s="261"/>
      <c r="U57" s="261"/>
      <c r="V57" s="261"/>
      <c r="W57" s="261"/>
      <c r="X57" s="261"/>
      <c r="Y57" s="261"/>
      <c r="Z57" s="261"/>
      <c r="AA57" s="261"/>
      <c r="AB57" s="261"/>
      <c r="AC57" s="266"/>
      <c r="AD57" s="202"/>
      <c r="AE57" s="2"/>
      <c r="AF57" s="206" t="str">
        <f>IF(Roster!$L$1=0,"",Roster!$L$1)</f>
        <v>AG</v>
      </c>
      <c r="AG57" s="207"/>
      <c r="AH57" s="265"/>
      <c r="AI57" s="261"/>
      <c r="AJ57" s="261"/>
      <c r="AK57" s="261"/>
      <c r="AL57" s="261"/>
      <c r="AM57" s="261"/>
      <c r="AN57" s="261"/>
      <c r="AO57" s="261"/>
      <c r="AP57" s="261"/>
      <c r="AQ57" s="261"/>
      <c r="AR57" s="266"/>
      <c r="AS57" s="202"/>
      <c r="AT57" s="2"/>
      <c r="AU57" s="206" t="str">
        <f>IF(Roster!$L$1=0,"",Roster!$L$1)</f>
        <v>AG</v>
      </c>
      <c r="AV57" s="207"/>
      <c r="AW57" s="265"/>
      <c r="AX57" s="261"/>
      <c r="AY57" s="261"/>
      <c r="AZ57" s="261"/>
      <c r="BA57" s="261"/>
      <c r="BB57" s="261"/>
      <c r="BC57" s="261"/>
      <c r="BD57" s="261"/>
      <c r="BE57" s="261"/>
      <c r="BF57" s="261"/>
      <c r="BG57" s="266"/>
      <c r="BH57" s="202"/>
    </row>
    <row r="58" spans="1:60" ht="37.5" customHeight="1">
      <c r="A58" s="2"/>
      <c r="B58" s="209" t="str">
        <f>IF(Roster!$L$9=0&amp;"+","",Roster!$L$9)</f>
        <v>3+</v>
      </c>
      <c r="C58" s="207"/>
      <c r="D58" s="265"/>
      <c r="E58" s="261"/>
      <c r="F58" s="261"/>
      <c r="G58" s="261"/>
      <c r="H58" s="261"/>
      <c r="I58" s="261"/>
      <c r="J58" s="261"/>
      <c r="K58" s="261"/>
      <c r="L58" s="261"/>
      <c r="M58" s="261"/>
      <c r="N58" s="266"/>
      <c r="O58" s="202"/>
      <c r="P58" s="2"/>
      <c r="Q58" s="209" t="str">
        <f>IF(Roster!$L$10=0&amp;"+","",Roster!$L$10)</f>
        <v>4+</v>
      </c>
      <c r="R58" s="207"/>
      <c r="S58" s="265"/>
      <c r="T58" s="261"/>
      <c r="U58" s="261"/>
      <c r="V58" s="261"/>
      <c r="W58" s="261"/>
      <c r="X58" s="261"/>
      <c r="Y58" s="261"/>
      <c r="Z58" s="261"/>
      <c r="AA58" s="261"/>
      <c r="AB58" s="261"/>
      <c r="AC58" s="266"/>
      <c r="AD58" s="202"/>
      <c r="AE58" s="2"/>
      <c r="AF58" s="209" t="str">
        <f>IF(Roster!$L$11=0&amp;"+","",Roster!$L$11)</f>
        <v>4+</v>
      </c>
      <c r="AG58" s="207"/>
      <c r="AH58" s="265"/>
      <c r="AI58" s="261"/>
      <c r="AJ58" s="261"/>
      <c r="AK58" s="261"/>
      <c r="AL58" s="261"/>
      <c r="AM58" s="261"/>
      <c r="AN58" s="261"/>
      <c r="AO58" s="261"/>
      <c r="AP58" s="261"/>
      <c r="AQ58" s="261"/>
      <c r="AR58" s="266"/>
      <c r="AS58" s="202"/>
      <c r="AT58" s="2"/>
      <c r="AU58" s="209" t="str">
        <f>IF(Roster!$L$12=0&amp;"+","",Roster!$L$12)</f>
        <v>4+</v>
      </c>
      <c r="AV58" s="207"/>
      <c r="AW58" s="265"/>
      <c r="AX58" s="261"/>
      <c r="AY58" s="261"/>
      <c r="AZ58" s="261"/>
      <c r="BA58" s="261"/>
      <c r="BB58" s="261"/>
      <c r="BC58" s="261"/>
      <c r="BD58" s="261"/>
      <c r="BE58" s="261"/>
      <c r="BF58" s="261"/>
      <c r="BG58" s="266"/>
      <c r="BH58" s="202"/>
    </row>
    <row r="59" spans="1:60" ht="11.25" customHeight="1">
      <c r="A59" s="2"/>
      <c r="B59" s="206" t="str">
        <f>IF(Roster!$M$1=0,"",Roster!$M$1)</f>
        <v>PA</v>
      </c>
      <c r="C59" s="207"/>
      <c r="D59" s="265"/>
      <c r="E59" s="261"/>
      <c r="F59" s="261"/>
      <c r="G59" s="261"/>
      <c r="H59" s="261"/>
      <c r="I59" s="261"/>
      <c r="J59" s="261"/>
      <c r="K59" s="261"/>
      <c r="L59" s="261"/>
      <c r="M59" s="261"/>
      <c r="N59" s="266"/>
      <c r="O59" s="211"/>
      <c r="P59" s="2"/>
      <c r="Q59" s="206" t="str">
        <f>IF(Roster!$M$1=0,"",Roster!$M$1)</f>
        <v>PA</v>
      </c>
      <c r="R59" s="207"/>
      <c r="S59" s="265"/>
      <c r="T59" s="261"/>
      <c r="U59" s="261"/>
      <c r="V59" s="261"/>
      <c r="W59" s="261"/>
      <c r="X59" s="261"/>
      <c r="Y59" s="261"/>
      <c r="Z59" s="261"/>
      <c r="AA59" s="261"/>
      <c r="AB59" s="261"/>
      <c r="AC59" s="266"/>
      <c r="AD59" s="211"/>
      <c r="AE59" s="2"/>
      <c r="AF59" s="206" t="str">
        <f>IF(Roster!$M$1=0,"",Roster!$M$1)</f>
        <v>PA</v>
      </c>
      <c r="AG59" s="207"/>
      <c r="AH59" s="265"/>
      <c r="AI59" s="261"/>
      <c r="AJ59" s="261"/>
      <c r="AK59" s="261"/>
      <c r="AL59" s="261"/>
      <c r="AM59" s="261"/>
      <c r="AN59" s="261"/>
      <c r="AO59" s="261"/>
      <c r="AP59" s="261"/>
      <c r="AQ59" s="261"/>
      <c r="AR59" s="266"/>
      <c r="AS59" s="211"/>
      <c r="AT59" s="2"/>
      <c r="AU59" s="206" t="str">
        <f>IF(Roster!$M$1=0,"",Roster!$M$1)</f>
        <v>PA</v>
      </c>
      <c r="AV59" s="207"/>
      <c r="AW59" s="265"/>
      <c r="AX59" s="261"/>
      <c r="AY59" s="261"/>
      <c r="AZ59" s="261"/>
      <c r="BA59" s="261"/>
      <c r="BB59" s="261"/>
      <c r="BC59" s="261"/>
      <c r="BD59" s="261"/>
      <c r="BE59" s="261"/>
      <c r="BF59" s="261"/>
      <c r="BG59" s="266"/>
      <c r="BH59" s="211"/>
    </row>
    <row r="60" spans="1:60" ht="6" customHeight="1">
      <c r="A60" s="2"/>
      <c r="B60" s="387" t="str">
        <f>IF(Roster!$M$9=0&amp;"+","",Roster!$M$9)</f>
        <v>4+</v>
      </c>
      <c r="C60" s="207"/>
      <c r="D60" s="267"/>
      <c r="E60" s="290"/>
      <c r="F60" s="290"/>
      <c r="G60" s="290"/>
      <c r="H60" s="290"/>
      <c r="I60" s="290"/>
      <c r="J60" s="290"/>
      <c r="K60" s="290"/>
      <c r="L60" s="290"/>
      <c r="M60" s="290"/>
      <c r="N60" s="268"/>
      <c r="O60" s="213"/>
      <c r="P60" s="2"/>
      <c r="Q60" s="387" t="str">
        <f>IF(Roster!$M$10=0&amp;"+","",Roster!$M$10)</f>
        <v/>
      </c>
      <c r="R60" s="207"/>
      <c r="S60" s="267"/>
      <c r="T60" s="290"/>
      <c r="U60" s="290"/>
      <c r="V60" s="290"/>
      <c r="W60" s="290"/>
      <c r="X60" s="290"/>
      <c r="Y60" s="290"/>
      <c r="Z60" s="290"/>
      <c r="AA60" s="290"/>
      <c r="AB60" s="290"/>
      <c r="AC60" s="268"/>
      <c r="AD60" s="213"/>
      <c r="AE60" s="2"/>
      <c r="AF60" s="387" t="str">
        <f>IF(Roster!$M$11=0&amp;"+","",Roster!$M$11)</f>
        <v/>
      </c>
      <c r="AG60" s="207"/>
      <c r="AH60" s="267"/>
      <c r="AI60" s="290"/>
      <c r="AJ60" s="290"/>
      <c r="AK60" s="290"/>
      <c r="AL60" s="290"/>
      <c r="AM60" s="290"/>
      <c r="AN60" s="290"/>
      <c r="AO60" s="290"/>
      <c r="AP60" s="290"/>
      <c r="AQ60" s="290"/>
      <c r="AR60" s="268"/>
      <c r="AS60" s="213"/>
      <c r="AT60" s="2"/>
      <c r="AU60" s="387" t="str">
        <f>IF(Roster!$M$12=0&amp;"+","",Roster!$M$12)</f>
        <v/>
      </c>
      <c r="AV60" s="207"/>
      <c r="AW60" s="267"/>
      <c r="AX60" s="290"/>
      <c r="AY60" s="290"/>
      <c r="AZ60" s="290"/>
      <c r="BA60" s="290"/>
      <c r="BB60" s="290"/>
      <c r="BC60" s="290"/>
      <c r="BD60" s="290"/>
      <c r="BE60" s="290"/>
      <c r="BF60" s="290"/>
      <c r="BG60" s="268"/>
      <c r="BH60" s="213"/>
    </row>
    <row r="61" spans="1:60" ht="4.5" customHeight="1">
      <c r="A61" s="2"/>
      <c r="B61" s="241"/>
      <c r="C61" s="205"/>
      <c r="D61" s="214"/>
      <c r="E61" s="212"/>
      <c r="F61" s="214"/>
      <c r="G61" s="212"/>
      <c r="H61" s="214"/>
      <c r="I61" s="212"/>
      <c r="J61" s="214"/>
      <c r="K61" s="212"/>
      <c r="L61" s="214"/>
      <c r="M61" s="212"/>
      <c r="N61" s="214"/>
      <c r="O61" s="213"/>
      <c r="P61" s="2"/>
      <c r="Q61" s="241"/>
      <c r="R61" s="205"/>
      <c r="S61" s="214"/>
      <c r="T61" s="212"/>
      <c r="U61" s="214"/>
      <c r="V61" s="212"/>
      <c r="W61" s="214"/>
      <c r="X61" s="212"/>
      <c r="Y61" s="214"/>
      <c r="Z61" s="212"/>
      <c r="AA61" s="214"/>
      <c r="AB61" s="212"/>
      <c r="AC61" s="214"/>
      <c r="AD61" s="213"/>
      <c r="AE61" s="2"/>
      <c r="AF61" s="241"/>
      <c r="AG61" s="205"/>
      <c r="AH61" s="214"/>
      <c r="AI61" s="212"/>
      <c r="AJ61" s="214"/>
      <c r="AK61" s="212"/>
      <c r="AL61" s="214"/>
      <c r="AM61" s="212"/>
      <c r="AN61" s="214"/>
      <c r="AO61" s="212"/>
      <c r="AP61" s="214"/>
      <c r="AQ61" s="212"/>
      <c r="AR61" s="214"/>
      <c r="AS61" s="213"/>
      <c r="AT61" s="2"/>
      <c r="AU61" s="241"/>
      <c r="AV61" s="205"/>
      <c r="AW61" s="214"/>
      <c r="AX61" s="212"/>
      <c r="AY61" s="214"/>
      <c r="AZ61" s="212"/>
      <c r="BA61" s="214"/>
      <c r="BB61" s="212"/>
      <c r="BC61" s="214"/>
      <c r="BD61" s="212"/>
      <c r="BE61" s="214"/>
      <c r="BF61" s="212"/>
      <c r="BG61" s="214"/>
      <c r="BH61" s="213"/>
    </row>
    <row r="62" spans="1:60" ht="11.25" customHeight="1">
      <c r="A62" s="2"/>
      <c r="B62" s="241"/>
      <c r="C62" s="205"/>
      <c r="D62" s="373" t="str">
        <f>IF(Roster!$J$24="Español","HABILIDADES Y RASGOS","SKILLS &amp; TRAITS")</f>
        <v>SKILLS &amp; TRAITS</v>
      </c>
      <c r="E62" s="270"/>
      <c r="F62" s="270"/>
      <c r="G62" s="270"/>
      <c r="H62" s="270"/>
      <c r="I62" s="270"/>
      <c r="J62" s="270"/>
      <c r="K62" s="270"/>
      <c r="L62" s="270"/>
      <c r="M62" s="270"/>
      <c r="N62" s="374"/>
      <c r="O62" s="213"/>
      <c r="P62" s="2"/>
      <c r="Q62" s="241"/>
      <c r="R62" s="205"/>
      <c r="S62" s="373" t="str">
        <f>IF(Roster!$J$24="Español","HABILIDADES Y RASGOS","SKILLS &amp; TRAITS")</f>
        <v>SKILLS &amp; TRAITS</v>
      </c>
      <c r="T62" s="270"/>
      <c r="U62" s="270"/>
      <c r="V62" s="270"/>
      <c r="W62" s="270"/>
      <c r="X62" s="270"/>
      <c r="Y62" s="270"/>
      <c r="Z62" s="270"/>
      <c r="AA62" s="270"/>
      <c r="AB62" s="270"/>
      <c r="AC62" s="374"/>
      <c r="AD62" s="213"/>
      <c r="AE62" s="2"/>
      <c r="AF62" s="241"/>
      <c r="AG62" s="205"/>
      <c r="AH62" s="373" t="str">
        <f>IF(Roster!$J$24="Español","HABILIDADES Y RASGOS","SKILLS &amp; TRAITS")</f>
        <v>SKILLS &amp; TRAITS</v>
      </c>
      <c r="AI62" s="270"/>
      <c r="AJ62" s="270"/>
      <c r="AK62" s="270"/>
      <c r="AL62" s="270"/>
      <c r="AM62" s="270"/>
      <c r="AN62" s="270"/>
      <c r="AO62" s="270"/>
      <c r="AP62" s="270"/>
      <c r="AQ62" s="270"/>
      <c r="AR62" s="374"/>
      <c r="AS62" s="213"/>
      <c r="AT62" s="2"/>
      <c r="AU62" s="241"/>
      <c r="AV62" s="205"/>
      <c r="AW62" s="373" t="str">
        <f>IF(Roster!$J$24="Español","HABILIDADES Y RASGOS","SKILLS &amp; TRAITS")</f>
        <v>SKILLS &amp; TRAITS</v>
      </c>
      <c r="AX62" s="270"/>
      <c r="AY62" s="270"/>
      <c r="AZ62" s="270"/>
      <c r="BA62" s="270"/>
      <c r="BB62" s="270"/>
      <c r="BC62" s="270"/>
      <c r="BD62" s="270"/>
      <c r="BE62" s="270"/>
      <c r="BF62" s="270"/>
      <c r="BG62" s="374"/>
      <c r="BH62" s="213"/>
    </row>
    <row r="63" spans="1:60" ht="15" customHeight="1">
      <c r="A63" s="2"/>
      <c r="B63" s="241"/>
      <c r="C63" s="208"/>
      <c r="D63" s="375" t="str">
        <f>IF(Roster!$O$9=0&amp;$BF$9,"",Roster!$O$9)</f>
        <v>Dodge</v>
      </c>
      <c r="E63" s="340"/>
      <c r="F63" s="340"/>
      <c r="G63" s="340"/>
      <c r="H63" s="340"/>
      <c r="I63" s="340"/>
      <c r="J63" s="340"/>
      <c r="K63" s="340"/>
      <c r="L63" s="340"/>
      <c r="M63" s="340"/>
      <c r="N63" s="376"/>
      <c r="O63" s="213"/>
      <c r="P63" s="2"/>
      <c r="Q63" s="241"/>
      <c r="R63" s="208"/>
      <c r="S63" s="375" t="str">
        <f>IF(Roster!$O$10=0&amp;$BF$10,"",Roster!$O$10)</f>
        <v>Regeneration</v>
      </c>
      <c r="T63" s="340"/>
      <c r="U63" s="340"/>
      <c r="V63" s="340"/>
      <c r="W63" s="340"/>
      <c r="X63" s="340"/>
      <c r="Y63" s="340"/>
      <c r="Z63" s="340"/>
      <c r="AA63" s="340"/>
      <c r="AB63" s="340"/>
      <c r="AC63" s="376"/>
      <c r="AD63" s="213"/>
      <c r="AE63" s="2"/>
      <c r="AF63" s="241"/>
      <c r="AG63" s="208"/>
      <c r="AH63" s="375" t="str">
        <f>IF(Roster!$O$11=0&amp;$BF$11,"",Roster!$O$11)</f>
        <v>Regeneration, Block</v>
      </c>
      <c r="AI63" s="340"/>
      <c r="AJ63" s="340"/>
      <c r="AK63" s="340"/>
      <c r="AL63" s="340"/>
      <c r="AM63" s="340"/>
      <c r="AN63" s="340"/>
      <c r="AO63" s="340"/>
      <c r="AP63" s="340"/>
      <c r="AQ63" s="340"/>
      <c r="AR63" s="376"/>
      <c r="AS63" s="213"/>
      <c r="AT63" s="2"/>
      <c r="AU63" s="241"/>
      <c r="AV63" s="208"/>
      <c r="AW63" s="375" t="str">
        <f>IF(Roster!$O$12=0&amp;$BF$12,"",Roster!$O$12)</f>
        <v>Regeneration</v>
      </c>
      <c r="AX63" s="340"/>
      <c r="AY63" s="340"/>
      <c r="AZ63" s="340"/>
      <c r="BA63" s="340"/>
      <c r="BB63" s="340"/>
      <c r="BC63" s="340"/>
      <c r="BD63" s="340"/>
      <c r="BE63" s="340"/>
      <c r="BF63" s="340"/>
      <c r="BG63" s="376"/>
      <c r="BH63" s="213"/>
    </row>
    <row r="64" spans="1:60" ht="4.5" customHeight="1">
      <c r="A64" s="2"/>
      <c r="B64" s="242"/>
      <c r="C64" s="208"/>
      <c r="D64" s="265"/>
      <c r="E64" s="261"/>
      <c r="F64" s="261"/>
      <c r="G64" s="261"/>
      <c r="H64" s="261"/>
      <c r="I64" s="261"/>
      <c r="J64" s="261"/>
      <c r="K64" s="261"/>
      <c r="L64" s="261"/>
      <c r="M64" s="261"/>
      <c r="N64" s="266"/>
      <c r="O64" s="213"/>
      <c r="P64" s="2"/>
      <c r="Q64" s="242"/>
      <c r="R64" s="208"/>
      <c r="S64" s="265"/>
      <c r="T64" s="261"/>
      <c r="U64" s="261"/>
      <c r="V64" s="261"/>
      <c r="W64" s="261"/>
      <c r="X64" s="261"/>
      <c r="Y64" s="261"/>
      <c r="Z64" s="261"/>
      <c r="AA64" s="261"/>
      <c r="AB64" s="261"/>
      <c r="AC64" s="266"/>
      <c r="AD64" s="213"/>
      <c r="AE64" s="2"/>
      <c r="AF64" s="242"/>
      <c r="AG64" s="208"/>
      <c r="AH64" s="265"/>
      <c r="AI64" s="261"/>
      <c r="AJ64" s="261"/>
      <c r="AK64" s="261"/>
      <c r="AL64" s="261"/>
      <c r="AM64" s="261"/>
      <c r="AN64" s="261"/>
      <c r="AO64" s="261"/>
      <c r="AP64" s="261"/>
      <c r="AQ64" s="261"/>
      <c r="AR64" s="266"/>
      <c r="AS64" s="213"/>
      <c r="AT64" s="2"/>
      <c r="AU64" s="242"/>
      <c r="AV64" s="208"/>
      <c r="AW64" s="265"/>
      <c r="AX64" s="261"/>
      <c r="AY64" s="261"/>
      <c r="AZ64" s="261"/>
      <c r="BA64" s="261"/>
      <c r="BB64" s="261"/>
      <c r="BC64" s="261"/>
      <c r="BD64" s="261"/>
      <c r="BE64" s="261"/>
      <c r="BF64" s="261"/>
      <c r="BG64" s="266"/>
      <c r="BH64" s="213"/>
    </row>
    <row r="65" spans="1:60" ht="11.25" customHeight="1">
      <c r="A65" s="2"/>
      <c r="B65" s="206" t="str">
        <f>IF(Roster!$N$1=0,"",Roster!$N$1)</f>
        <v>AV</v>
      </c>
      <c r="C65" s="207"/>
      <c r="D65" s="265"/>
      <c r="E65" s="261"/>
      <c r="F65" s="261"/>
      <c r="G65" s="261"/>
      <c r="H65" s="261"/>
      <c r="I65" s="261"/>
      <c r="J65" s="261"/>
      <c r="K65" s="261"/>
      <c r="L65" s="261"/>
      <c r="M65" s="261"/>
      <c r="N65" s="266"/>
      <c r="O65" s="202"/>
      <c r="P65" s="2"/>
      <c r="Q65" s="206" t="str">
        <f>IF(Roster!$N$1=0,"",Roster!$N$1)</f>
        <v>AV</v>
      </c>
      <c r="R65" s="207"/>
      <c r="S65" s="265"/>
      <c r="T65" s="261"/>
      <c r="U65" s="261"/>
      <c r="V65" s="261"/>
      <c r="W65" s="261"/>
      <c r="X65" s="261"/>
      <c r="Y65" s="261"/>
      <c r="Z65" s="261"/>
      <c r="AA65" s="261"/>
      <c r="AB65" s="261"/>
      <c r="AC65" s="266"/>
      <c r="AD65" s="202"/>
      <c r="AE65" s="2"/>
      <c r="AF65" s="206" t="str">
        <f>IF(Roster!$N$1=0,"",Roster!$N$1)</f>
        <v>AV</v>
      </c>
      <c r="AG65" s="207"/>
      <c r="AH65" s="265"/>
      <c r="AI65" s="261"/>
      <c r="AJ65" s="261"/>
      <c r="AK65" s="261"/>
      <c r="AL65" s="261"/>
      <c r="AM65" s="261"/>
      <c r="AN65" s="261"/>
      <c r="AO65" s="261"/>
      <c r="AP65" s="261"/>
      <c r="AQ65" s="261"/>
      <c r="AR65" s="266"/>
      <c r="AS65" s="202"/>
      <c r="AT65" s="2"/>
      <c r="AU65" s="206" t="str">
        <f>IF(Roster!$N$1=0,"",Roster!$N$1)</f>
        <v>AV</v>
      </c>
      <c r="AV65" s="207"/>
      <c r="AW65" s="265"/>
      <c r="AX65" s="261"/>
      <c r="AY65" s="261"/>
      <c r="AZ65" s="261"/>
      <c r="BA65" s="261"/>
      <c r="BB65" s="261"/>
      <c r="BC65" s="261"/>
      <c r="BD65" s="261"/>
      <c r="BE65" s="261"/>
      <c r="BF65" s="261"/>
      <c r="BG65" s="266"/>
      <c r="BH65" s="202"/>
    </row>
    <row r="66" spans="1:60" ht="15" customHeight="1">
      <c r="A66" s="2"/>
      <c r="B66" s="387" t="str">
        <f>IF(Roster!$N$9=0&amp;"+","",Roster!$N$9)</f>
        <v>8+</v>
      </c>
      <c r="C66" s="208"/>
      <c r="D66" s="265"/>
      <c r="E66" s="261"/>
      <c r="F66" s="261"/>
      <c r="G66" s="261"/>
      <c r="H66" s="261"/>
      <c r="I66" s="261"/>
      <c r="J66" s="261"/>
      <c r="K66" s="261"/>
      <c r="L66" s="261"/>
      <c r="M66" s="261"/>
      <c r="N66" s="266"/>
      <c r="O66" s="215"/>
      <c r="P66" s="2"/>
      <c r="Q66" s="387" t="str">
        <f>IF(Roster!$N$10=0&amp;"+","",Roster!$N$10)</f>
        <v>9+</v>
      </c>
      <c r="R66" s="208"/>
      <c r="S66" s="265"/>
      <c r="T66" s="261"/>
      <c r="U66" s="261"/>
      <c r="V66" s="261"/>
      <c r="W66" s="261"/>
      <c r="X66" s="261"/>
      <c r="Y66" s="261"/>
      <c r="Z66" s="261"/>
      <c r="AA66" s="261"/>
      <c r="AB66" s="261"/>
      <c r="AC66" s="266"/>
      <c r="AD66" s="215"/>
      <c r="AE66" s="2"/>
      <c r="AF66" s="387" t="str">
        <f>IF(Roster!$N$11=0&amp;"+","",Roster!$N$11)</f>
        <v>9+</v>
      </c>
      <c r="AG66" s="208"/>
      <c r="AH66" s="265"/>
      <c r="AI66" s="261"/>
      <c r="AJ66" s="261"/>
      <c r="AK66" s="261"/>
      <c r="AL66" s="261"/>
      <c r="AM66" s="261"/>
      <c r="AN66" s="261"/>
      <c r="AO66" s="261"/>
      <c r="AP66" s="261"/>
      <c r="AQ66" s="261"/>
      <c r="AR66" s="266"/>
      <c r="AS66" s="215"/>
      <c r="AT66" s="2"/>
      <c r="AU66" s="387" t="str">
        <f>IF(Roster!$N$12=0&amp;"+","",Roster!$N$12)</f>
        <v>8+</v>
      </c>
      <c r="AV66" s="208"/>
      <c r="AW66" s="265"/>
      <c r="AX66" s="261"/>
      <c r="AY66" s="261"/>
      <c r="AZ66" s="261"/>
      <c r="BA66" s="261"/>
      <c r="BB66" s="261"/>
      <c r="BC66" s="261"/>
      <c r="BD66" s="261"/>
      <c r="BE66" s="261"/>
      <c r="BF66" s="261"/>
      <c r="BG66" s="266"/>
      <c r="BH66" s="215"/>
    </row>
    <row r="67" spans="1:60" ht="4.5" customHeight="1">
      <c r="A67" s="2"/>
      <c r="B67" s="241"/>
      <c r="C67" s="208"/>
      <c r="D67" s="265"/>
      <c r="E67" s="261"/>
      <c r="F67" s="261"/>
      <c r="G67" s="261"/>
      <c r="H67" s="261"/>
      <c r="I67" s="261"/>
      <c r="J67" s="261"/>
      <c r="K67" s="261"/>
      <c r="L67" s="261"/>
      <c r="M67" s="261"/>
      <c r="N67" s="266"/>
      <c r="O67" s="215"/>
      <c r="P67" s="2"/>
      <c r="Q67" s="241"/>
      <c r="R67" s="208"/>
      <c r="S67" s="265"/>
      <c r="T67" s="261"/>
      <c r="U67" s="261"/>
      <c r="V67" s="261"/>
      <c r="W67" s="261"/>
      <c r="X67" s="261"/>
      <c r="Y67" s="261"/>
      <c r="Z67" s="261"/>
      <c r="AA67" s="261"/>
      <c r="AB67" s="261"/>
      <c r="AC67" s="266"/>
      <c r="AD67" s="215"/>
      <c r="AE67" s="2"/>
      <c r="AF67" s="241"/>
      <c r="AG67" s="208"/>
      <c r="AH67" s="265"/>
      <c r="AI67" s="261"/>
      <c r="AJ67" s="261"/>
      <c r="AK67" s="261"/>
      <c r="AL67" s="261"/>
      <c r="AM67" s="261"/>
      <c r="AN67" s="261"/>
      <c r="AO67" s="261"/>
      <c r="AP67" s="261"/>
      <c r="AQ67" s="261"/>
      <c r="AR67" s="266"/>
      <c r="AS67" s="215"/>
      <c r="AT67" s="2"/>
      <c r="AU67" s="241"/>
      <c r="AV67" s="208"/>
      <c r="AW67" s="265"/>
      <c r="AX67" s="261"/>
      <c r="AY67" s="261"/>
      <c r="AZ67" s="261"/>
      <c r="BA67" s="261"/>
      <c r="BB67" s="261"/>
      <c r="BC67" s="261"/>
      <c r="BD67" s="261"/>
      <c r="BE67" s="261"/>
      <c r="BF67" s="261"/>
      <c r="BG67" s="266"/>
      <c r="BH67" s="215"/>
    </row>
    <row r="68" spans="1:60" ht="11.25" customHeight="1">
      <c r="A68" s="2"/>
      <c r="B68" s="241"/>
      <c r="C68" s="208"/>
      <c r="D68" s="265"/>
      <c r="E68" s="261"/>
      <c r="F68" s="261"/>
      <c r="G68" s="261"/>
      <c r="H68" s="261"/>
      <c r="I68" s="261"/>
      <c r="J68" s="261"/>
      <c r="K68" s="261"/>
      <c r="L68" s="261"/>
      <c r="M68" s="261"/>
      <c r="N68" s="266"/>
      <c r="O68" s="215"/>
      <c r="P68" s="2"/>
      <c r="Q68" s="241"/>
      <c r="R68" s="208"/>
      <c r="S68" s="265"/>
      <c r="T68" s="261"/>
      <c r="U68" s="261"/>
      <c r="V68" s="261"/>
      <c r="W68" s="261"/>
      <c r="X68" s="261"/>
      <c r="Y68" s="261"/>
      <c r="Z68" s="261"/>
      <c r="AA68" s="261"/>
      <c r="AB68" s="261"/>
      <c r="AC68" s="266"/>
      <c r="AD68" s="215"/>
      <c r="AE68" s="2"/>
      <c r="AF68" s="241"/>
      <c r="AG68" s="208"/>
      <c r="AH68" s="265"/>
      <c r="AI68" s="261"/>
      <c r="AJ68" s="261"/>
      <c r="AK68" s="261"/>
      <c r="AL68" s="261"/>
      <c r="AM68" s="261"/>
      <c r="AN68" s="261"/>
      <c r="AO68" s="261"/>
      <c r="AP68" s="261"/>
      <c r="AQ68" s="261"/>
      <c r="AR68" s="266"/>
      <c r="AS68" s="215"/>
      <c r="AT68" s="2"/>
      <c r="AU68" s="241"/>
      <c r="AV68" s="208"/>
      <c r="AW68" s="265"/>
      <c r="AX68" s="261"/>
      <c r="AY68" s="261"/>
      <c r="AZ68" s="261"/>
      <c r="BA68" s="261"/>
      <c r="BB68" s="261"/>
      <c r="BC68" s="261"/>
      <c r="BD68" s="261"/>
      <c r="BE68" s="261"/>
      <c r="BF68" s="261"/>
      <c r="BG68" s="266"/>
      <c r="BH68" s="215"/>
    </row>
    <row r="69" spans="1:60" ht="6.75" customHeight="1">
      <c r="A69" s="2"/>
      <c r="B69" s="242"/>
      <c r="C69" s="208"/>
      <c r="D69" s="265"/>
      <c r="E69" s="261"/>
      <c r="F69" s="261"/>
      <c r="G69" s="261"/>
      <c r="H69" s="261"/>
      <c r="I69" s="261"/>
      <c r="J69" s="261"/>
      <c r="K69" s="261"/>
      <c r="L69" s="261"/>
      <c r="M69" s="261"/>
      <c r="N69" s="266"/>
      <c r="O69" s="215"/>
      <c r="P69" s="2"/>
      <c r="Q69" s="242"/>
      <c r="R69" s="208"/>
      <c r="S69" s="265"/>
      <c r="T69" s="261"/>
      <c r="U69" s="261"/>
      <c r="V69" s="261"/>
      <c r="W69" s="261"/>
      <c r="X69" s="261"/>
      <c r="Y69" s="261"/>
      <c r="Z69" s="261"/>
      <c r="AA69" s="261"/>
      <c r="AB69" s="261"/>
      <c r="AC69" s="266"/>
      <c r="AD69" s="215"/>
      <c r="AE69" s="2"/>
      <c r="AF69" s="242"/>
      <c r="AG69" s="208"/>
      <c r="AH69" s="265"/>
      <c r="AI69" s="261"/>
      <c r="AJ69" s="261"/>
      <c r="AK69" s="261"/>
      <c r="AL69" s="261"/>
      <c r="AM69" s="261"/>
      <c r="AN69" s="261"/>
      <c r="AO69" s="261"/>
      <c r="AP69" s="261"/>
      <c r="AQ69" s="261"/>
      <c r="AR69" s="266"/>
      <c r="AS69" s="215"/>
      <c r="AT69" s="2"/>
      <c r="AU69" s="242"/>
      <c r="AV69" s="208"/>
      <c r="AW69" s="265"/>
      <c r="AX69" s="261"/>
      <c r="AY69" s="261"/>
      <c r="AZ69" s="261"/>
      <c r="BA69" s="261"/>
      <c r="BB69" s="261"/>
      <c r="BC69" s="261"/>
      <c r="BD69" s="261"/>
      <c r="BE69" s="261"/>
      <c r="BF69" s="261"/>
      <c r="BG69" s="266"/>
      <c r="BH69" s="215"/>
    </row>
    <row r="70" spans="1:60" ht="11.25" customHeight="1">
      <c r="A70" s="2"/>
      <c r="B70" s="206" t="str">
        <f>IF(Roster!$AN$1=0,"",Roster!$AN$1)</f>
        <v>COST</v>
      </c>
      <c r="C70" s="207"/>
      <c r="D70" s="265"/>
      <c r="E70" s="261"/>
      <c r="F70" s="261"/>
      <c r="G70" s="261"/>
      <c r="H70" s="261"/>
      <c r="I70" s="261"/>
      <c r="J70" s="261"/>
      <c r="K70" s="261"/>
      <c r="L70" s="261"/>
      <c r="M70" s="261"/>
      <c r="N70" s="266"/>
      <c r="O70" s="218"/>
      <c r="P70" s="2"/>
      <c r="Q70" s="206" t="str">
        <f>IF(Roster!$AN$1=0,"",Roster!$AN$1)</f>
        <v>COST</v>
      </c>
      <c r="R70" s="207"/>
      <c r="S70" s="265"/>
      <c r="T70" s="261"/>
      <c r="U70" s="261"/>
      <c r="V70" s="261"/>
      <c r="W70" s="261"/>
      <c r="X70" s="261"/>
      <c r="Y70" s="261"/>
      <c r="Z70" s="261"/>
      <c r="AA70" s="261"/>
      <c r="AB70" s="261"/>
      <c r="AC70" s="266"/>
      <c r="AD70" s="218"/>
      <c r="AE70" s="2"/>
      <c r="AF70" s="206" t="str">
        <f>IF(Roster!$AN$1=0,"",Roster!$AN$1)</f>
        <v>COST</v>
      </c>
      <c r="AG70" s="207"/>
      <c r="AH70" s="265"/>
      <c r="AI70" s="261"/>
      <c r="AJ70" s="261"/>
      <c r="AK70" s="261"/>
      <c r="AL70" s="261"/>
      <c r="AM70" s="261"/>
      <c r="AN70" s="261"/>
      <c r="AO70" s="261"/>
      <c r="AP70" s="261"/>
      <c r="AQ70" s="261"/>
      <c r="AR70" s="266"/>
      <c r="AS70" s="218"/>
      <c r="AT70" s="2"/>
      <c r="AU70" s="206" t="str">
        <f>IF(Roster!$AN$1=0,"",Roster!$AN$1)</f>
        <v>COST</v>
      </c>
      <c r="AV70" s="207"/>
      <c r="AW70" s="265"/>
      <c r="AX70" s="261"/>
      <c r="AY70" s="261"/>
      <c r="AZ70" s="261"/>
      <c r="BA70" s="261"/>
      <c r="BB70" s="261"/>
      <c r="BC70" s="261"/>
      <c r="BD70" s="261"/>
      <c r="BE70" s="261"/>
      <c r="BF70" s="261"/>
      <c r="BG70" s="266"/>
      <c r="BH70" s="218"/>
    </row>
    <row r="71" spans="1:60" ht="34.5" customHeight="1">
      <c r="A71" s="2"/>
      <c r="B71" s="220">
        <f>IF(Roster!$AN$9=0,"",Roster!$AN$9)</f>
        <v>75000</v>
      </c>
      <c r="C71" s="221"/>
      <c r="D71" s="267"/>
      <c r="E71" s="290"/>
      <c r="F71" s="290"/>
      <c r="G71" s="290"/>
      <c r="H71" s="290"/>
      <c r="I71" s="290"/>
      <c r="J71" s="290"/>
      <c r="K71" s="290"/>
      <c r="L71" s="290"/>
      <c r="M71" s="290"/>
      <c r="N71" s="268"/>
      <c r="O71" s="218"/>
      <c r="P71" s="2"/>
      <c r="Q71" s="220">
        <f>IF(Roster!$AN$10=0,"",Roster!$AN$10)</f>
        <v>40000</v>
      </c>
      <c r="R71" s="221"/>
      <c r="S71" s="267"/>
      <c r="T71" s="290"/>
      <c r="U71" s="290"/>
      <c r="V71" s="290"/>
      <c r="W71" s="290"/>
      <c r="X71" s="290"/>
      <c r="Y71" s="290"/>
      <c r="Z71" s="290"/>
      <c r="AA71" s="290"/>
      <c r="AB71" s="290"/>
      <c r="AC71" s="268"/>
      <c r="AD71" s="218"/>
      <c r="AE71" s="2"/>
      <c r="AF71" s="220">
        <f>IF(Roster!$AN$11=0,"",Roster!$AN$11)</f>
        <v>60000</v>
      </c>
      <c r="AG71" s="221"/>
      <c r="AH71" s="267"/>
      <c r="AI71" s="290"/>
      <c r="AJ71" s="290"/>
      <c r="AK71" s="290"/>
      <c r="AL71" s="290"/>
      <c r="AM71" s="290"/>
      <c r="AN71" s="290"/>
      <c r="AO71" s="290"/>
      <c r="AP71" s="290"/>
      <c r="AQ71" s="290"/>
      <c r="AR71" s="268"/>
      <c r="AS71" s="218"/>
      <c r="AT71" s="2"/>
      <c r="AU71" s="220">
        <f>IF(Roster!$AN$12=0,"",Roster!$AN$12)</f>
        <v>40000</v>
      </c>
      <c r="AV71" s="221"/>
      <c r="AW71" s="267"/>
      <c r="AX71" s="290"/>
      <c r="AY71" s="290"/>
      <c r="AZ71" s="290"/>
      <c r="BA71" s="290"/>
      <c r="BB71" s="290"/>
      <c r="BC71" s="290"/>
      <c r="BD71" s="290"/>
      <c r="BE71" s="290"/>
      <c r="BF71" s="290"/>
      <c r="BG71" s="268"/>
      <c r="BH71" s="218"/>
    </row>
    <row r="72" spans="1:60" ht="4.5" customHeight="1">
      <c r="A72" s="2"/>
      <c r="B72" s="370"/>
      <c r="C72" s="273"/>
      <c r="D72" s="273"/>
      <c r="E72" s="273"/>
      <c r="F72" s="273"/>
      <c r="G72" s="273"/>
      <c r="H72" s="273"/>
      <c r="I72" s="273"/>
      <c r="J72" s="273"/>
      <c r="K72" s="273"/>
      <c r="L72" s="273"/>
      <c r="M72" s="273"/>
      <c r="N72" s="274"/>
      <c r="O72" s="222"/>
      <c r="P72" s="2"/>
      <c r="Q72" s="370"/>
      <c r="R72" s="273"/>
      <c r="S72" s="273"/>
      <c r="T72" s="273"/>
      <c r="U72" s="273"/>
      <c r="V72" s="273"/>
      <c r="W72" s="273"/>
      <c r="X72" s="273"/>
      <c r="Y72" s="273"/>
      <c r="Z72" s="273"/>
      <c r="AA72" s="273"/>
      <c r="AB72" s="273"/>
      <c r="AC72" s="274"/>
      <c r="AD72" s="222"/>
      <c r="AE72" s="2"/>
      <c r="AF72" s="370"/>
      <c r="AG72" s="273"/>
      <c r="AH72" s="273"/>
      <c r="AI72" s="273"/>
      <c r="AJ72" s="273"/>
      <c r="AK72" s="273"/>
      <c r="AL72" s="273"/>
      <c r="AM72" s="273"/>
      <c r="AN72" s="273"/>
      <c r="AO72" s="273"/>
      <c r="AP72" s="273"/>
      <c r="AQ72" s="273"/>
      <c r="AR72" s="274"/>
      <c r="AS72" s="222"/>
      <c r="AT72" s="2"/>
      <c r="AU72" s="370"/>
      <c r="AV72" s="273"/>
      <c r="AW72" s="273"/>
      <c r="AX72" s="273"/>
      <c r="AY72" s="273"/>
      <c r="AZ72" s="273"/>
      <c r="BA72" s="273"/>
      <c r="BB72" s="273"/>
      <c r="BC72" s="273"/>
      <c r="BD72" s="273"/>
      <c r="BE72" s="273"/>
      <c r="BF72" s="273"/>
      <c r="BG72" s="274"/>
      <c r="BH72" s="222"/>
    </row>
    <row r="73" spans="1:60" ht="11.2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row>
    <row r="74" spans="1:60" ht="4.5" customHeight="1">
      <c r="A74" s="2"/>
      <c r="B74" s="377" t="str">
        <f>IF(Roster!$A$13=0,"","#"&amp;Roster!$A$13)</f>
        <v>#12</v>
      </c>
      <c r="C74" s="200"/>
      <c r="D74" s="200"/>
      <c r="E74" s="200"/>
      <c r="F74" s="200"/>
      <c r="G74" s="200"/>
      <c r="H74" s="200"/>
      <c r="I74" s="200"/>
      <c r="J74" s="200"/>
      <c r="K74" s="200"/>
      <c r="L74" s="200"/>
      <c r="M74" s="200"/>
      <c r="N74" s="200"/>
      <c r="O74" s="201"/>
      <c r="P74" s="2"/>
      <c r="Q74" s="377" t="str">
        <f>IF(Roster!$A$14=0,"","#"&amp;Roster!$A$14)</f>
        <v>#13</v>
      </c>
      <c r="R74" s="200"/>
      <c r="S74" s="200"/>
      <c r="T74" s="200"/>
      <c r="U74" s="200"/>
      <c r="V74" s="200"/>
      <c r="W74" s="200"/>
      <c r="X74" s="200"/>
      <c r="Y74" s="200"/>
      <c r="Z74" s="200"/>
      <c r="AA74" s="200"/>
      <c r="AB74" s="200"/>
      <c r="AC74" s="200"/>
      <c r="AD74" s="201"/>
      <c r="AE74" s="2"/>
      <c r="AF74" s="377" t="str">
        <f>IF(Roster!$A$15=0,"","#"&amp;Roster!$A$15)</f>
        <v>#14</v>
      </c>
      <c r="AG74" s="200"/>
      <c r="AH74" s="200"/>
      <c r="AI74" s="200"/>
      <c r="AJ74" s="200"/>
      <c r="AK74" s="200"/>
      <c r="AL74" s="200"/>
      <c r="AM74" s="200"/>
      <c r="AN74" s="200"/>
      <c r="AO74" s="200"/>
      <c r="AP74" s="200"/>
      <c r="AQ74" s="200"/>
      <c r="AR74" s="200"/>
      <c r="AS74" s="201"/>
      <c r="AT74" s="2"/>
      <c r="AU74" s="377" t="str">
        <f>IF(Roster!$A$16=0,"","#"&amp;Roster!$A$16)</f>
        <v>#15</v>
      </c>
      <c r="AV74" s="200"/>
      <c r="AW74" s="200"/>
      <c r="AX74" s="200"/>
      <c r="AY74" s="200"/>
      <c r="AZ74" s="200"/>
      <c r="BA74" s="200"/>
      <c r="BB74" s="200"/>
      <c r="BC74" s="200"/>
      <c r="BD74" s="200"/>
      <c r="BE74" s="200"/>
      <c r="BF74" s="200"/>
      <c r="BG74" s="200"/>
      <c r="BH74" s="201"/>
    </row>
    <row r="75" spans="1:60" ht="15" customHeight="1">
      <c r="A75" s="2"/>
      <c r="B75" s="244"/>
      <c r="C75" s="369" t="str">
        <f>IF(Roster!$B$13=0,"",Roster!$B$13)</f>
        <v>Slimer</v>
      </c>
      <c r="D75" s="236"/>
      <c r="E75" s="236"/>
      <c r="F75" s="236"/>
      <c r="G75" s="236"/>
      <c r="H75" s="236"/>
      <c r="I75" s="236"/>
      <c r="J75" s="236"/>
      <c r="K75" s="236"/>
      <c r="L75" s="236"/>
      <c r="M75" s="236"/>
      <c r="N75" s="237"/>
      <c r="O75" s="202"/>
      <c r="P75" s="2"/>
      <c r="Q75" s="244"/>
      <c r="R75" s="369" t="str">
        <f>IF(Roster!$B$14=0,"",Roster!$B$14)</f>
        <v/>
      </c>
      <c r="S75" s="236"/>
      <c r="T75" s="236"/>
      <c r="U75" s="236"/>
      <c r="V75" s="236"/>
      <c r="W75" s="236"/>
      <c r="X75" s="236"/>
      <c r="Y75" s="236"/>
      <c r="Z75" s="236"/>
      <c r="AA75" s="236"/>
      <c r="AB75" s="236"/>
      <c r="AC75" s="237"/>
      <c r="AD75" s="202"/>
      <c r="AE75" s="2"/>
      <c r="AF75" s="244"/>
      <c r="AG75" s="369" t="str">
        <f>IF(Roster!$B$15=0,"",Roster!$B$15)</f>
        <v/>
      </c>
      <c r="AH75" s="236"/>
      <c r="AI75" s="236"/>
      <c r="AJ75" s="236"/>
      <c r="AK75" s="236"/>
      <c r="AL75" s="236"/>
      <c r="AM75" s="236"/>
      <c r="AN75" s="236"/>
      <c r="AO75" s="236"/>
      <c r="AP75" s="236"/>
      <c r="AQ75" s="236"/>
      <c r="AR75" s="237"/>
      <c r="AS75" s="202"/>
      <c r="AT75" s="2"/>
      <c r="AU75" s="244"/>
      <c r="AV75" s="369" t="str">
        <f>IF(Roster!$B$16=0,"",Roster!$B$16)</f>
        <v/>
      </c>
      <c r="AW75" s="236"/>
      <c r="AX75" s="236"/>
      <c r="AY75" s="236"/>
      <c r="AZ75" s="236"/>
      <c r="BA75" s="236"/>
      <c r="BB75" s="236"/>
      <c r="BC75" s="236"/>
      <c r="BD75" s="236"/>
      <c r="BE75" s="236"/>
      <c r="BF75" s="236"/>
      <c r="BG75" s="237"/>
      <c r="BH75" s="202"/>
    </row>
    <row r="76" spans="1:60" ht="11.25" customHeight="1">
      <c r="A76" s="2"/>
      <c r="B76" s="245"/>
      <c r="C76" s="378" t="str">
        <f>IF(Roster!$C$13=0,"",Roster!$C$13)</f>
        <v>Wraiths</v>
      </c>
      <c r="D76" s="236"/>
      <c r="E76" s="236"/>
      <c r="F76" s="236"/>
      <c r="G76" s="236"/>
      <c r="H76" s="236"/>
      <c r="I76" s="236"/>
      <c r="J76" s="236"/>
      <c r="K76" s="236"/>
      <c r="L76" s="236"/>
      <c r="M76" s="236"/>
      <c r="N76" s="237"/>
      <c r="O76" s="203"/>
      <c r="P76" s="2"/>
      <c r="Q76" s="245"/>
      <c r="R76" s="378" t="str">
        <f>IF(Roster!$C$14=0,"",Roster!$C$14)</f>
        <v/>
      </c>
      <c r="S76" s="236"/>
      <c r="T76" s="236"/>
      <c r="U76" s="236"/>
      <c r="V76" s="236"/>
      <c r="W76" s="236"/>
      <c r="X76" s="236"/>
      <c r="Y76" s="236"/>
      <c r="Z76" s="236"/>
      <c r="AA76" s="236"/>
      <c r="AB76" s="236"/>
      <c r="AC76" s="237"/>
      <c r="AD76" s="203"/>
      <c r="AE76" s="2"/>
      <c r="AF76" s="245"/>
      <c r="AG76" s="378" t="str">
        <f>IF(Roster!$C$15=0,"",Roster!$C$15)</f>
        <v/>
      </c>
      <c r="AH76" s="236"/>
      <c r="AI76" s="236"/>
      <c r="AJ76" s="236"/>
      <c r="AK76" s="236"/>
      <c r="AL76" s="236"/>
      <c r="AM76" s="236"/>
      <c r="AN76" s="236"/>
      <c r="AO76" s="236"/>
      <c r="AP76" s="236"/>
      <c r="AQ76" s="236"/>
      <c r="AR76" s="237"/>
      <c r="AS76" s="203"/>
      <c r="AT76" s="2"/>
      <c r="AU76" s="245"/>
      <c r="AV76" s="378" t="str">
        <f>IF(Roster!$C$16=0,"",Roster!$C$16)</f>
        <v/>
      </c>
      <c r="AW76" s="236"/>
      <c r="AX76" s="236"/>
      <c r="AY76" s="236"/>
      <c r="AZ76" s="236"/>
      <c r="BA76" s="236"/>
      <c r="BB76" s="236"/>
      <c r="BC76" s="236"/>
      <c r="BD76" s="236"/>
      <c r="BE76" s="236"/>
      <c r="BF76" s="236"/>
      <c r="BG76" s="237"/>
      <c r="BH76" s="203"/>
    </row>
    <row r="77" spans="1:60" ht="11.25" customHeight="1">
      <c r="A77" s="2"/>
      <c r="B77" s="206" t="str">
        <f>IF(Roster!$J$1=0,"",Roster!$J$1)</f>
        <v>MA</v>
      </c>
      <c r="C77" s="207"/>
      <c r="D77" s="207"/>
      <c r="E77" s="207"/>
      <c r="F77" s="207"/>
      <c r="G77" s="207"/>
      <c r="H77" s="207"/>
      <c r="I77" s="207"/>
      <c r="J77" s="207"/>
      <c r="K77" s="207"/>
      <c r="L77" s="207"/>
      <c r="M77" s="207"/>
      <c r="N77" s="207"/>
      <c r="O77" s="202"/>
      <c r="P77" s="2"/>
      <c r="Q77" s="206" t="str">
        <f>IF(Roster!$J$1=0,"",Roster!$J$1)</f>
        <v>MA</v>
      </c>
      <c r="R77" s="207"/>
      <c r="S77" s="207"/>
      <c r="T77" s="207"/>
      <c r="U77" s="207"/>
      <c r="V77" s="207"/>
      <c r="W77" s="207"/>
      <c r="X77" s="207"/>
      <c r="Y77" s="207"/>
      <c r="Z77" s="207"/>
      <c r="AA77" s="207"/>
      <c r="AB77" s="207"/>
      <c r="AC77" s="207"/>
      <c r="AD77" s="202"/>
      <c r="AE77" s="2"/>
      <c r="AF77" s="206" t="str">
        <f>IF(Roster!$J$1=0,"",Roster!$J$1)</f>
        <v>MA</v>
      </c>
      <c r="AG77" s="207"/>
      <c r="AH77" s="207"/>
      <c r="AI77" s="207"/>
      <c r="AJ77" s="207"/>
      <c r="AK77" s="207"/>
      <c r="AL77" s="207"/>
      <c r="AM77" s="207"/>
      <c r="AN77" s="207"/>
      <c r="AO77" s="207"/>
      <c r="AP77" s="207"/>
      <c r="AQ77" s="207"/>
      <c r="AR77" s="207"/>
      <c r="AS77" s="202"/>
      <c r="AT77" s="2"/>
      <c r="AU77" s="206" t="str">
        <f>IF(Roster!$J$1=0,"",Roster!$J$1)</f>
        <v>MA</v>
      </c>
      <c r="AV77" s="207"/>
      <c r="AW77" s="207"/>
      <c r="AX77" s="207"/>
      <c r="AY77" s="207"/>
      <c r="AZ77" s="207"/>
      <c r="BA77" s="207"/>
      <c r="BB77" s="207"/>
      <c r="BC77" s="207"/>
      <c r="BD77" s="207"/>
      <c r="BE77" s="207"/>
      <c r="BF77" s="207"/>
      <c r="BG77" s="207"/>
      <c r="BH77" s="202"/>
    </row>
    <row r="78" spans="1:60" ht="37.5" customHeight="1">
      <c r="A78" s="2"/>
      <c r="B78" s="209">
        <f>IF(Roster!$J$13=0,"",Roster!$J$13)</f>
        <v>6</v>
      </c>
      <c r="C78" s="207"/>
      <c r="D78" s="392"/>
      <c r="E78" s="289"/>
      <c r="F78" s="289"/>
      <c r="G78" s="289"/>
      <c r="H78" s="289"/>
      <c r="I78" s="289"/>
      <c r="J78" s="289"/>
      <c r="K78" s="289"/>
      <c r="L78" s="289"/>
      <c r="M78" s="289"/>
      <c r="N78" s="264"/>
      <c r="O78" s="202"/>
      <c r="P78" s="2"/>
      <c r="Q78" s="209" t="str">
        <f>IF(Roster!$J$14=0,"",Roster!$J$14)</f>
        <v/>
      </c>
      <c r="R78" s="207"/>
      <c r="S78" s="392"/>
      <c r="T78" s="289"/>
      <c r="U78" s="289"/>
      <c r="V78" s="289"/>
      <c r="W78" s="289"/>
      <c r="X78" s="289"/>
      <c r="Y78" s="289"/>
      <c r="Z78" s="289"/>
      <c r="AA78" s="289"/>
      <c r="AB78" s="289"/>
      <c r="AC78" s="264"/>
      <c r="AD78" s="202"/>
      <c r="AE78" s="2"/>
      <c r="AF78" s="209" t="str">
        <f>IF(Roster!$J$15=0,"",Roster!$J$15)</f>
        <v/>
      </c>
      <c r="AG78" s="207"/>
      <c r="AH78" s="392"/>
      <c r="AI78" s="289"/>
      <c r="AJ78" s="289"/>
      <c r="AK78" s="289"/>
      <c r="AL78" s="289"/>
      <c r="AM78" s="289"/>
      <c r="AN78" s="289"/>
      <c r="AO78" s="289"/>
      <c r="AP78" s="289"/>
      <c r="AQ78" s="289"/>
      <c r="AR78" s="264"/>
      <c r="AS78" s="202"/>
      <c r="AT78" s="2"/>
      <c r="AU78" s="209" t="str">
        <f>IF(Roster!$J$16=0,"",Roster!$J$16)</f>
        <v/>
      </c>
      <c r="AV78" s="207"/>
      <c r="AW78" s="392"/>
      <c r="AX78" s="289"/>
      <c r="AY78" s="289"/>
      <c r="AZ78" s="289"/>
      <c r="BA78" s="289"/>
      <c r="BB78" s="289"/>
      <c r="BC78" s="289"/>
      <c r="BD78" s="289"/>
      <c r="BE78" s="289"/>
      <c r="BF78" s="289"/>
      <c r="BG78" s="264"/>
      <c r="BH78" s="202"/>
    </row>
    <row r="79" spans="1:60" ht="11.25" customHeight="1">
      <c r="A79" s="2"/>
      <c r="B79" s="206" t="str">
        <f>IF(Roster!$K$1=0,"",Roster!$K$1)</f>
        <v>ST</v>
      </c>
      <c r="C79" s="207"/>
      <c r="D79" s="265"/>
      <c r="E79" s="261"/>
      <c r="F79" s="261"/>
      <c r="G79" s="261"/>
      <c r="H79" s="261"/>
      <c r="I79" s="261"/>
      <c r="J79" s="261"/>
      <c r="K79" s="261"/>
      <c r="L79" s="261"/>
      <c r="M79" s="261"/>
      <c r="N79" s="266"/>
      <c r="O79" s="202"/>
      <c r="P79" s="2"/>
      <c r="Q79" s="206" t="str">
        <f>IF(Roster!$K$1=0,"",Roster!$K$1)</f>
        <v>ST</v>
      </c>
      <c r="R79" s="207"/>
      <c r="S79" s="265"/>
      <c r="T79" s="261"/>
      <c r="U79" s="261"/>
      <c r="V79" s="261"/>
      <c r="W79" s="261"/>
      <c r="X79" s="261"/>
      <c r="Y79" s="261"/>
      <c r="Z79" s="261"/>
      <c r="AA79" s="261"/>
      <c r="AB79" s="261"/>
      <c r="AC79" s="266"/>
      <c r="AD79" s="202"/>
      <c r="AE79" s="2"/>
      <c r="AF79" s="206" t="str">
        <f>IF(Roster!$K$1=0,"",Roster!$K$1)</f>
        <v>ST</v>
      </c>
      <c r="AG79" s="207"/>
      <c r="AH79" s="265"/>
      <c r="AI79" s="261"/>
      <c r="AJ79" s="261"/>
      <c r="AK79" s="261"/>
      <c r="AL79" s="261"/>
      <c r="AM79" s="261"/>
      <c r="AN79" s="261"/>
      <c r="AO79" s="261"/>
      <c r="AP79" s="261"/>
      <c r="AQ79" s="261"/>
      <c r="AR79" s="266"/>
      <c r="AS79" s="202"/>
      <c r="AT79" s="2"/>
      <c r="AU79" s="206" t="str">
        <f>IF(Roster!$K$1=0,"",Roster!$K$1)</f>
        <v>ST</v>
      </c>
      <c r="AV79" s="207"/>
      <c r="AW79" s="265"/>
      <c r="AX79" s="261"/>
      <c r="AY79" s="261"/>
      <c r="AZ79" s="261"/>
      <c r="BA79" s="261"/>
      <c r="BB79" s="261"/>
      <c r="BC79" s="261"/>
      <c r="BD79" s="261"/>
      <c r="BE79" s="261"/>
      <c r="BF79" s="261"/>
      <c r="BG79" s="266"/>
      <c r="BH79" s="202"/>
    </row>
    <row r="80" spans="1:60" ht="37.5" customHeight="1">
      <c r="A80" s="2"/>
      <c r="B80" s="209">
        <f>IF(Roster!$K$13=0,"",Roster!$K$13)</f>
        <v>3</v>
      </c>
      <c r="C80" s="207"/>
      <c r="D80" s="265"/>
      <c r="E80" s="261"/>
      <c r="F80" s="261"/>
      <c r="G80" s="261"/>
      <c r="H80" s="261"/>
      <c r="I80" s="261"/>
      <c r="J80" s="261"/>
      <c r="K80" s="261"/>
      <c r="L80" s="261"/>
      <c r="M80" s="261"/>
      <c r="N80" s="266"/>
      <c r="O80" s="202"/>
      <c r="P80" s="2"/>
      <c r="Q80" s="209" t="str">
        <f>IF(Roster!$K$14=0,"",Roster!$K$14)</f>
        <v/>
      </c>
      <c r="R80" s="207"/>
      <c r="S80" s="265"/>
      <c r="T80" s="261"/>
      <c r="U80" s="261"/>
      <c r="V80" s="261"/>
      <c r="W80" s="261"/>
      <c r="X80" s="261"/>
      <c r="Y80" s="261"/>
      <c r="Z80" s="261"/>
      <c r="AA80" s="261"/>
      <c r="AB80" s="261"/>
      <c r="AC80" s="266"/>
      <c r="AD80" s="202"/>
      <c r="AE80" s="2"/>
      <c r="AF80" s="209" t="str">
        <f>IF(Roster!$K$15=0,"",Roster!$K$15)</f>
        <v/>
      </c>
      <c r="AG80" s="207"/>
      <c r="AH80" s="265"/>
      <c r="AI80" s="261"/>
      <c r="AJ80" s="261"/>
      <c r="AK80" s="261"/>
      <c r="AL80" s="261"/>
      <c r="AM80" s="261"/>
      <c r="AN80" s="261"/>
      <c r="AO80" s="261"/>
      <c r="AP80" s="261"/>
      <c r="AQ80" s="261"/>
      <c r="AR80" s="266"/>
      <c r="AS80" s="202"/>
      <c r="AT80" s="2"/>
      <c r="AU80" s="209" t="str">
        <f>IF(Roster!$K$16=0,"",Roster!$K$16)</f>
        <v/>
      </c>
      <c r="AV80" s="207"/>
      <c r="AW80" s="265"/>
      <c r="AX80" s="261"/>
      <c r="AY80" s="261"/>
      <c r="AZ80" s="261"/>
      <c r="BA80" s="261"/>
      <c r="BB80" s="261"/>
      <c r="BC80" s="261"/>
      <c r="BD80" s="261"/>
      <c r="BE80" s="261"/>
      <c r="BF80" s="261"/>
      <c r="BG80" s="266"/>
      <c r="BH80" s="202"/>
    </row>
    <row r="81" spans="1:60" ht="11.25" customHeight="1">
      <c r="A81" s="2"/>
      <c r="B81" s="206" t="str">
        <f>IF(Roster!$L$1=0,"",Roster!$L$1)</f>
        <v>AG</v>
      </c>
      <c r="C81" s="207"/>
      <c r="D81" s="265"/>
      <c r="E81" s="261"/>
      <c r="F81" s="261"/>
      <c r="G81" s="261"/>
      <c r="H81" s="261"/>
      <c r="I81" s="261"/>
      <c r="J81" s="261"/>
      <c r="K81" s="261"/>
      <c r="L81" s="261"/>
      <c r="M81" s="261"/>
      <c r="N81" s="266"/>
      <c r="O81" s="202"/>
      <c r="P81" s="2"/>
      <c r="Q81" s="206" t="str">
        <f>IF(Roster!$L$1=0,"",Roster!$L$1)</f>
        <v>AG</v>
      </c>
      <c r="R81" s="207"/>
      <c r="S81" s="265"/>
      <c r="T81" s="261"/>
      <c r="U81" s="261"/>
      <c r="V81" s="261"/>
      <c r="W81" s="261"/>
      <c r="X81" s="261"/>
      <c r="Y81" s="261"/>
      <c r="Z81" s="261"/>
      <c r="AA81" s="261"/>
      <c r="AB81" s="261"/>
      <c r="AC81" s="266"/>
      <c r="AD81" s="202"/>
      <c r="AE81" s="2"/>
      <c r="AF81" s="206" t="str">
        <f>IF(Roster!$L$1=0,"",Roster!$L$1)</f>
        <v>AG</v>
      </c>
      <c r="AG81" s="207"/>
      <c r="AH81" s="265"/>
      <c r="AI81" s="261"/>
      <c r="AJ81" s="261"/>
      <c r="AK81" s="261"/>
      <c r="AL81" s="261"/>
      <c r="AM81" s="261"/>
      <c r="AN81" s="261"/>
      <c r="AO81" s="261"/>
      <c r="AP81" s="261"/>
      <c r="AQ81" s="261"/>
      <c r="AR81" s="266"/>
      <c r="AS81" s="202"/>
      <c r="AT81" s="2"/>
      <c r="AU81" s="206" t="str">
        <f>IF(Roster!$L$1=0,"",Roster!$L$1)</f>
        <v>AG</v>
      </c>
      <c r="AV81" s="207"/>
      <c r="AW81" s="265"/>
      <c r="AX81" s="261"/>
      <c r="AY81" s="261"/>
      <c r="AZ81" s="261"/>
      <c r="BA81" s="261"/>
      <c r="BB81" s="261"/>
      <c r="BC81" s="261"/>
      <c r="BD81" s="261"/>
      <c r="BE81" s="261"/>
      <c r="BF81" s="261"/>
      <c r="BG81" s="266"/>
      <c r="BH81" s="202"/>
    </row>
    <row r="82" spans="1:60" ht="37.5" customHeight="1">
      <c r="A82" s="2"/>
      <c r="B82" s="209" t="str">
        <f>IF(Roster!$L$13=0&amp;"+","",Roster!$L$13)</f>
        <v>3+</v>
      </c>
      <c r="C82" s="207"/>
      <c r="D82" s="265"/>
      <c r="E82" s="261"/>
      <c r="F82" s="261"/>
      <c r="G82" s="261"/>
      <c r="H82" s="261"/>
      <c r="I82" s="261"/>
      <c r="J82" s="261"/>
      <c r="K82" s="261"/>
      <c r="L82" s="261"/>
      <c r="M82" s="261"/>
      <c r="N82" s="266"/>
      <c r="O82" s="202"/>
      <c r="P82" s="2"/>
      <c r="Q82" s="209" t="str">
        <f>IF(Roster!$L$14=0&amp;"+","",Roster!$L$14)</f>
        <v/>
      </c>
      <c r="R82" s="207"/>
      <c r="S82" s="265"/>
      <c r="T82" s="261"/>
      <c r="U82" s="261"/>
      <c r="V82" s="261"/>
      <c r="W82" s="261"/>
      <c r="X82" s="261"/>
      <c r="Y82" s="261"/>
      <c r="Z82" s="261"/>
      <c r="AA82" s="261"/>
      <c r="AB82" s="261"/>
      <c r="AC82" s="266"/>
      <c r="AD82" s="202"/>
      <c r="AE82" s="2"/>
      <c r="AF82" s="209" t="str">
        <f>IF(Roster!$L$15=0&amp;"+","",Roster!$L$15)</f>
        <v/>
      </c>
      <c r="AG82" s="207"/>
      <c r="AH82" s="265"/>
      <c r="AI82" s="261"/>
      <c r="AJ82" s="261"/>
      <c r="AK82" s="261"/>
      <c r="AL82" s="261"/>
      <c r="AM82" s="261"/>
      <c r="AN82" s="261"/>
      <c r="AO82" s="261"/>
      <c r="AP82" s="261"/>
      <c r="AQ82" s="261"/>
      <c r="AR82" s="266"/>
      <c r="AS82" s="202"/>
      <c r="AT82" s="2"/>
      <c r="AU82" s="209" t="str">
        <f>IF(Roster!$L$16=0&amp;"+","",Roster!$L$16)</f>
        <v/>
      </c>
      <c r="AV82" s="207"/>
      <c r="AW82" s="265"/>
      <c r="AX82" s="261"/>
      <c r="AY82" s="261"/>
      <c r="AZ82" s="261"/>
      <c r="BA82" s="261"/>
      <c r="BB82" s="261"/>
      <c r="BC82" s="261"/>
      <c r="BD82" s="261"/>
      <c r="BE82" s="261"/>
      <c r="BF82" s="261"/>
      <c r="BG82" s="266"/>
      <c r="BH82" s="202"/>
    </row>
    <row r="83" spans="1:60" ht="11.25" customHeight="1">
      <c r="A83" s="2"/>
      <c r="B83" s="206" t="str">
        <f>IF(Roster!$M$1=0,"",Roster!$M$1)</f>
        <v>PA</v>
      </c>
      <c r="C83" s="207"/>
      <c r="D83" s="265"/>
      <c r="E83" s="261"/>
      <c r="F83" s="261"/>
      <c r="G83" s="261"/>
      <c r="H83" s="261"/>
      <c r="I83" s="261"/>
      <c r="J83" s="261"/>
      <c r="K83" s="261"/>
      <c r="L83" s="261"/>
      <c r="M83" s="261"/>
      <c r="N83" s="266"/>
      <c r="O83" s="211"/>
      <c r="P83" s="2"/>
      <c r="Q83" s="206" t="str">
        <f>IF(Roster!$M$1=0,"",Roster!$M$1)</f>
        <v>PA</v>
      </c>
      <c r="R83" s="207"/>
      <c r="S83" s="265"/>
      <c r="T83" s="261"/>
      <c r="U83" s="261"/>
      <c r="V83" s="261"/>
      <c r="W83" s="261"/>
      <c r="X83" s="261"/>
      <c r="Y83" s="261"/>
      <c r="Z83" s="261"/>
      <c r="AA83" s="261"/>
      <c r="AB83" s="261"/>
      <c r="AC83" s="266"/>
      <c r="AD83" s="211"/>
      <c r="AE83" s="2"/>
      <c r="AF83" s="206" t="str">
        <f>IF(Roster!$M$1=0,"",Roster!$M$1)</f>
        <v>PA</v>
      </c>
      <c r="AG83" s="207"/>
      <c r="AH83" s="265"/>
      <c r="AI83" s="261"/>
      <c r="AJ83" s="261"/>
      <c r="AK83" s="261"/>
      <c r="AL83" s="261"/>
      <c r="AM83" s="261"/>
      <c r="AN83" s="261"/>
      <c r="AO83" s="261"/>
      <c r="AP83" s="261"/>
      <c r="AQ83" s="261"/>
      <c r="AR83" s="266"/>
      <c r="AS83" s="211"/>
      <c r="AT83" s="2"/>
      <c r="AU83" s="206" t="str">
        <f>IF(Roster!$M$1=0,"",Roster!$M$1)</f>
        <v>PA</v>
      </c>
      <c r="AV83" s="207"/>
      <c r="AW83" s="265"/>
      <c r="AX83" s="261"/>
      <c r="AY83" s="261"/>
      <c r="AZ83" s="261"/>
      <c r="BA83" s="261"/>
      <c r="BB83" s="261"/>
      <c r="BC83" s="261"/>
      <c r="BD83" s="261"/>
      <c r="BE83" s="261"/>
      <c r="BF83" s="261"/>
      <c r="BG83" s="266"/>
      <c r="BH83" s="211"/>
    </row>
    <row r="84" spans="1:60" ht="6" customHeight="1">
      <c r="A84" s="2"/>
      <c r="B84" s="387" t="str">
        <f>IF(Roster!$M$13=0&amp;"+","",Roster!$M$13)</f>
        <v/>
      </c>
      <c r="C84" s="207"/>
      <c r="D84" s="267"/>
      <c r="E84" s="290"/>
      <c r="F84" s="290"/>
      <c r="G84" s="290"/>
      <c r="H84" s="290"/>
      <c r="I84" s="290"/>
      <c r="J84" s="290"/>
      <c r="K84" s="290"/>
      <c r="L84" s="290"/>
      <c r="M84" s="290"/>
      <c r="N84" s="268"/>
      <c r="O84" s="213"/>
      <c r="P84" s="2"/>
      <c r="Q84" s="387" t="str">
        <f>IF(Roster!$M$14=0&amp;"+","",Roster!$M$14)</f>
        <v/>
      </c>
      <c r="R84" s="207"/>
      <c r="S84" s="267"/>
      <c r="T84" s="290"/>
      <c r="U84" s="290"/>
      <c r="V84" s="290"/>
      <c r="W84" s="290"/>
      <c r="X84" s="290"/>
      <c r="Y84" s="290"/>
      <c r="Z84" s="290"/>
      <c r="AA84" s="290"/>
      <c r="AB84" s="290"/>
      <c r="AC84" s="268"/>
      <c r="AD84" s="213"/>
      <c r="AE84" s="2"/>
      <c r="AF84" s="387" t="str">
        <f>IF(Roster!$M$15=0&amp;"+","",Roster!$M$15)</f>
        <v/>
      </c>
      <c r="AG84" s="207"/>
      <c r="AH84" s="267"/>
      <c r="AI84" s="290"/>
      <c r="AJ84" s="290"/>
      <c r="AK84" s="290"/>
      <c r="AL84" s="290"/>
      <c r="AM84" s="290"/>
      <c r="AN84" s="290"/>
      <c r="AO84" s="290"/>
      <c r="AP84" s="290"/>
      <c r="AQ84" s="290"/>
      <c r="AR84" s="268"/>
      <c r="AS84" s="213"/>
      <c r="AT84" s="2"/>
      <c r="AU84" s="387" t="str">
        <f>IF(Roster!$M$16=0&amp;"+","",Roster!$M$16)</f>
        <v/>
      </c>
      <c r="AV84" s="207"/>
      <c r="AW84" s="267"/>
      <c r="AX84" s="290"/>
      <c r="AY84" s="290"/>
      <c r="AZ84" s="290"/>
      <c r="BA84" s="290"/>
      <c r="BB84" s="290"/>
      <c r="BC84" s="290"/>
      <c r="BD84" s="290"/>
      <c r="BE84" s="290"/>
      <c r="BF84" s="290"/>
      <c r="BG84" s="268"/>
      <c r="BH84" s="213"/>
    </row>
    <row r="85" spans="1:60" ht="4.5" customHeight="1">
      <c r="A85" s="2"/>
      <c r="B85" s="241"/>
      <c r="C85" s="205"/>
      <c r="D85" s="214"/>
      <c r="E85" s="212"/>
      <c r="F85" s="214"/>
      <c r="G85" s="212"/>
      <c r="H85" s="214"/>
      <c r="I85" s="212"/>
      <c r="J85" s="214"/>
      <c r="K85" s="212"/>
      <c r="L85" s="214"/>
      <c r="M85" s="212"/>
      <c r="N85" s="214"/>
      <c r="O85" s="213"/>
      <c r="P85" s="2"/>
      <c r="Q85" s="241"/>
      <c r="R85" s="205"/>
      <c r="S85" s="214"/>
      <c r="T85" s="212"/>
      <c r="U85" s="214"/>
      <c r="V85" s="212"/>
      <c r="W85" s="214"/>
      <c r="X85" s="212"/>
      <c r="Y85" s="214"/>
      <c r="Z85" s="212"/>
      <c r="AA85" s="214"/>
      <c r="AB85" s="212"/>
      <c r="AC85" s="214"/>
      <c r="AD85" s="213"/>
      <c r="AE85" s="2"/>
      <c r="AF85" s="241"/>
      <c r="AG85" s="205"/>
      <c r="AH85" s="214"/>
      <c r="AI85" s="212"/>
      <c r="AJ85" s="214"/>
      <c r="AK85" s="212"/>
      <c r="AL85" s="214"/>
      <c r="AM85" s="212"/>
      <c r="AN85" s="214"/>
      <c r="AO85" s="212"/>
      <c r="AP85" s="214"/>
      <c r="AQ85" s="212"/>
      <c r="AR85" s="214"/>
      <c r="AS85" s="213"/>
      <c r="AT85" s="2"/>
      <c r="AU85" s="241"/>
      <c r="AV85" s="205"/>
      <c r="AW85" s="214"/>
      <c r="AX85" s="212"/>
      <c r="AY85" s="214"/>
      <c r="AZ85" s="212"/>
      <c r="BA85" s="214"/>
      <c r="BB85" s="212"/>
      <c r="BC85" s="214"/>
      <c r="BD85" s="212"/>
      <c r="BE85" s="214"/>
      <c r="BF85" s="212"/>
      <c r="BG85" s="214"/>
      <c r="BH85" s="213"/>
    </row>
    <row r="86" spans="1:60" ht="11.25" customHeight="1">
      <c r="A86" s="2"/>
      <c r="B86" s="241"/>
      <c r="C86" s="205"/>
      <c r="D86" s="373" t="str">
        <f>IF(Roster!$J$24="Español","HABILIDADES Y RASGOS","SKILLS &amp; TRAITS")</f>
        <v>SKILLS &amp; TRAITS</v>
      </c>
      <c r="E86" s="270"/>
      <c r="F86" s="270"/>
      <c r="G86" s="270"/>
      <c r="H86" s="270"/>
      <c r="I86" s="270"/>
      <c r="J86" s="270"/>
      <c r="K86" s="270"/>
      <c r="L86" s="270"/>
      <c r="M86" s="270"/>
      <c r="N86" s="374"/>
      <c r="O86" s="213"/>
      <c r="P86" s="2"/>
      <c r="Q86" s="241"/>
      <c r="R86" s="205"/>
      <c r="S86" s="373" t="str">
        <f>IF(Roster!$J$24="Español","HABILIDADES Y RASGOS","SKILLS &amp; TRAITS")</f>
        <v>SKILLS &amp; TRAITS</v>
      </c>
      <c r="T86" s="270"/>
      <c r="U86" s="270"/>
      <c r="V86" s="270"/>
      <c r="W86" s="270"/>
      <c r="X86" s="270"/>
      <c r="Y86" s="270"/>
      <c r="Z86" s="270"/>
      <c r="AA86" s="270"/>
      <c r="AB86" s="270"/>
      <c r="AC86" s="374"/>
      <c r="AD86" s="213"/>
      <c r="AE86" s="2"/>
      <c r="AF86" s="241"/>
      <c r="AG86" s="205"/>
      <c r="AH86" s="373" t="str">
        <f>IF(Roster!$J$24="Español","HABILIDADES Y RASGOS","SKILLS &amp; TRAITS")</f>
        <v>SKILLS &amp; TRAITS</v>
      </c>
      <c r="AI86" s="270"/>
      <c r="AJ86" s="270"/>
      <c r="AK86" s="270"/>
      <c r="AL86" s="270"/>
      <c r="AM86" s="270"/>
      <c r="AN86" s="270"/>
      <c r="AO86" s="270"/>
      <c r="AP86" s="270"/>
      <c r="AQ86" s="270"/>
      <c r="AR86" s="374"/>
      <c r="AS86" s="213"/>
      <c r="AT86" s="2"/>
      <c r="AU86" s="241"/>
      <c r="AV86" s="205"/>
      <c r="AW86" s="373" t="str">
        <f>IF(Roster!$J$24="Español","HABILIDADES Y RASGOS","SKILLS &amp; TRAITS")</f>
        <v>SKILLS &amp; TRAITS</v>
      </c>
      <c r="AX86" s="270"/>
      <c r="AY86" s="270"/>
      <c r="AZ86" s="270"/>
      <c r="BA86" s="270"/>
      <c r="BB86" s="270"/>
      <c r="BC86" s="270"/>
      <c r="BD86" s="270"/>
      <c r="BE86" s="270"/>
      <c r="BF86" s="270"/>
      <c r="BG86" s="374"/>
      <c r="BH86" s="213"/>
    </row>
    <row r="87" spans="1:60" ht="15" customHeight="1">
      <c r="A87" s="2"/>
      <c r="B87" s="241"/>
      <c r="C87" s="208"/>
      <c r="D87" s="375" t="str">
        <f>IF(Roster!$O$13=0&amp;$BF$13,"",Roster!$O$13)</f>
        <v>Block, Foul Appearance, No Hands, Regeneration, Side Step</v>
      </c>
      <c r="E87" s="340"/>
      <c r="F87" s="340"/>
      <c r="G87" s="340"/>
      <c r="H87" s="340"/>
      <c r="I87" s="340"/>
      <c r="J87" s="340"/>
      <c r="K87" s="340"/>
      <c r="L87" s="340"/>
      <c r="M87" s="340"/>
      <c r="N87" s="376"/>
      <c r="O87" s="213"/>
      <c r="P87" s="2"/>
      <c r="Q87" s="241"/>
      <c r="R87" s="208"/>
      <c r="S87" s="375" t="str">
        <f>IF(Roster!$O$14=0&amp;$BF$14,"",Roster!$O$14)</f>
        <v/>
      </c>
      <c r="T87" s="340"/>
      <c r="U87" s="340"/>
      <c r="V87" s="340"/>
      <c r="W87" s="340"/>
      <c r="X87" s="340"/>
      <c r="Y87" s="340"/>
      <c r="Z87" s="340"/>
      <c r="AA87" s="340"/>
      <c r="AB87" s="340"/>
      <c r="AC87" s="376"/>
      <c r="AD87" s="213"/>
      <c r="AE87" s="2"/>
      <c r="AF87" s="241"/>
      <c r="AG87" s="208"/>
      <c r="AH87" s="375" t="str">
        <f>IF(Roster!$O$15=0&amp;$BF$15,"",Roster!$O$15)</f>
        <v/>
      </c>
      <c r="AI87" s="340"/>
      <c r="AJ87" s="340"/>
      <c r="AK87" s="340"/>
      <c r="AL87" s="340"/>
      <c r="AM87" s="340"/>
      <c r="AN87" s="340"/>
      <c r="AO87" s="340"/>
      <c r="AP87" s="340"/>
      <c r="AQ87" s="340"/>
      <c r="AR87" s="376"/>
      <c r="AS87" s="213"/>
      <c r="AT87" s="2"/>
      <c r="AU87" s="241"/>
      <c r="AV87" s="208"/>
      <c r="AW87" s="375" t="str">
        <f>IF(Roster!$O$16=0&amp;$BF$16,"",Roster!$O$16)</f>
        <v/>
      </c>
      <c r="AX87" s="340"/>
      <c r="AY87" s="340"/>
      <c r="AZ87" s="340"/>
      <c r="BA87" s="340"/>
      <c r="BB87" s="340"/>
      <c r="BC87" s="340"/>
      <c r="BD87" s="340"/>
      <c r="BE87" s="340"/>
      <c r="BF87" s="340"/>
      <c r="BG87" s="376"/>
      <c r="BH87" s="213"/>
    </row>
    <row r="88" spans="1:60" ht="4.5" customHeight="1">
      <c r="A88" s="2"/>
      <c r="B88" s="242"/>
      <c r="C88" s="208"/>
      <c r="D88" s="265"/>
      <c r="E88" s="261"/>
      <c r="F88" s="261"/>
      <c r="G88" s="261"/>
      <c r="H88" s="261"/>
      <c r="I88" s="261"/>
      <c r="J88" s="261"/>
      <c r="K88" s="261"/>
      <c r="L88" s="261"/>
      <c r="M88" s="261"/>
      <c r="N88" s="266"/>
      <c r="O88" s="213"/>
      <c r="P88" s="2"/>
      <c r="Q88" s="242"/>
      <c r="R88" s="208"/>
      <c r="S88" s="265"/>
      <c r="T88" s="261"/>
      <c r="U88" s="261"/>
      <c r="V88" s="261"/>
      <c r="W88" s="261"/>
      <c r="X88" s="261"/>
      <c r="Y88" s="261"/>
      <c r="Z88" s="261"/>
      <c r="AA88" s="261"/>
      <c r="AB88" s="261"/>
      <c r="AC88" s="266"/>
      <c r="AD88" s="213"/>
      <c r="AE88" s="2"/>
      <c r="AF88" s="242"/>
      <c r="AG88" s="208"/>
      <c r="AH88" s="265"/>
      <c r="AI88" s="261"/>
      <c r="AJ88" s="261"/>
      <c r="AK88" s="261"/>
      <c r="AL88" s="261"/>
      <c r="AM88" s="261"/>
      <c r="AN88" s="261"/>
      <c r="AO88" s="261"/>
      <c r="AP88" s="261"/>
      <c r="AQ88" s="261"/>
      <c r="AR88" s="266"/>
      <c r="AS88" s="213"/>
      <c r="AT88" s="2"/>
      <c r="AU88" s="242"/>
      <c r="AV88" s="208"/>
      <c r="AW88" s="265"/>
      <c r="AX88" s="261"/>
      <c r="AY88" s="261"/>
      <c r="AZ88" s="261"/>
      <c r="BA88" s="261"/>
      <c r="BB88" s="261"/>
      <c r="BC88" s="261"/>
      <c r="BD88" s="261"/>
      <c r="BE88" s="261"/>
      <c r="BF88" s="261"/>
      <c r="BG88" s="266"/>
      <c r="BH88" s="213"/>
    </row>
    <row r="89" spans="1:60" ht="11.25" customHeight="1">
      <c r="A89" s="2"/>
      <c r="B89" s="206" t="str">
        <f>IF(Roster!$N$1=0,"",Roster!$N$1)</f>
        <v>AV</v>
      </c>
      <c r="C89" s="207"/>
      <c r="D89" s="265"/>
      <c r="E89" s="261"/>
      <c r="F89" s="261"/>
      <c r="G89" s="261"/>
      <c r="H89" s="261"/>
      <c r="I89" s="261"/>
      <c r="J89" s="261"/>
      <c r="K89" s="261"/>
      <c r="L89" s="261"/>
      <c r="M89" s="261"/>
      <c r="N89" s="266"/>
      <c r="O89" s="202"/>
      <c r="P89" s="2"/>
      <c r="Q89" s="206" t="str">
        <f>IF(Roster!$N$1=0,"",Roster!$N$1)</f>
        <v>AV</v>
      </c>
      <c r="R89" s="207"/>
      <c r="S89" s="265"/>
      <c r="T89" s="261"/>
      <c r="U89" s="261"/>
      <c r="V89" s="261"/>
      <c r="W89" s="261"/>
      <c r="X89" s="261"/>
      <c r="Y89" s="261"/>
      <c r="Z89" s="261"/>
      <c r="AA89" s="261"/>
      <c r="AB89" s="261"/>
      <c r="AC89" s="266"/>
      <c r="AD89" s="202"/>
      <c r="AE89" s="2"/>
      <c r="AF89" s="206" t="str">
        <f>IF(Roster!$N$1=0,"",Roster!$N$1)</f>
        <v>AV</v>
      </c>
      <c r="AG89" s="207"/>
      <c r="AH89" s="265"/>
      <c r="AI89" s="261"/>
      <c r="AJ89" s="261"/>
      <c r="AK89" s="261"/>
      <c r="AL89" s="261"/>
      <c r="AM89" s="261"/>
      <c r="AN89" s="261"/>
      <c r="AO89" s="261"/>
      <c r="AP89" s="261"/>
      <c r="AQ89" s="261"/>
      <c r="AR89" s="266"/>
      <c r="AS89" s="202"/>
      <c r="AT89" s="2"/>
      <c r="AU89" s="206" t="str">
        <f>IF(Roster!$N$1=0,"",Roster!$N$1)</f>
        <v>AV</v>
      </c>
      <c r="AV89" s="207"/>
      <c r="AW89" s="265"/>
      <c r="AX89" s="261"/>
      <c r="AY89" s="261"/>
      <c r="AZ89" s="261"/>
      <c r="BA89" s="261"/>
      <c r="BB89" s="261"/>
      <c r="BC89" s="261"/>
      <c r="BD89" s="261"/>
      <c r="BE89" s="261"/>
      <c r="BF89" s="261"/>
      <c r="BG89" s="266"/>
      <c r="BH89" s="202"/>
    </row>
    <row r="90" spans="1:60" ht="15" customHeight="1">
      <c r="A90" s="2"/>
      <c r="B90" s="387" t="str">
        <f>IF(Roster!$N$13=0&amp;"+","",Roster!$N$13)</f>
        <v>9+</v>
      </c>
      <c r="C90" s="208"/>
      <c r="D90" s="265"/>
      <c r="E90" s="261"/>
      <c r="F90" s="261"/>
      <c r="G90" s="261"/>
      <c r="H90" s="261"/>
      <c r="I90" s="261"/>
      <c r="J90" s="261"/>
      <c r="K90" s="261"/>
      <c r="L90" s="261"/>
      <c r="M90" s="261"/>
      <c r="N90" s="266"/>
      <c r="O90" s="215"/>
      <c r="P90" s="2"/>
      <c r="Q90" s="387" t="str">
        <f>IF(Roster!$N$14=0&amp;"+","",Roster!$N$14)</f>
        <v/>
      </c>
      <c r="R90" s="208"/>
      <c r="S90" s="265"/>
      <c r="T90" s="261"/>
      <c r="U90" s="261"/>
      <c r="V90" s="261"/>
      <c r="W90" s="261"/>
      <c r="X90" s="261"/>
      <c r="Y90" s="261"/>
      <c r="Z90" s="261"/>
      <c r="AA90" s="261"/>
      <c r="AB90" s="261"/>
      <c r="AC90" s="266"/>
      <c r="AD90" s="215"/>
      <c r="AE90" s="2"/>
      <c r="AF90" s="387" t="str">
        <f>IF(Roster!$N$15=0&amp;"+","",Roster!$N$15)</f>
        <v/>
      </c>
      <c r="AG90" s="208"/>
      <c r="AH90" s="265"/>
      <c r="AI90" s="261"/>
      <c r="AJ90" s="261"/>
      <c r="AK90" s="261"/>
      <c r="AL90" s="261"/>
      <c r="AM90" s="261"/>
      <c r="AN90" s="261"/>
      <c r="AO90" s="261"/>
      <c r="AP90" s="261"/>
      <c r="AQ90" s="261"/>
      <c r="AR90" s="266"/>
      <c r="AS90" s="215"/>
      <c r="AT90" s="2"/>
      <c r="AU90" s="387" t="str">
        <f>IF(Roster!$N$16=0&amp;"+","",Roster!$N$16)</f>
        <v/>
      </c>
      <c r="AV90" s="208"/>
      <c r="AW90" s="265"/>
      <c r="AX90" s="261"/>
      <c r="AY90" s="261"/>
      <c r="AZ90" s="261"/>
      <c r="BA90" s="261"/>
      <c r="BB90" s="261"/>
      <c r="BC90" s="261"/>
      <c r="BD90" s="261"/>
      <c r="BE90" s="261"/>
      <c r="BF90" s="261"/>
      <c r="BG90" s="266"/>
      <c r="BH90" s="215"/>
    </row>
    <row r="91" spans="1:60" ht="4.5" customHeight="1">
      <c r="A91" s="2"/>
      <c r="B91" s="241"/>
      <c r="C91" s="208"/>
      <c r="D91" s="265"/>
      <c r="E91" s="261"/>
      <c r="F91" s="261"/>
      <c r="G91" s="261"/>
      <c r="H91" s="261"/>
      <c r="I91" s="261"/>
      <c r="J91" s="261"/>
      <c r="K91" s="261"/>
      <c r="L91" s="261"/>
      <c r="M91" s="261"/>
      <c r="N91" s="266"/>
      <c r="O91" s="215"/>
      <c r="P91" s="2"/>
      <c r="Q91" s="241"/>
      <c r="R91" s="208"/>
      <c r="S91" s="265"/>
      <c r="T91" s="261"/>
      <c r="U91" s="261"/>
      <c r="V91" s="261"/>
      <c r="W91" s="261"/>
      <c r="X91" s="261"/>
      <c r="Y91" s="261"/>
      <c r="Z91" s="261"/>
      <c r="AA91" s="261"/>
      <c r="AB91" s="261"/>
      <c r="AC91" s="266"/>
      <c r="AD91" s="215"/>
      <c r="AE91" s="2"/>
      <c r="AF91" s="241"/>
      <c r="AG91" s="208"/>
      <c r="AH91" s="265"/>
      <c r="AI91" s="261"/>
      <c r="AJ91" s="261"/>
      <c r="AK91" s="261"/>
      <c r="AL91" s="261"/>
      <c r="AM91" s="261"/>
      <c r="AN91" s="261"/>
      <c r="AO91" s="261"/>
      <c r="AP91" s="261"/>
      <c r="AQ91" s="261"/>
      <c r="AR91" s="266"/>
      <c r="AS91" s="215"/>
      <c r="AT91" s="2"/>
      <c r="AU91" s="241"/>
      <c r="AV91" s="208"/>
      <c r="AW91" s="265"/>
      <c r="AX91" s="261"/>
      <c r="AY91" s="261"/>
      <c r="AZ91" s="261"/>
      <c r="BA91" s="261"/>
      <c r="BB91" s="261"/>
      <c r="BC91" s="261"/>
      <c r="BD91" s="261"/>
      <c r="BE91" s="261"/>
      <c r="BF91" s="261"/>
      <c r="BG91" s="266"/>
      <c r="BH91" s="215"/>
    </row>
    <row r="92" spans="1:60" ht="11.25" customHeight="1">
      <c r="A92" s="2"/>
      <c r="B92" s="241"/>
      <c r="C92" s="208"/>
      <c r="D92" s="265"/>
      <c r="E92" s="261"/>
      <c r="F92" s="261"/>
      <c r="G92" s="261"/>
      <c r="H92" s="261"/>
      <c r="I92" s="261"/>
      <c r="J92" s="261"/>
      <c r="K92" s="261"/>
      <c r="L92" s="261"/>
      <c r="M92" s="261"/>
      <c r="N92" s="266"/>
      <c r="O92" s="215"/>
      <c r="P92" s="2"/>
      <c r="Q92" s="241"/>
      <c r="R92" s="208"/>
      <c r="S92" s="265"/>
      <c r="T92" s="261"/>
      <c r="U92" s="261"/>
      <c r="V92" s="261"/>
      <c r="W92" s="261"/>
      <c r="X92" s="261"/>
      <c r="Y92" s="261"/>
      <c r="Z92" s="261"/>
      <c r="AA92" s="261"/>
      <c r="AB92" s="261"/>
      <c r="AC92" s="266"/>
      <c r="AD92" s="215"/>
      <c r="AE92" s="2"/>
      <c r="AF92" s="241"/>
      <c r="AG92" s="208"/>
      <c r="AH92" s="265"/>
      <c r="AI92" s="261"/>
      <c r="AJ92" s="261"/>
      <c r="AK92" s="261"/>
      <c r="AL92" s="261"/>
      <c r="AM92" s="261"/>
      <c r="AN92" s="261"/>
      <c r="AO92" s="261"/>
      <c r="AP92" s="261"/>
      <c r="AQ92" s="261"/>
      <c r="AR92" s="266"/>
      <c r="AS92" s="215"/>
      <c r="AT92" s="2"/>
      <c r="AU92" s="241"/>
      <c r="AV92" s="208"/>
      <c r="AW92" s="265"/>
      <c r="AX92" s="261"/>
      <c r="AY92" s="261"/>
      <c r="AZ92" s="261"/>
      <c r="BA92" s="261"/>
      <c r="BB92" s="261"/>
      <c r="BC92" s="261"/>
      <c r="BD92" s="261"/>
      <c r="BE92" s="261"/>
      <c r="BF92" s="261"/>
      <c r="BG92" s="266"/>
      <c r="BH92" s="215"/>
    </row>
    <row r="93" spans="1:60" ht="6.75" customHeight="1">
      <c r="A93" s="2"/>
      <c r="B93" s="242"/>
      <c r="C93" s="208"/>
      <c r="D93" s="265"/>
      <c r="E93" s="261"/>
      <c r="F93" s="261"/>
      <c r="G93" s="261"/>
      <c r="H93" s="261"/>
      <c r="I93" s="261"/>
      <c r="J93" s="261"/>
      <c r="K93" s="261"/>
      <c r="L93" s="261"/>
      <c r="M93" s="261"/>
      <c r="N93" s="266"/>
      <c r="O93" s="215"/>
      <c r="P93" s="2"/>
      <c r="Q93" s="242"/>
      <c r="R93" s="208"/>
      <c r="S93" s="265"/>
      <c r="T93" s="261"/>
      <c r="U93" s="261"/>
      <c r="V93" s="261"/>
      <c r="W93" s="261"/>
      <c r="X93" s="261"/>
      <c r="Y93" s="261"/>
      <c r="Z93" s="261"/>
      <c r="AA93" s="261"/>
      <c r="AB93" s="261"/>
      <c r="AC93" s="266"/>
      <c r="AD93" s="215"/>
      <c r="AE93" s="2"/>
      <c r="AF93" s="242"/>
      <c r="AG93" s="208"/>
      <c r="AH93" s="265"/>
      <c r="AI93" s="261"/>
      <c r="AJ93" s="261"/>
      <c r="AK93" s="261"/>
      <c r="AL93" s="261"/>
      <c r="AM93" s="261"/>
      <c r="AN93" s="261"/>
      <c r="AO93" s="261"/>
      <c r="AP93" s="261"/>
      <c r="AQ93" s="261"/>
      <c r="AR93" s="266"/>
      <c r="AS93" s="215"/>
      <c r="AT93" s="2"/>
      <c r="AU93" s="242"/>
      <c r="AV93" s="208"/>
      <c r="AW93" s="265"/>
      <c r="AX93" s="261"/>
      <c r="AY93" s="261"/>
      <c r="AZ93" s="261"/>
      <c r="BA93" s="261"/>
      <c r="BB93" s="261"/>
      <c r="BC93" s="261"/>
      <c r="BD93" s="261"/>
      <c r="BE93" s="261"/>
      <c r="BF93" s="261"/>
      <c r="BG93" s="266"/>
      <c r="BH93" s="215"/>
    </row>
    <row r="94" spans="1:60" ht="11.25" customHeight="1">
      <c r="A94" s="2"/>
      <c r="B94" s="206" t="str">
        <f>IF(Roster!$AN$1=0,"",Roster!$AN$1)</f>
        <v>COST</v>
      </c>
      <c r="C94" s="207"/>
      <c r="D94" s="265"/>
      <c r="E94" s="261"/>
      <c r="F94" s="261"/>
      <c r="G94" s="261"/>
      <c r="H94" s="261"/>
      <c r="I94" s="261"/>
      <c r="J94" s="261"/>
      <c r="K94" s="261"/>
      <c r="L94" s="261"/>
      <c r="M94" s="261"/>
      <c r="N94" s="266"/>
      <c r="O94" s="218"/>
      <c r="P94" s="2"/>
      <c r="Q94" s="206" t="str">
        <f>IF(Roster!$AN$1=0,"",Roster!$AN$1)</f>
        <v>COST</v>
      </c>
      <c r="R94" s="207"/>
      <c r="S94" s="265"/>
      <c r="T94" s="261"/>
      <c r="U94" s="261"/>
      <c r="V94" s="261"/>
      <c r="W94" s="261"/>
      <c r="X94" s="261"/>
      <c r="Y94" s="261"/>
      <c r="Z94" s="261"/>
      <c r="AA94" s="261"/>
      <c r="AB94" s="261"/>
      <c r="AC94" s="266"/>
      <c r="AD94" s="218"/>
      <c r="AE94" s="2"/>
      <c r="AF94" s="206" t="str">
        <f>IF(Roster!$AN$1=0,"",Roster!$AN$1)</f>
        <v>COST</v>
      </c>
      <c r="AG94" s="207"/>
      <c r="AH94" s="265"/>
      <c r="AI94" s="261"/>
      <c r="AJ94" s="261"/>
      <c r="AK94" s="261"/>
      <c r="AL94" s="261"/>
      <c r="AM94" s="261"/>
      <c r="AN94" s="261"/>
      <c r="AO94" s="261"/>
      <c r="AP94" s="261"/>
      <c r="AQ94" s="261"/>
      <c r="AR94" s="266"/>
      <c r="AS94" s="218"/>
      <c r="AT94" s="2"/>
      <c r="AU94" s="206" t="str">
        <f>IF(Roster!$AN$1=0,"",Roster!$AN$1)</f>
        <v>COST</v>
      </c>
      <c r="AV94" s="207"/>
      <c r="AW94" s="265"/>
      <c r="AX94" s="261"/>
      <c r="AY94" s="261"/>
      <c r="AZ94" s="261"/>
      <c r="BA94" s="261"/>
      <c r="BB94" s="261"/>
      <c r="BC94" s="261"/>
      <c r="BD94" s="261"/>
      <c r="BE94" s="261"/>
      <c r="BF94" s="261"/>
      <c r="BG94" s="266"/>
      <c r="BH94" s="218"/>
    </row>
    <row r="95" spans="1:60" ht="34.5" customHeight="1">
      <c r="A95" s="2"/>
      <c r="B95" s="220">
        <f>IF(Roster!$AN$13=0,"",Roster!$AN$13)</f>
        <v>95000</v>
      </c>
      <c r="C95" s="221"/>
      <c r="D95" s="267"/>
      <c r="E95" s="290"/>
      <c r="F95" s="290"/>
      <c r="G95" s="290"/>
      <c r="H95" s="290"/>
      <c r="I95" s="290"/>
      <c r="J95" s="290"/>
      <c r="K95" s="290"/>
      <c r="L95" s="290"/>
      <c r="M95" s="290"/>
      <c r="N95" s="268"/>
      <c r="O95" s="218"/>
      <c r="P95" s="2"/>
      <c r="Q95" s="220" t="str">
        <f>IF(Roster!$AN$14=0,"",Roster!$AN$14)</f>
        <v/>
      </c>
      <c r="R95" s="221"/>
      <c r="S95" s="267"/>
      <c r="T95" s="290"/>
      <c r="U95" s="290"/>
      <c r="V95" s="290"/>
      <c r="W95" s="290"/>
      <c r="X95" s="290"/>
      <c r="Y95" s="290"/>
      <c r="Z95" s="290"/>
      <c r="AA95" s="290"/>
      <c r="AB95" s="290"/>
      <c r="AC95" s="268"/>
      <c r="AD95" s="218"/>
      <c r="AE95" s="2"/>
      <c r="AF95" s="220" t="str">
        <f>IF(Roster!$AN$15=0,"",Roster!$AN$15)</f>
        <v/>
      </c>
      <c r="AG95" s="221"/>
      <c r="AH95" s="267"/>
      <c r="AI95" s="290"/>
      <c r="AJ95" s="290"/>
      <c r="AK95" s="290"/>
      <c r="AL95" s="290"/>
      <c r="AM95" s="290"/>
      <c r="AN95" s="290"/>
      <c r="AO95" s="290"/>
      <c r="AP95" s="290"/>
      <c r="AQ95" s="290"/>
      <c r="AR95" s="268"/>
      <c r="AS95" s="218"/>
      <c r="AT95" s="2"/>
      <c r="AU95" s="220" t="str">
        <f>IF(Roster!$AN$16=0,"",Roster!$AN$16)</f>
        <v/>
      </c>
      <c r="AV95" s="221"/>
      <c r="AW95" s="267"/>
      <c r="AX95" s="290"/>
      <c r="AY95" s="290"/>
      <c r="AZ95" s="290"/>
      <c r="BA95" s="290"/>
      <c r="BB95" s="290"/>
      <c r="BC95" s="290"/>
      <c r="BD95" s="290"/>
      <c r="BE95" s="290"/>
      <c r="BF95" s="290"/>
      <c r="BG95" s="268"/>
      <c r="BH95" s="218"/>
    </row>
    <row r="96" spans="1:60" ht="4.5" customHeight="1">
      <c r="A96" s="2"/>
      <c r="B96" s="370"/>
      <c r="C96" s="273"/>
      <c r="D96" s="273"/>
      <c r="E96" s="273"/>
      <c r="F96" s="273"/>
      <c r="G96" s="273"/>
      <c r="H96" s="273"/>
      <c r="I96" s="273"/>
      <c r="J96" s="273"/>
      <c r="K96" s="273"/>
      <c r="L96" s="273"/>
      <c r="M96" s="273"/>
      <c r="N96" s="274"/>
      <c r="O96" s="222"/>
      <c r="P96" s="2"/>
      <c r="Q96" s="370"/>
      <c r="R96" s="273"/>
      <c r="S96" s="273"/>
      <c r="T96" s="273"/>
      <c r="U96" s="273"/>
      <c r="V96" s="273"/>
      <c r="W96" s="273"/>
      <c r="X96" s="273"/>
      <c r="Y96" s="273"/>
      <c r="Z96" s="273"/>
      <c r="AA96" s="273"/>
      <c r="AB96" s="273"/>
      <c r="AC96" s="274"/>
      <c r="AD96" s="222"/>
      <c r="AE96" s="2"/>
      <c r="AF96" s="370"/>
      <c r="AG96" s="273"/>
      <c r="AH96" s="273"/>
      <c r="AI96" s="273"/>
      <c r="AJ96" s="273"/>
      <c r="AK96" s="273"/>
      <c r="AL96" s="273"/>
      <c r="AM96" s="273"/>
      <c r="AN96" s="273"/>
      <c r="AO96" s="273"/>
      <c r="AP96" s="273"/>
      <c r="AQ96" s="273"/>
      <c r="AR96" s="274"/>
      <c r="AS96" s="222"/>
      <c r="AT96" s="2"/>
      <c r="AU96" s="370"/>
      <c r="AV96" s="273"/>
      <c r="AW96" s="273"/>
      <c r="AX96" s="273"/>
      <c r="AY96" s="273"/>
      <c r="AZ96" s="273"/>
      <c r="BA96" s="273"/>
      <c r="BB96" s="273"/>
      <c r="BC96" s="273"/>
      <c r="BD96" s="273"/>
      <c r="BE96" s="273"/>
      <c r="BF96" s="273"/>
      <c r="BG96" s="274"/>
      <c r="BH96" s="222"/>
    </row>
    <row r="97" spans="1:60" ht="11.2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row>
    <row r="98" spans="1:60" ht="4.5" customHeight="1">
      <c r="A98" s="2"/>
      <c r="B98" s="377" t="str">
        <f>IF(Roster!$A$17=0,"","#"&amp;Roster!$A$17)</f>
        <v>#16</v>
      </c>
      <c r="C98" s="200"/>
      <c r="D98" s="200"/>
      <c r="E98" s="200"/>
      <c r="F98" s="200"/>
      <c r="G98" s="200"/>
      <c r="H98" s="200"/>
      <c r="I98" s="200"/>
      <c r="J98" s="200"/>
      <c r="K98" s="200"/>
      <c r="L98" s="200"/>
      <c r="M98" s="200"/>
      <c r="N98" s="200"/>
      <c r="O98" s="201"/>
      <c r="P98" s="2"/>
      <c r="Q98" s="377"/>
      <c r="R98" s="200"/>
      <c r="S98" s="200"/>
      <c r="T98" s="200"/>
      <c r="U98" s="200"/>
      <c r="V98" s="200"/>
      <c r="W98" s="200"/>
      <c r="X98" s="200"/>
      <c r="Y98" s="200"/>
      <c r="Z98" s="200"/>
      <c r="AA98" s="200"/>
      <c r="AB98" s="200"/>
      <c r="AC98" s="200"/>
      <c r="AD98" s="201"/>
      <c r="AE98" s="214"/>
      <c r="AF98" s="377"/>
      <c r="AG98" s="200"/>
      <c r="AH98" s="200"/>
      <c r="AI98" s="200"/>
      <c r="AJ98" s="200"/>
      <c r="AK98" s="200"/>
      <c r="AL98" s="200"/>
      <c r="AM98" s="200"/>
      <c r="AN98" s="200"/>
      <c r="AO98" s="200"/>
      <c r="AP98" s="200"/>
      <c r="AQ98" s="200"/>
      <c r="AR98" s="200"/>
      <c r="AS98" s="201"/>
      <c r="AT98" s="223"/>
      <c r="AU98" s="371"/>
      <c r="AV98" s="289"/>
      <c r="AW98" s="289"/>
      <c r="AX98" s="289"/>
      <c r="AY98" s="289"/>
      <c r="AZ98" s="289"/>
      <c r="BA98" s="289"/>
      <c r="BB98" s="289"/>
      <c r="BC98" s="289"/>
      <c r="BD98" s="289"/>
      <c r="BE98" s="289"/>
      <c r="BF98" s="289"/>
      <c r="BG98" s="289"/>
      <c r="BH98" s="264"/>
    </row>
    <row r="99" spans="1:60" ht="15" customHeight="1">
      <c r="A99" s="2"/>
      <c r="B99" s="244"/>
      <c r="C99" s="369" t="str">
        <f>IF(Roster!$B$17=0,"",Roster!$B$17)</f>
        <v/>
      </c>
      <c r="D99" s="236"/>
      <c r="E99" s="236"/>
      <c r="F99" s="236"/>
      <c r="G99" s="236"/>
      <c r="H99" s="236"/>
      <c r="I99" s="236"/>
      <c r="J99" s="236"/>
      <c r="K99" s="236"/>
      <c r="L99" s="236"/>
      <c r="M99" s="236"/>
      <c r="N99" s="237"/>
      <c r="O99" s="202"/>
      <c r="P99" s="2"/>
      <c r="Q99" s="244"/>
      <c r="R99" s="378" t="str">
        <f>IF(Roster!$B$18=0,"","("&amp;Roster!$B$18&amp;")")</f>
        <v>(Star Players)</v>
      </c>
      <c r="S99" s="236"/>
      <c r="T99" s="236"/>
      <c r="U99" s="236"/>
      <c r="V99" s="236"/>
      <c r="W99" s="236"/>
      <c r="X99" s="236"/>
      <c r="Y99" s="236"/>
      <c r="Z99" s="236"/>
      <c r="AA99" s="236"/>
      <c r="AB99" s="236"/>
      <c r="AC99" s="237"/>
      <c r="AD99" s="202"/>
      <c r="AE99" s="214"/>
      <c r="AF99" s="244"/>
      <c r="AG99" s="378" t="str">
        <f>IF(Roster!$B$18=0,"","("&amp;Roster!$B$18&amp;")")</f>
        <v>(Star Players)</v>
      </c>
      <c r="AH99" s="236"/>
      <c r="AI99" s="236"/>
      <c r="AJ99" s="236"/>
      <c r="AK99" s="236"/>
      <c r="AL99" s="236"/>
      <c r="AM99" s="236"/>
      <c r="AN99" s="236"/>
      <c r="AO99" s="236"/>
      <c r="AP99" s="236"/>
      <c r="AQ99" s="236"/>
      <c r="AR99" s="237"/>
      <c r="AS99" s="202"/>
      <c r="AT99" s="223"/>
      <c r="AU99" s="265"/>
      <c r="AV99" s="261"/>
      <c r="AW99" s="261"/>
      <c r="AX99" s="261"/>
      <c r="AY99" s="261"/>
      <c r="AZ99" s="261"/>
      <c r="BA99" s="261"/>
      <c r="BB99" s="261"/>
      <c r="BC99" s="261"/>
      <c r="BD99" s="261"/>
      <c r="BE99" s="261"/>
      <c r="BF99" s="261"/>
      <c r="BG99" s="261"/>
      <c r="BH99" s="266"/>
    </row>
    <row r="100" spans="1:60" ht="11.25" customHeight="1">
      <c r="A100" s="2"/>
      <c r="B100" s="245"/>
      <c r="C100" s="378" t="str">
        <f>IF(Roster!$C$17=0,"",Roster!$C$17)</f>
        <v/>
      </c>
      <c r="D100" s="236"/>
      <c r="E100" s="236"/>
      <c r="F100" s="236"/>
      <c r="G100" s="236"/>
      <c r="H100" s="236"/>
      <c r="I100" s="236"/>
      <c r="J100" s="236"/>
      <c r="K100" s="236"/>
      <c r="L100" s="236"/>
      <c r="M100" s="236"/>
      <c r="N100" s="237"/>
      <c r="O100" s="203"/>
      <c r="P100" s="2"/>
      <c r="Q100" s="245"/>
      <c r="R100" s="386" t="str">
        <f>IF(Roster!$C$18=0,"",Roster!$C$18)</f>
        <v/>
      </c>
      <c r="S100" s="340"/>
      <c r="T100" s="340"/>
      <c r="U100" s="340"/>
      <c r="V100" s="340"/>
      <c r="W100" s="340"/>
      <c r="X100" s="340"/>
      <c r="Y100" s="340"/>
      <c r="Z100" s="340"/>
      <c r="AA100" s="340"/>
      <c r="AB100" s="340"/>
      <c r="AC100" s="341"/>
      <c r="AD100" s="203"/>
      <c r="AE100" s="214"/>
      <c r="AF100" s="245"/>
      <c r="AG100" s="386" t="str">
        <f>IF(Roster!$C$19=0,"",Roster!$C$19)</f>
        <v/>
      </c>
      <c r="AH100" s="340"/>
      <c r="AI100" s="340"/>
      <c r="AJ100" s="340"/>
      <c r="AK100" s="340"/>
      <c r="AL100" s="340"/>
      <c r="AM100" s="340"/>
      <c r="AN100" s="340"/>
      <c r="AO100" s="340"/>
      <c r="AP100" s="340"/>
      <c r="AQ100" s="340"/>
      <c r="AR100" s="341"/>
      <c r="AS100" s="203"/>
      <c r="AT100" s="223"/>
      <c r="AU100" s="265"/>
      <c r="AV100" s="261"/>
      <c r="AW100" s="261"/>
      <c r="AX100" s="261"/>
      <c r="AY100" s="261"/>
      <c r="AZ100" s="261"/>
      <c r="BA100" s="261"/>
      <c r="BB100" s="261"/>
      <c r="BC100" s="261"/>
      <c r="BD100" s="261"/>
      <c r="BE100" s="261"/>
      <c r="BF100" s="261"/>
      <c r="BG100" s="261"/>
      <c r="BH100" s="266"/>
    </row>
    <row r="101" spans="1:60" ht="11.25" customHeight="1">
      <c r="A101" s="2"/>
      <c r="B101" s="206" t="str">
        <f>IF(Roster!$J$1=0,"",Roster!$J$1)</f>
        <v>MA</v>
      </c>
      <c r="C101" s="207"/>
      <c r="D101" s="207"/>
      <c r="E101" s="207"/>
      <c r="F101" s="207"/>
      <c r="G101" s="207"/>
      <c r="H101" s="207"/>
      <c r="I101" s="207"/>
      <c r="J101" s="207"/>
      <c r="K101" s="207"/>
      <c r="L101" s="207"/>
      <c r="M101" s="207"/>
      <c r="N101" s="207"/>
      <c r="O101" s="202"/>
      <c r="P101" s="2"/>
      <c r="Q101" s="206" t="str">
        <f>IF(Roster!$J$1=0,"",Roster!$J$1)</f>
        <v>MA</v>
      </c>
      <c r="R101" s="342"/>
      <c r="S101" s="261"/>
      <c r="T101" s="261"/>
      <c r="U101" s="261"/>
      <c r="V101" s="261"/>
      <c r="W101" s="261"/>
      <c r="X101" s="261"/>
      <c r="Y101" s="261"/>
      <c r="Z101" s="261"/>
      <c r="AA101" s="261"/>
      <c r="AB101" s="261"/>
      <c r="AC101" s="328"/>
      <c r="AD101" s="202"/>
      <c r="AE101" s="214"/>
      <c r="AF101" s="206" t="str">
        <f>IF(Roster!$J$1=0,"",Roster!$J$1)</f>
        <v>MA</v>
      </c>
      <c r="AG101" s="342"/>
      <c r="AH101" s="261"/>
      <c r="AI101" s="261"/>
      <c r="AJ101" s="261"/>
      <c r="AK101" s="261"/>
      <c r="AL101" s="261"/>
      <c r="AM101" s="261"/>
      <c r="AN101" s="261"/>
      <c r="AO101" s="261"/>
      <c r="AP101" s="261"/>
      <c r="AQ101" s="261"/>
      <c r="AR101" s="328"/>
      <c r="AS101" s="202"/>
      <c r="AT101" s="223"/>
      <c r="AU101" s="265"/>
      <c r="AV101" s="261"/>
      <c r="AW101" s="261"/>
      <c r="AX101" s="261"/>
      <c r="AY101" s="261"/>
      <c r="AZ101" s="261"/>
      <c r="BA101" s="261"/>
      <c r="BB101" s="261"/>
      <c r="BC101" s="261"/>
      <c r="BD101" s="261"/>
      <c r="BE101" s="261"/>
      <c r="BF101" s="261"/>
      <c r="BG101" s="261"/>
      <c r="BH101" s="266"/>
    </row>
    <row r="102" spans="1:60" ht="37.5" customHeight="1">
      <c r="A102" s="2"/>
      <c r="B102" s="209" t="str">
        <f>IF(Roster!$J$17=0,"",Roster!$J$17)</f>
        <v/>
      </c>
      <c r="C102" s="207"/>
      <c r="D102" s="392"/>
      <c r="E102" s="289"/>
      <c r="F102" s="289"/>
      <c r="G102" s="289"/>
      <c r="H102" s="289"/>
      <c r="I102" s="289"/>
      <c r="J102" s="289"/>
      <c r="K102" s="289"/>
      <c r="L102" s="289"/>
      <c r="M102" s="289"/>
      <c r="N102" s="264"/>
      <c r="O102" s="202"/>
      <c r="P102" s="2"/>
      <c r="Q102" s="209" t="str">
        <f>IF(Roster!$J$18=0,"",Roster!$J$18)</f>
        <v/>
      </c>
      <c r="R102" s="343"/>
      <c r="S102" s="344"/>
      <c r="T102" s="344"/>
      <c r="U102" s="344"/>
      <c r="V102" s="344"/>
      <c r="W102" s="344"/>
      <c r="X102" s="344"/>
      <c r="Y102" s="344"/>
      <c r="Z102" s="344"/>
      <c r="AA102" s="344"/>
      <c r="AB102" s="344"/>
      <c r="AC102" s="345"/>
      <c r="AD102" s="379"/>
      <c r="AE102" s="214"/>
      <c r="AF102" s="209" t="str">
        <f>IF(Roster!$J$19=0,"",Roster!$J$19)</f>
        <v/>
      </c>
      <c r="AG102" s="343"/>
      <c r="AH102" s="344"/>
      <c r="AI102" s="344"/>
      <c r="AJ102" s="344"/>
      <c r="AK102" s="344"/>
      <c r="AL102" s="344"/>
      <c r="AM102" s="344"/>
      <c r="AN102" s="344"/>
      <c r="AO102" s="344"/>
      <c r="AP102" s="344"/>
      <c r="AQ102" s="344"/>
      <c r="AR102" s="345"/>
      <c r="AS102" s="379"/>
      <c r="AT102" s="223"/>
      <c r="AU102" s="265"/>
      <c r="AV102" s="261"/>
      <c r="AW102" s="261"/>
      <c r="AX102" s="261"/>
      <c r="AY102" s="261"/>
      <c r="AZ102" s="261"/>
      <c r="BA102" s="261"/>
      <c r="BB102" s="261"/>
      <c r="BC102" s="261"/>
      <c r="BD102" s="261"/>
      <c r="BE102" s="261"/>
      <c r="BF102" s="261"/>
      <c r="BG102" s="261"/>
      <c r="BH102" s="266"/>
    </row>
    <row r="103" spans="1:60" ht="11.25" customHeight="1">
      <c r="A103" s="2"/>
      <c r="B103" s="206" t="str">
        <f>IF(Roster!$K$1=0,"",Roster!$K$1)</f>
        <v>ST</v>
      </c>
      <c r="C103" s="207"/>
      <c r="D103" s="265"/>
      <c r="E103" s="261"/>
      <c r="F103" s="261"/>
      <c r="G103" s="261"/>
      <c r="H103" s="261"/>
      <c r="I103" s="261"/>
      <c r="J103" s="261"/>
      <c r="K103" s="261"/>
      <c r="L103" s="261"/>
      <c r="M103" s="261"/>
      <c r="N103" s="266"/>
      <c r="O103" s="202"/>
      <c r="P103" s="2"/>
      <c r="Q103" s="206" t="str">
        <f>IF(Roster!$K$1=0,"",Roster!$K$1)</f>
        <v>ST</v>
      </c>
      <c r="R103" s="382"/>
      <c r="S103" s="373" t="str">
        <f>IF(Roster!$J$24="Español","REGLA ESPECIAL","SPECIAL RULE")</f>
        <v>SPECIAL RULE</v>
      </c>
      <c r="T103" s="270"/>
      <c r="U103" s="270"/>
      <c r="V103" s="270"/>
      <c r="W103" s="270"/>
      <c r="X103" s="270"/>
      <c r="Y103" s="270"/>
      <c r="Z103" s="270"/>
      <c r="AA103" s="270"/>
      <c r="AB103" s="270"/>
      <c r="AC103" s="374"/>
      <c r="AD103" s="380"/>
      <c r="AE103" s="214"/>
      <c r="AF103" s="206" t="str">
        <f>IF(Roster!$K$1=0,"",Roster!$K$1)</f>
        <v>ST</v>
      </c>
      <c r="AG103" s="382"/>
      <c r="AH103" s="373" t="str">
        <f>IF(Roster!$J$24="Español","REGLA ESPECIAL","SPECIAL RULE")</f>
        <v>SPECIAL RULE</v>
      </c>
      <c r="AI103" s="270"/>
      <c r="AJ103" s="270"/>
      <c r="AK103" s="270"/>
      <c r="AL103" s="270"/>
      <c r="AM103" s="270"/>
      <c r="AN103" s="270"/>
      <c r="AO103" s="270"/>
      <c r="AP103" s="270"/>
      <c r="AQ103" s="270"/>
      <c r="AR103" s="374"/>
      <c r="AS103" s="380"/>
      <c r="AT103" s="223"/>
      <c r="AU103" s="265"/>
      <c r="AV103" s="261"/>
      <c r="AW103" s="261"/>
      <c r="AX103" s="261"/>
      <c r="AY103" s="261"/>
      <c r="AZ103" s="261"/>
      <c r="BA103" s="261"/>
      <c r="BB103" s="261"/>
      <c r="BC103" s="261"/>
      <c r="BD103" s="261"/>
      <c r="BE103" s="261"/>
      <c r="BF103" s="261"/>
      <c r="BG103" s="261"/>
      <c r="BH103" s="266"/>
    </row>
    <row r="104" spans="1:60" ht="37.5" customHeight="1">
      <c r="A104" s="2"/>
      <c r="B104" s="209" t="str">
        <f>IF(Roster!$K$17=0,"",Roster!$K$17)</f>
        <v/>
      </c>
      <c r="C104" s="207"/>
      <c r="D104" s="265"/>
      <c r="E104" s="261"/>
      <c r="F104" s="261"/>
      <c r="G104" s="261"/>
      <c r="H104" s="261"/>
      <c r="I104" s="261"/>
      <c r="J104" s="261"/>
      <c r="K104" s="261"/>
      <c r="L104" s="261"/>
      <c r="M104" s="261"/>
      <c r="N104" s="266"/>
      <c r="O104" s="202"/>
      <c r="P104" s="2"/>
      <c r="Q104" s="209" t="str">
        <f>IF(Roster!$K$18=0,"",Roster!$K$18)</f>
        <v/>
      </c>
      <c r="R104" s="228"/>
      <c r="S104" s="383" t="str">
        <f>IF(Roster!$Z$18=0,"",Roster!$Z$18)</f>
        <v/>
      </c>
      <c r="T104" s="340"/>
      <c r="U104" s="340"/>
      <c r="V104" s="340"/>
      <c r="W104" s="340"/>
      <c r="X104" s="340"/>
      <c r="Y104" s="340"/>
      <c r="Z104" s="340"/>
      <c r="AA104" s="340"/>
      <c r="AB104" s="340"/>
      <c r="AC104" s="376"/>
      <c r="AD104" s="380"/>
      <c r="AE104" s="214"/>
      <c r="AF104" s="209" t="str">
        <f>IF(Roster!$K$19=0,"",Roster!$K$19)</f>
        <v/>
      </c>
      <c r="AG104" s="228"/>
      <c r="AH104" s="383" t="str">
        <f>IF(Roster!$Z$19=0,"",Roster!$Z$19)</f>
        <v/>
      </c>
      <c r="AI104" s="340"/>
      <c r="AJ104" s="340"/>
      <c r="AK104" s="340"/>
      <c r="AL104" s="340"/>
      <c r="AM104" s="340"/>
      <c r="AN104" s="340"/>
      <c r="AO104" s="340"/>
      <c r="AP104" s="340"/>
      <c r="AQ104" s="340"/>
      <c r="AR104" s="376"/>
      <c r="AS104" s="380"/>
      <c r="AT104" s="223"/>
      <c r="AU104" s="265"/>
      <c r="AV104" s="261"/>
      <c r="AW104" s="261"/>
      <c r="AX104" s="261"/>
      <c r="AY104" s="261"/>
      <c r="AZ104" s="261"/>
      <c r="BA104" s="261"/>
      <c r="BB104" s="261"/>
      <c r="BC104" s="261"/>
      <c r="BD104" s="261"/>
      <c r="BE104" s="261"/>
      <c r="BF104" s="261"/>
      <c r="BG104" s="261"/>
      <c r="BH104" s="266"/>
    </row>
    <row r="105" spans="1:60" ht="11.25" customHeight="1">
      <c r="A105" s="2"/>
      <c r="B105" s="206" t="str">
        <f>IF(Roster!$L$1=0,"",Roster!$L$1)</f>
        <v>AG</v>
      </c>
      <c r="C105" s="207"/>
      <c r="D105" s="265"/>
      <c r="E105" s="261"/>
      <c r="F105" s="261"/>
      <c r="G105" s="261"/>
      <c r="H105" s="261"/>
      <c r="I105" s="261"/>
      <c r="J105" s="261"/>
      <c r="K105" s="261"/>
      <c r="L105" s="261"/>
      <c r="M105" s="261"/>
      <c r="N105" s="266"/>
      <c r="O105" s="202"/>
      <c r="P105" s="2"/>
      <c r="Q105" s="206" t="str">
        <f>IF(Roster!$L$1=0,"",Roster!$L$1)</f>
        <v>AG</v>
      </c>
      <c r="R105" s="228"/>
      <c r="S105" s="265"/>
      <c r="T105" s="261"/>
      <c r="U105" s="261"/>
      <c r="V105" s="261"/>
      <c r="W105" s="261"/>
      <c r="X105" s="261"/>
      <c r="Y105" s="261"/>
      <c r="Z105" s="261"/>
      <c r="AA105" s="261"/>
      <c r="AB105" s="261"/>
      <c r="AC105" s="266"/>
      <c r="AD105" s="380"/>
      <c r="AE105" s="214"/>
      <c r="AF105" s="206" t="str">
        <f>IF(Roster!$L$1=0,"",Roster!$L$1)</f>
        <v>AG</v>
      </c>
      <c r="AG105" s="228"/>
      <c r="AH105" s="265"/>
      <c r="AI105" s="261"/>
      <c r="AJ105" s="261"/>
      <c r="AK105" s="261"/>
      <c r="AL105" s="261"/>
      <c r="AM105" s="261"/>
      <c r="AN105" s="261"/>
      <c r="AO105" s="261"/>
      <c r="AP105" s="261"/>
      <c r="AQ105" s="261"/>
      <c r="AR105" s="266"/>
      <c r="AS105" s="380"/>
      <c r="AT105" s="223"/>
      <c r="AU105" s="265"/>
      <c r="AV105" s="261"/>
      <c r="AW105" s="261"/>
      <c r="AX105" s="261"/>
      <c r="AY105" s="261"/>
      <c r="AZ105" s="261"/>
      <c r="BA105" s="261"/>
      <c r="BB105" s="261"/>
      <c r="BC105" s="261"/>
      <c r="BD105" s="261"/>
      <c r="BE105" s="261"/>
      <c r="BF105" s="261"/>
      <c r="BG105" s="261"/>
      <c r="BH105" s="266"/>
    </row>
    <row r="106" spans="1:60" ht="37.5" customHeight="1">
      <c r="A106" s="2"/>
      <c r="B106" s="209" t="str">
        <f>IF(Roster!$L$17=0&amp;"+","",Roster!$L$17)</f>
        <v/>
      </c>
      <c r="C106" s="207"/>
      <c r="D106" s="265"/>
      <c r="E106" s="261"/>
      <c r="F106" s="261"/>
      <c r="G106" s="261"/>
      <c r="H106" s="261"/>
      <c r="I106" s="261"/>
      <c r="J106" s="261"/>
      <c r="K106" s="261"/>
      <c r="L106" s="261"/>
      <c r="M106" s="261"/>
      <c r="N106" s="266"/>
      <c r="O106" s="202"/>
      <c r="P106" s="2"/>
      <c r="Q106" s="209" t="str">
        <f>IF(Roster!$L$18=0,"",Roster!$L$18)</f>
        <v/>
      </c>
      <c r="R106" s="228"/>
      <c r="S106" s="265"/>
      <c r="T106" s="261"/>
      <c r="U106" s="261"/>
      <c r="V106" s="261"/>
      <c r="W106" s="261"/>
      <c r="X106" s="261"/>
      <c r="Y106" s="261"/>
      <c r="Z106" s="261"/>
      <c r="AA106" s="261"/>
      <c r="AB106" s="261"/>
      <c r="AC106" s="266"/>
      <c r="AD106" s="380"/>
      <c r="AE106" s="214"/>
      <c r="AF106" s="209" t="str">
        <f>IF(Roster!$L$19=0,"",Roster!$L$19)</f>
        <v/>
      </c>
      <c r="AG106" s="228"/>
      <c r="AH106" s="265"/>
      <c r="AI106" s="261"/>
      <c r="AJ106" s="261"/>
      <c r="AK106" s="261"/>
      <c r="AL106" s="261"/>
      <c r="AM106" s="261"/>
      <c r="AN106" s="261"/>
      <c r="AO106" s="261"/>
      <c r="AP106" s="261"/>
      <c r="AQ106" s="261"/>
      <c r="AR106" s="266"/>
      <c r="AS106" s="380"/>
      <c r="AT106" s="223"/>
      <c r="AU106" s="265"/>
      <c r="AV106" s="261"/>
      <c r="AW106" s="261"/>
      <c r="AX106" s="261"/>
      <c r="AY106" s="261"/>
      <c r="AZ106" s="261"/>
      <c r="BA106" s="261"/>
      <c r="BB106" s="261"/>
      <c r="BC106" s="261"/>
      <c r="BD106" s="261"/>
      <c r="BE106" s="261"/>
      <c r="BF106" s="261"/>
      <c r="BG106" s="261"/>
      <c r="BH106" s="266"/>
    </row>
    <row r="107" spans="1:60" ht="11.25" customHeight="1">
      <c r="A107" s="2"/>
      <c r="B107" s="206" t="str">
        <f>IF(Roster!$M$1=0,"",Roster!$M$1)</f>
        <v>PA</v>
      </c>
      <c r="C107" s="207"/>
      <c r="D107" s="265"/>
      <c r="E107" s="261"/>
      <c r="F107" s="261"/>
      <c r="G107" s="261"/>
      <c r="H107" s="261"/>
      <c r="I107" s="261"/>
      <c r="J107" s="261"/>
      <c r="K107" s="261"/>
      <c r="L107" s="261"/>
      <c r="M107" s="261"/>
      <c r="N107" s="266"/>
      <c r="O107" s="211"/>
      <c r="P107" s="2"/>
      <c r="Q107" s="206" t="str">
        <f>IF(Roster!$M$1=0,"",Roster!$M$1)</f>
        <v>PA</v>
      </c>
      <c r="R107" s="228"/>
      <c r="S107" s="265"/>
      <c r="T107" s="261"/>
      <c r="U107" s="261"/>
      <c r="V107" s="261"/>
      <c r="W107" s="261"/>
      <c r="X107" s="261"/>
      <c r="Y107" s="261"/>
      <c r="Z107" s="261"/>
      <c r="AA107" s="261"/>
      <c r="AB107" s="261"/>
      <c r="AC107" s="266"/>
      <c r="AD107" s="380"/>
      <c r="AE107" s="214"/>
      <c r="AF107" s="206" t="str">
        <f>IF(Roster!$M$1=0,"",Roster!$M$1)</f>
        <v>PA</v>
      </c>
      <c r="AG107" s="228"/>
      <c r="AH107" s="265"/>
      <c r="AI107" s="261"/>
      <c r="AJ107" s="261"/>
      <c r="AK107" s="261"/>
      <c r="AL107" s="261"/>
      <c r="AM107" s="261"/>
      <c r="AN107" s="261"/>
      <c r="AO107" s="261"/>
      <c r="AP107" s="261"/>
      <c r="AQ107" s="261"/>
      <c r="AR107" s="266"/>
      <c r="AS107" s="380"/>
      <c r="AT107" s="223"/>
      <c r="AU107" s="265"/>
      <c r="AV107" s="261"/>
      <c r="AW107" s="261"/>
      <c r="AX107" s="261"/>
      <c r="AY107" s="261"/>
      <c r="AZ107" s="261"/>
      <c r="BA107" s="261"/>
      <c r="BB107" s="261"/>
      <c r="BC107" s="261"/>
      <c r="BD107" s="261"/>
      <c r="BE107" s="261"/>
      <c r="BF107" s="261"/>
      <c r="BG107" s="261"/>
      <c r="BH107" s="266"/>
    </row>
    <row r="108" spans="1:60" ht="6" customHeight="1">
      <c r="A108" s="2"/>
      <c r="B108" s="387" t="str">
        <f>IF(Roster!$M$17=0&amp;"+","",Roster!$M$17)</f>
        <v/>
      </c>
      <c r="C108" s="207"/>
      <c r="D108" s="267"/>
      <c r="E108" s="290"/>
      <c r="F108" s="290"/>
      <c r="G108" s="290"/>
      <c r="H108" s="290"/>
      <c r="I108" s="290"/>
      <c r="J108" s="290"/>
      <c r="K108" s="290"/>
      <c r="L108" s="290"/>
      <c r="M108" s="290"/>
      <c r="N108" s="268"/>
      <c r="O108" s="213"/>
      <c r="P108" s="2"/>
      <c r="Q108" s="387" t="str">
        <f>IF(Roster!$M$18=0,"",Roster!$M$18)</f>
        <v/>
      </c>
      <c r="R108" s="228"/>
      <c r="S108" s="265"/>
      <c r="T108" s="261"/>
      <c r="U108" s="261"/>
      <c r="V108" s="261"/>
      <c r="W108" s="261"/>
      <c r="X108" s="261"/>
      <c r="Y108" s="261"/>
      <c r="Z108" s="261"/>
      <c r="AA108" s="261"/>
      <c r="AB108" s="261"/>
      <c r="AC108" s="266"/>
      <c r="AD108" s="380"/>
      <c r="AE108" s="214"/>
      <c r="AF108" s="387" t="str">
        <f>IF(Roster!$M$19=0,"",Roster!$M$19)</f>
        <v/>
      </c>
      <c r="AG108" s="228"/>
      <c r="AH108" s="265"/>
      <c r="AI108" s="261"/>
      <c r="AJ108" s="261"/>
      <c r="AK108" s="261"/>
      <c r="AL108" s="261"/>
      <c r="AM108" s="261"/>
      <c r="AN108" s="261"/>
      <c r="AO108" s="261"/>
      <c r="AP108" s="261"/>
      <c r="AQ108" s="261"/>
      <c r="AR108" s="266"/>
      <c r="AS108" s="380"/>
      <c r="AT108" s="223"/>
      <c r="AU108" s="265"/>
      <c r="AV108" s="261"/>
      <c r="AW108" s="261"/>
      <c r="AX108" s="261"/>
      <c r="AY108" s="261"/>
      <c r="AZ108" s="261"/>
      <c r="BA108" s="261"/>
      <c r="BB108" s="261"/>
      <c r="BC108" s="261"/>
      <c r="BD108" s="261"/>
      <c r="BE108" s="261"/>
      <c r="BF108" s="261"/>
      <c r="BG108" s="261"/>
      <c r="BH108" s="266"/>
    </row>
    <row r="109" spans="1:60" ht="4.5" customHeight="1">
      <c r="A109" s="2"/>
      <c r="B109" s="241"/>
      <c r="C109" s="205"/>
      <c r="D109" s="214"/>
      <c r="E109" s="212"/>
      <c r="F109" s="214"/>
      <c r="G109" s="212"/>
      <c r="H109" s="214"/>
      <c r="I109" s="212"/>
      <c r="J109" s="214"/>
      <c r="K109" s="212"/>
      <c r="L109" s="214"/>
      <c r="M109" s="212"/>
      <c r="N109" s="214"/>
      <c r="O109" s="213"/>
      <c r="P109" s="2"/>
      <c r="Q109" s="241"/>
      <c r="R109" s="228"/>
      <c r="S109" s="265"/>
      <c r="T109" s="261"/>
      <c r="U109" s="261"/>
      <c r="V109" s="261"/>
      <c r="W109" s="261"/>
      <c r="X109" s="261"/>
      <c r="Y109" s="261"/>
      <c r="Z109" s="261"/>
      <c r="AA109" s="261"/>
      <c r="AB109" s="261"/>
      <c r="AC109" s="266"/>
      <c r="AD109" s="380"/>
      <c r="AE109" s="214"/>
      <c r="AF109" s="241"/>
      <c r="AG109" s="228"/>
      <c r="AH109" s="265"/>
      <c r="AI109" s="261"/>
      <c r="AJ109" s="261"/>
      <c r="AK109" s="261"/>
      <c r="AL109" s="261"/>
      <c r="AM109" s="261"/>
      <c r="AN109" s="261"/>
      <c r="AO109" s="261"/>
      <c r="AP109" s="261"/>
      <c r="AQ109" s="261"/>
      <c r="AR109" s="266"/>
      <c r="AS109" s="380"/>
      <c r="AT109" s="223"/>
      <c r="AU109" s="265"/>
      <c r="AV109" s="261"/>
      <c r="AW109" s="261"/>
      <c r="AX109" s="261"/>
      <c r="AY109" s="261"/>
      <c r="AZ109" s="261"/>
      <c r="BA109" s="261"/>
      <c r="BB109" s="261"/>
      <c r="BC109" s="261"/>
      <c r="BD109" s="261"/>
      <c r="BE109" s="261"/>
      <c r="BF109" s="261"/>
      <c r="BG109" s="261"/>
      <c r="BH109" s="266"/>
    </row>
    <row r="110" spans="1:60" ht="11.25" customHeight="1">
      <c r="A110" s="2"/>
      <c r="B110" s="241"/>
      <c r="C110" s="205"/>
      <c r="D110" s="373" t="str">
        <f>IF(Roster!$J$24="Español","HABILIDADES Y RASGOS","SKILLS &amp; TRAITS")</f>
        <v>SKILLS &amp; TRAITS</v>
      </c>
      <c r="E110" s="270"/>
      <c r="F110" s="270"/>
      <c r="G110" s="270"/>
      <c r="H110" s="270"/>
      <c r="I110" s="270"/>
      <c r="J110" s="270"/>
      <c r="K110" s="270"/>
      <c r="L110" s="270"/>
      <c r="M110" s="270"/>
      <c r="N110" s="374"/>
      <c r="O110" s="213"/>
      <c r="P110" s="2"/>
      <c r="Q110" s="241"/>
      <c r="R110" s="228"/>
      <c r="S110" s="265"/>
      <c r="T110" s="261"/>
      <c r="U110" s="261"/>
      <c r="V110" s="261"/>
      <c r="W110" s="261"/>
      <c r="X110" s="261"/>
      <c r="Y110" s="261"/>
      <c r="Z110" s="261"/>
      <c r="AA110" s="261"/>
      <c r="AB110" s="261"/>
      <c r="AC110" s="266"/>
      <c r="AD110" s="380"/>
      <c r="AE110" s="214"/>
      <c r="AF110" s="241"/>
      <c r="AG110" s="228"/>
      <c r="AH110" s="265"/>
      <c r="AI110" s="261"/>
      <c r="AJ110" s="261"/>
      <c r="AK110" s="261"/>
      <c r="AL110" s="261"/>
      <c r="AM110" s="261"/>
      <c r="AN110" s="261"/>
      <c r="AO110" s="261"/>
      <c r="AP110" s="261"/>
      <c r="AQ110" s="261"/>
      <c r="AR110" s="266"/>
      <c r="AS110" s="380"/>
      <c r="AT110" s="223"/>
      <c r="AU110" s="265"/>
      <c r="AV110" s="261"/>
      <c r="AW110" s="261"/>
      <c r="AX110" s="261"/>
      <c r="AY110" s="261"/>
      <c r="AZ110" s="261"/>
      <c r="BA110" s="261"/>
      <c r="BB110" s="261"/>
      <c r="BC110" s="261"/>
      <c r="BD110" s="261"/>
      <c r="BE110" s="261"/>
      <c r="BF110" s="261"/>
      <c r="BG110" s="261"/>
      <c r="BH110" s="266"/>
    </row>
    <row r="111" spans="1:60" ht="15" customHeight="1">
      <c r="A111" s="2"/>
      <c r="B111" s="241"/>
      <c r="C111" s="208"/>
      <c r="D111" s="375" t="str">
        <f>IF(Roster!$O$17=0&amp;$BF$17,"",Roster!$O$17)</f>
        <v/>
      </c>
      <c r="E111" s="340"/>
      <c r="F111" s="340"/>
      <c r="G111" s="340"/>
      <c r="H111" s="340"/>
      <c r="I111" s="340"/>
      <c r="J111" s="340"/>
      <c r="K111" s="340"/>
      <c r="L111" s="340"/>
      <c r="M111" s="340"/>
      <c r="N111" s="376"/>
      <c r="O111" s="213"/>
      <c r="P111" s="2"/>
      <c r="Q111" s="241"/>
      <c r="R111" s="228"/>
      <c r="S111" s="384"/>
      <c r="T111" s="344"/>
      <c r="U111" s="344"/>
      <c r="V111" s="344"/>
      <c r="W111" s="344"/>
      <c r="X111" s="344"/>
      <c r="Y111" s="344"/>
      <c r="Z111" s="344"/>
      <c r="AA111" s="344"/>
      <c r="AB111" s="344"/>
      <c r="AC111" s="385"/>
      <c r="AD111" s="380"/>
      <c r="AE111" s="214"/>
      <c r="AF111" s="241"/>
      <c r="AG111" s="228"/>
      <c r="AH111" s="384"/>
      <c r="AI111" s="344"/>
      <c r="AJ111" s="344"/>
      <c r="AK111" s="344"/>
      <c r="AL111" s="344"/>
      <c r="AM111" s="344"/>
      <c r="AN111" s="344"/>
      <c r="AO111" s="344"/>
      <c r="AP111" s="344"/>
      <c r="AQ111" s="344"/>
      <c r="AR111" s="385"/>
      <c r="AS111" s="380"/>
      <c r="AT111" s="223"/>
      <c r="AU111" s="265"/>
      <c r="AV111" s="261"/>
      <c r="AW111" s="261"/>
      <c r="AX111" s="261"/>
      <c r="AY111" s="261"/>
      <c r="AZ111" s="261"/>
      <c r="BA111" s="261"/>
      <c r="BB111" s="261"/>
      <c r="BC111" s="261"/>
      <c r="BD111" s="261"/>
      <c r="BE111" s="261"/>
      <c r="BF111" s="261"/>
      <c r="BG111" s="261"/>
      <c r="BH111" s="266"/>
    </row>
    <row r="112" spans="1:60" ht="4.5" customHeight="1">
      <c r="A112" s="2"/>
      <c r="B112" s="242"/>
      <c r="C112" s="208"/>
      <c r="D112" s="265"/>
      <c r="E112" s="261"/>
      <c r="F112" s="261"/>
      <c r="G112" s="261"/>
      <c r="H112" s="261"/>
      <c r="I112" s="261"/>
      <c r="J112" s="261"/>
      <c r="K112" s="261"/>
      <c r="L112" s="261"/>
      <c r="M112" s="261"/>
      <c r="N112" s="266"/>
      <c r="O112" s="213"/>
      <c r="P112" s="2"/>
      <c r="Q112" s="242"/>
      <c r="R112" s="228"/>
      <c r="S112" s="388"/>
      <c r="T112" s="233"/>
      <c r="U112" s="233"/>
      <c r="V112" s="233"/>
      <c r="W112" s="233"/>
      <c r="X112" s="233"/>
      <c r="Y112" s="233"/>
      <c r="Z112" s="233"/>
      <c r="AA112" s="233"/>
      <c r="AB112" s="233"/>
      <c r="AC112" s="251"/>
      <c r="AD112" s="380"/>
      <c r="AE112" s="214"/>
      <c r="AF112" s="242"/>
      <c r="AG112" s="228"/>
      <c r="AH112" s="388"/>
      <c r="AI112" s="233"/>
      <c r="AJ112" s="233"/>
      <c r="AK112" s="233"/>
      <c r="AL112" s="233"/>
      <c r="AM112" s="233"/>
      <c r="AN112" s="233"/>
      <c r="AO112" s="233"/>
      <c r="AP112" s="233"/>
      <c r="AQ112" s="233"/>
      <c r="AR112" s="251"/>
      <c r="AS112" s="380"/>
      <c r="AT112" s="223"/>
      <c r="AU112" s="265"/>
      <c r="AV112" s="261"/>
      <c r="AW112" s="261"/>
      <c r="AX112" s="261"/>
      <c r="AY112" s="261"/>
      <c r="AZ112" s="261"/>
      <c r="BA112" s="261"/>
      <c r="BB112" s="261"/>
      <c r="BC112" s="261"/>
      <c r="BD112" s="261"/>
      <c r="BE112" s="261"/>
      <c r="BF112" s="261"/>
      <c r="BG112" s="261"/>
      <c r="BH112" s="266"/>
    </row>
    <row r="113" spans="1:60" ht="11.25" customHeight="1">
      <c r="A113" s="2"/>
      <c r="B113" s="206" t="str">
        <f>IF(Roster!$N$1=0,"",Roster!$N$1)</f>
        <v>AV</v>
      </c>
      <c r="C113" s="207"/>
      <c r="D113" s="265"/>
      <c r="E113" s="261"/>
      <c r="F113" s="261"/>
      <c r="G113" s="261"/>
      <c r="H113" s="261"/>
      <c r="I113" s="261"/>
      <c r="J113" s="261"/>
      <c r="K113" s="261"/>
      <c r="L113" s="261"/>
      <c r="M113" s="261"/>
      <c r="N113" s="266"/>
      <c r="O113" s="202"/>
      <c r="P113" s="2"/>
      <c r="Q113" s="206" t="str">
        <f>IF(Roster!$N$1=0,"",Roster!$N$1)</f>
        <v>AV</v>
      </c>
      <c r="R113" s="228"/>
      <c r="S113" s="389" t="str">
        <f>IF(Roster!$J$24="Español","HABILIDADES Y RASGOS","SKILLS &amp; TRAITS")</f>
        <v>SKILLS &amp; TRAITS</v>
      </c>
      <c r="T113" s="236"/>
      <c r="U113" s="236"/>
      <c r="V113" s="236"/>
      <c r="W113" s="236"/>
      <c r="X113" s="236"/>
      <c r="Y113" s="236"/>
      <c r="Z113" s="236"/>
      <c r="AA113" s="236"/>
      <c r="AB113" s="236"/>
      <c r="AC113" s="390"/>
      <c r="AD113" s="380"/>
      <c r="AE113" s="214"/>
      <c r="AF113" s="206" t="str">
        <f>IF(Roster!$N$1=0,"",Roster!$N$1)</f>
        <v>AV</v>
      </c>
      <c r="AG113" s="228"/>
      <c r="AH113" s="389" t="str">
        <f>IF(Roster!$J$24="Español","HABILIDADES Y RASGOS","SKILLS &amp; TRAITS")</f>
        <v>SKILLS &amp; TRAITS</v>
      </c>
      <c r="AI113" s="236"/>
      <c r="AJ113" s="236"/>
      <c r="AK113" s="236"/>
      <c r="AL113" s="236"/>
      <c r="AM113" s="236"/>
      <c r="AN113" s="236"/>
      <c r="AO113" s="236"/>
      <c r="AP113" s="236"/>
      <c r="AQ113" s="236"/>
      <c r="AR113" s="390"/>
      <c r="AS113" s="380"/>
      <c r="AT113" s="223"/>
      <c r="AU113" s="265"/>
      <c r="AV113" s="261"/>
      <c r="AW113" s="261"/>
      <c r="AX113" s="261"/>
      <c r="AY113" s="261"/>
      <c r="AZ113" s="261"/>
      <c r="BA113" s="261"/>
      <c r="BB113" s="261"/>
      <c r="BC113" s="261"/>
      <c r="BD113" s="261"/>
      <c r="BE113" s="261"/>
      <c r="BF113" s="261"/>
      <c r="BG113" s="261"/>
      <c r="BH113" s="266"/>
    </row>
    <row r="114" spans="1:60" ht="15" customHeight="1">
      <c r="A114" s="2"/>
      <c r="B114" s="387" t="str">
        <f>IF(Roster!$N$17=0&amp;"+","",Roster!$N$17)</f>
        <v/>
      </c>
      <c r="C114" s="208"/>
      <c r="D114" s="265"/>
      <c r="E114" s="261"/>
      <c r="F114" s="261"/>
      <c r="G114" s="261"/>
      <c r="H114" s="261"/>
      <c r="I114" s="261"/>
      <c r="J114" s="261"/>
      <c r="K114" s="261"/>
      <c r="L114" s="261"/>
      <c r="M114" s="261"/>
      <c r="N114" s="266"/>
      <c r="O114" s="215"/>
      <c r="P114" s="2"/>
      <c r="Q114" s="387" t="str">
        <f>IF(Roster!$N$18=0,"",Roster!$N$18)</f>
        <v/>
      </c>
      <c r="R114" s="228"/>
      <c r="S114" s="391" t="str">
        <f>IF(Roster!$O$18=0,"",Roster!$O$18)</f>
        <v/>
      </c>
      <c r="T114" s="340"/>
      <c r="U114" s="340"/>
      <c r="V114" s="340"/>
      <c r="W114" s="340"/>
      <c r="X114" s="340"/>
      <c r="Y114" s="340"/>
      <c r="Z114" s="340"/>
      <c r="AA114" s="340"/>
      <c r="AB114" s="340"/>
      <c r="AC114" s="376"/>
      <c r="AD114" s="380"/>
      <c r="AE114" s="214"/>
      <c r="AF114" s="387" t="str">
        <f>IF(Roster!$N$19=0,"",Roster!$N$19)</f>
        <v/>
      </c>
      <c r="AG114" s="228"/>
      <c r="AH114" s="391" t="str">
        <f>IF(Roster!$O$19=0,"",Roster!$O$19)</f>
        <v/>
      </c>
      <c r="AI114" s="340"/>
      <c r="AJ114" s="340"/>
      <c r="AK114" s="340"/>
      <c r="AL114" s="340"/>
      <c r="AM114" s="340"/>
      <c r="AN114" s="340"/>
      <c r="AO114" s="340"/>
      <c r="AP114" s="340"/>
      <c r="AQ114" s="340"/>
      <c r="AR114" s="376"/>
      <c r="AS114" s="380"/>
      <c r="AT114" s="223"/>
      <c r="AU114" s="265"/>
      <c r="AV114" s="261"/>
      <c r="AW114" s="261"/>
      <c r="AX114" s="261"/>
      <c r="AY114" s="261"/>
      <c r="AZ114" s="261"/>
      <c r="BA114" s="261"/>
      <c r="BB114" s="261"/>
      <c r="BC114" s="261"/>
      <c r="BD114" s="261"/>
      <c r="BE114" s="261"/>
      <c r="BF114" s="261"/>
      <c r="BG114" s="261"/>
      <c r="BH114" s="266"/>
    </row>
    <row r="115" spans="1:60" ht="4.5" customHeight="1">
      <c r="A115" s="2"/>
      <c r="B115" s="241"/>
      <c r="C115" s="208"/>
      <c r="D115" s="265"/>
      <c r="E115" s="261"/>
      <c r="F115" s="261"/>
      <c r="G115" s="261"/>
      <c r="H115" s="261"/>
      <c r="I115" s="261"/>
      <c r="J115" s="261"/>
      <c r="K115" s="261"/>
      <c r="L115" s="261"/>
      <c r="M115" s="261"/>
      <c r="N115" s="266"/>
      <c r="O115" s="215"/>
      <c r="P115" s="2"/>
      <c r="Q115" s="241"/>
      <c r="R115" s="228"/>
      <c r="S115" s="265"/>
      <c r="T115" s="261"/>
      <c r="U115" s="261"/>
      <c r="V115" s="261"/>
      <c r="W115" s="261"/>
      <c r="X115" s="261"/>
      <c r="Y115" s="261"/>
      <c r="Z115" s="261"/>
      <c r="AA115" s="261"/>
      <c r="AB115" s="261"/>
      <c r="AC115" s="266"/>
      <c r="AD115" s="380"/>
      <c r="AE115" s="214"/>
      <c r="AF115" s="241"/>
      <c r="AG115" s="228"/>
      <c r="AH115" s="265"/>
      <c r="AI115" s="261"/>
      <c r="AJ115" s="261"/>
      <c r="AK115" s="261"/>
      <c r="AL115" s="261"/>
      <c r="AM115" s="261"/>
      <c r="AN115" s="261"/>
      <c r="AO115" s="261"/>
      <c r="AP115" s="261"/>
      <c r="AQ115" s="261"/>
      <c r="AR115" s="266"/>
      <c r="AS115" s="380"/>
      <c r="AT115" s="223"/>
      <c r="AU115" s="265"/>
      <c r="AV115" s="261"/>
      <c r="AW115" s="261"/>
      <c r="AX115" s="261"/>
      <c r="AY115" s="261"/>
      <c r="AZ115" s="261"/>
      <c r="BA115" s="261"/>
      <c r="BB115" s="261"/>
      <c r="BC115" s="261"/>
      <c r="BD115" s="261"/>
      <c r="BE115" s="261"/>
      <c r="BF115" s="261"/>
      <c r="BG115" s="261"/>
      <c r="BH115" s="266"/>
    </row>
    <row r="116" spans="1:60" ht="11.25" customHeight="1">
      <c r="A116" s="2"/>
      <c r="B116" s="241"/>
      <c r="C116" s="208"/>
      <c r="D116" s="265"/>
      <c r="E116" s="261"/>
      <c r="F116" s="261"/>
      <c r="G116" s="261"/>
      <c r="H116" s="261"/>
      <c r="I116" s="261"/>
      <c r="J116" s="261"/>
      <c r="K116" s="261"/>
      <c r="L116" s="261"/>
      <c r="M116" s="261"/>
      <c r="N116" s="266"/>
      <c r="O116" s="215"/>
      <c r="P116" s="2"/>
      <c r="Q116" s="241"/>
      <c r="R116" s="228"/>
      <c r="S116" s="265"/>
      <c r="T116" s="261"/>
      <c r="U116" s="261"/>
      <c r="V116" s="261"/>
      <c r="W116" s="261"/>
      <c r="X116" s="261"/>
      <c r="Y116" s="261"/>
      <c r="Z116" s="261"/>
      <c r="AA116" s="261"/>
      <c r="AB116" s="261"/>
      <c r="AC116" s="266"/>
      <c r="AD116" s="380"/>
      <c r="AE116" s="214"/>
      <c r="AF116" s="241"/>
      <c r="AG116" s="228"/>
      <c r="AH116" s="265"/>
      <c r="AI116" s="261"/>
      <c r="AJ116" s="261"/>
      <c r="AK116" s="261"/>
      <c r="AL116" s="261"/>
      <c r="AM116" s="261"/>
      <c r="AN116" s="261"/>
      <c r="AO116" s="261"/>
      <c r="AP116" s="261"/>
      <c r="AQ116" s="261"/>
      <c r="AR116" s="266"/>
      <c r="AS116" s="380"/>
      <c r="AT116" s="223"/>
      <c r="AU116" s="265"/>
      <c r="AV116" s="261"/>
      <c r="AW116" s="261"/>
      <c r="AX116" s="261"/>
      <c r="AY116" s="261"/>
      <c r="AZ116" s="261"/>
      <c r="BA116" s="261"/>
      <c r="BB116" s="261"/>
      <c r="BC116" s="261"/>
      <c r="BD116" s="261"/>
      <c r="BE116" s="261"/>
      <c r="BF116" s="261"/>
      <c r="BG116" s="261"/>
      <c r="BH116" s="266"/>
    </row>
    <row r="117" spans="1:60" ht="6.75" customHeight="1">
      <c r="A117" s="2"/>
      <c r="B117" s="242"/>
      <c r="C117" s="208"/>
      <c r="D117" s="265"/>
      <c r="E117" s="261"/>
      <c r="F117" s="261"/>
      <c r="G117" s="261"/>
      <c r="H117" s="261"/>
      <c r="I117" s="261"/>
      <c r="J117" s="261"/>
      <c r="K117" s="261"/>
      <c r="L117" s="261"/>
      <c r="M117" s="261"/>
      <c r="N117" s="266"/>
      <c r="O117" s="215"/>
      <c r="P117" s="2"/>
      <c r="Q117" s="242"/>
      <c r="R117" s="228"/>
      <c r="S117" s="265"/>
      <c r="T117" s="261"/>
      <c r="U117" s="261"/>
      <c r="V117" s="261"/>
      <c r="W117" s="261"/>
      <c r="X117" s="261"/>
      <c r="Y117" s="261"/>
      <c r="Z117" s="261"/>
      <c r="AA117" s="261"/>
      <c r="AB117" s="261"/>
      <c r="AC117" s="266"/>
      <c r="AD117" s="380"/>
      <c r="AE117" s="214"/>
      <c r="AF117" s="242"/>
      <c r="AG117" s="228"/>
      <c r="AH117" s="265"/>
      <c r="AI117" s="261"/>
      <c r="AJ117" s="261"/>
      <c r="AK117" s="261"/>
      <c r="AL117" s="261"/>
      <c r="AM117" s="261"/>
      <c r="AN117" s="261"/>
      <c r="AO117" s="261"/>
      <c r="AP117" s="261"/>
      <c r="AQ117" s="261"/>
      <c r="AR117" s="266"/>
      <c r="AS117" s="380"/>
      <c r="AT117" s="223"/>
      <c r="AU117" s="265"/>
      <c r="AV117" s="261"/>
      <c r="AW117" s="261"/>
      <c r="AX117" s="261"/>
      <c r="AY117" s="261"/>
      <c r="AZ117" s="261"/>
      <c r="BA117" s="261"/>
      <c r="BB117" s="261"/>
      <c r="BC117" s="261"/>
      <c r="BD117" s="261"/>
      <c r="BE117" s="261"/>
      <c r="BF117" s="261"/>
      <c r="BG117" s="261"/>
      <c r="BH117" s="266"/>
    </row>
    <row r="118" spans="1:60" ht="11.25" customHeight="1">
      <c r="A118" s="2"/>
      <c r="B118" s="206" t="str">
        <f>IF(Roster!$AN$1=0,"",Roster!$AN$1)</f>
        <v>COST</v>
      </c>
      <c r="C118" s="207"/>
      <c r="D118" s="265"/>
      <c r="E118" s="261"/>
      <c r="F118" s="261"/>
      <c r="G118" s="261"/>
      <c r="H118" s="261"/>
      <c r="I118" s="261"/>
      <c r="J118" s="261"/>
      <c r="K118" s="261"/>
      <c r="L118" s="261"/>
      <c r="M118" s="261"/>
      <c r="N118" s="266"/>
      <c r="O118" s="218"/>
      <c r="P118" s="2"/>
      <c r="Q118" s="206" t="str">
        <f>IF(Roster!$AN$1=0,"",Roster!$AN$1)</f>
        <v>COST</v>
      </c>
      <c r="R118" s="228"/>
      <c r="S118" s="265"/>
      <c r="T118" s="261"/>
      <c r="U118" s="261"/>
      <c r="V118" s="261"/>
      <c r="W118" s="261"/>
      <c r="X118" s="261"/>
      <c r="Y118" s="261"/>
      <c r="Z118" s="261"/>
      <c r="AA118" s="261"/>
      <c r="AB118" s="261"/>
      <c r="AC118" s="266"/>
      <c r="AD118" s="380"/>
      <c r="AE118" s="214"/>
      <c r="AF118" s="206" t="str">
        <f>IF(Roster!$AN$1=0,"",Roster!$AN$1)</f>
        <v>COST</v>
      </c>
      <c r="AG118" s="228"/>
      <c r="AH118" s="265"/>
      <c r="AI118" s="261"/>
      <c r="AJ118" s="261"/>
      <c r="AK118" s="261"/>
      <c r="AL118" s="261"/>
      <c r="AM118" s="261"/>
      <c r="AN118" s="261"/>
      <c r="AO118" s="261"/>
      <c r="AP118" s="261"/>
      <c r="AQ118" s="261"/>
      <c r="AR118" s="266"/>
      <c r="AS118" s="380"/>
      <c r="AT118" s="223"/>
      <c r="AU118" s="265"/>
      <c r="AV118" s="261"/>
      <c r="AW118" s="261"/>
      <c r="AX118" s="261"/>
      <c r="AY118" s="261"/>
      <c r="AZ118" s="261"/>
      <c r="BA118" s="261"/>
      <c r="BB118" s="261"/>
      <c r="BC118" s="261"/>
      <c r="BD118" s="261"/>
      <c r="BE118" s="261"/>
      <c r="BF118" s="261"/>
      <c r="BG118" s="261"/>
      <c r="BH118" s="266"/>
    </row>
    <row r="119" spans="1:60" ht="34.5" customHeight="1">
      <c r="A119" s="2"/>
      <c r="B119" s="220" t="str">
        <f>IF(Roster!$AN$17=0,"",Roster!$AN$17)</f>
        <v/>
      </c>
      <c r="C119" s="221"/>
      <c r="D119" s="267"/>
      <c r="E119" s="290"/>
      <c r="F119" s="290"/>
      <c r="G119" s="290"/>
      <c r="H119" s="290"/>
      <c r="I119" s="290"/>
      <c r="J119" s="290"/>
      <c r="K119" s="290"/>
      <c r="L119" s="290"/>
      <c r="M119" s="290"/>
      <c r="N119" s="268"/>
      <c r="O119" s="218"/>
      <c r="P119" s="2"/>
      <c r="Q119" s="220" t="str">
        <f>IF(Roster!$AN$18=0,"",Roster!$AN$18)</f>
        <v/>
      </c>
      <c r="R119" s="229"/>
      <c r="S119" s="267"/>
      <c r="T119" s="290"/>
      <c r="U119" s="290"/>
      <c r="V119" s="290"/>
      <c r="W119" s="290"/>
      <c r="X119" s="290"/>
      <c r="Y119" s="290"/>
      <c r="Z119" s="290"/>
      <c r="AA119" s="290"/>
      <c r="AB119" s="290"/>
      <c r="AC119" s="268"/>
      <c r="AD119" s="381"/>
      <c r="AE119" s="214"/>
      <c r="AF119" s="220" t="str">
        <f>IF(Roster!$AN$19=0,"",Roster!$AN$19)</f>
        <v/>
      </c>
      <c r="AG119" s="229"/>
      <c r="AH119" s="267"/>
      <c r="AI119" s="290"/>
      <c r="AJ119" s="290"/>
      <c r="AK119" s="290"/>
      <c r="AL119" s="290"/>
      <c r="AM119" s="290"/>
      <c r="AN119" s="290"/>
      <c r="AO119" s="290"/>
      <c r="AP119" s="290"/>
      <c r="AQ119" s="290"/>
      <c r="AR119" s="268"/>
      <c r="AS119" s="381"/>
      <c r="AT119" s="223"/>
      <c r="AU119" s="265"/>
      <c r="AV119" s="261"/>
      <c r="AW119" s="261"/>
      <c r="AX119" s="261"/>
      <c r="AY119" s="261"/>
      <c r="AZ119" s="261"/>
      <c r="BA119" s="261"/>
      <c r="BB119" s="261"/>
      <c r="BC119" s="261"/>
      <c r="BD119" s="261"/>
      <c r="BE119" s="261"/>
      <c r="BF119" s="261"/>
      <c r="BG119" s="261"/>
      <c r="BH119" s="266"/>
    </row>
    <row r="120" spans="1:60" ht="4.5" customHeight="1">
      <c r="A120" s="2"/>
      <c r="B120" s="370"/>
      <c r="C120" s="273"/>
      <c r="D120" s="273"/>
      <c r="E120" s="273"/>
      <c r="F120" s="273"/>
      <c r="G120" s="273"/>
      <c r="H120" s="273"/>
      <c r="I120" s="273"/>
      <c r="J120" s="273"/>
      <c r="K120" s="273"/>
      <c r="L120" s="273"/>
      <c r="M120" s="273"/>
      <c r="N120" s="274"/>
      <c r="O120" s="222"/>
      <c r="P120" s="2"/>
      <c r="Q120" s="372"/>
      <c r="R120" s="273"/>
      <c r="S120" s="273"/>
      <c r="T120" s="273"/>
      <c r="U120" s="273"/>
      <c r="V120" s="273"/>
      <c r="W120" s="273"/>
      <c r="X120" s="273"/>
      <c r="Y120" s="273"/>
      <c r="Z120" s="273"/>
      <c r="AA120" s="273"/>
      <c r="AB120" s="273"/>
      <c r="AC120" s="273"/>
      <c r="AD120" s="301"/>
      <c r="AE120" s="223"/>
      <c r="AF120" s="372"/>
      <c r="AG120" s="273"/>
      <c r="AH120" s="273"/>
      <c r="AI120" s="273"/>
      <c r="AJ120" s="273"/>
      <c r="AK120" s="273"/>
      <c r="AL120" s="273"/>
      <c r="AM120" s="273"/>
      <c r="AN120" s="273"/>
      <c r="AO120" s="273"/>
      <c r="AP120" s="273"/>
      <c r="AQ120" s="273"/>
      <c r="AR120" s="273"/>
      <c r="AS120" s="301"/>
      <c r="AT120" s="223"/>
      <c r="AU120" s="267"/>
      <c r="AV120" s="290"/>
      <c r="AW120" s="290"/>
      <c r="AX120" s="290"/>
      <c r="AY120" s="290"/>
      <c r="AZ120" s="290"/>
      <c r="BA120" s="290"/>
      <c r="BB120" s="290"/>
      <c r="BC120" s="290"/>
      <c r="BD120" s="290"/>
      <c r="BE120" s="290"/>
      <c r="BF120" s="290"/>
      <c r="BG120" s="290"/>
      <c r="BH120" s="268"/>
    </row>
    <row r="121" spans="1:60" ht="10.5" customHeight="1">
      <c r="A121" s="2"/>
      <c r="B121" s="2"/>
      <c r="C121" s="2"/>
      <c r="D121" s="2"/>
      <c r="E121" s="2"/>
      <c r="F121" s="2"/>
      <c r="G121" s="2"/>
      <c r="H121" s="2"/>
      <c r="I121" s="2"/>
      <c r="J121" s="2"/>
      <c r="K121" s="2"/>
      <c r="L121" s="2"/>
      <c r="M121" s="2"/>
      <c r="N121" s="2"/>
      <c r="O121" s="2"/>
      <c r="P121" s="2"/>
      <c r="Q121" s="223"/>
      <c r="R121" s="223"/>
      <c r="S121" s="223"/>
      <c r="T121" s="223"/>
      <c r="U121" s="223"/>
      <c r="V121" s="223"/>
      <c r="W121" s="223"/>
      <c r="X121" s="223"/>
      <c r="Y121" s="223"/>
      <c r="Z121" s="223"/>
      <c r="AA121" s="223"/>
      <c r="AB121" s="223"/>
      <c r="AC121" s="223"/>
      <c r="AD121" s="223"/>
      <c r="AE121" s="223"/>
      <c r="AF121" s="223"/>
      <c r="AG121" s="223"/>
      <c r="AH121" s="223"/>
      <c r="AI121" s="223"/>
      <c r="AJ121" s="223"/>
      <c r="AK121" s="223"/>
      <c r="AL121" s="223"/>
      <c r="AM121" s="223"/>
      <c r="AN121" s="223"/>
      <c r="AO121" s="223"/>
      <c r="AP121" s="223"/>
      <c r="AQ121" s="223"/>
      <c r="AR121" s="223"/>
      <c r="AS121" s="223"/>
      <c r="AT121" s="223"/>
      <c r="AU121" s="2"/>
      <c r="AV121" s="2"/>
      <c r="AW121" s="2"/>
      <c r="AX121" s="2"/>
      <c r="AY121" s="2"/>
      <c r="AZ121" s="2"/>
      <c r="BA121" s="2"/>
      <c r="BB121" s="2"/>
      <c r="BC121" s="2"/>
      <c r="BD121" s="2"/>
      <c r="BE121" s="2"/>
      <c r="BF121" s="2"/>
      <c r="BG121" s="2"/>
      <c r="BH121" s="2"/>
    </row>
    <row r="122" spans="1:60" ht="12.75" hidden="1"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row>
    <row r="123" spans="1:60" ht="12.75" hidden="1"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row>
    <row r="124" spans="1:60" ht="12.75" hidden="1"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row>
    <row r="125" spans="1:60" ht="12.75" hidden="1"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row>
    <row r="126" spans="1:60" ht="12.75" hidden="1"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row>
    <row r="127" spans="1:60" ht="12.75" hidden="1"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row>
    <row r="128" spans="1:60" ht="12.75" hidden="1"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row>
    <row r="129" spans="1:60" ht="12.75" hidden="1"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row>
    <row r="130" spans="1:60" ht="12.75" hidden="1"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row>
    <row r="131" spans="1:60" ht="12.75" hidden="1"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row>
    <row r="132" spans="1:60" ht="12.75" hidden="1"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row>
    <row r="133" spans="1:60" ht="12.75" hidden="1"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row>
    <row r="134" spans="1:60" ht="12.75" hidden="1"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row>
    <row r="135" spans="1:60" ht="12.75" hidden="1"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row>
    <row r="136" spans="1:60" ht="12.75" hidden="1"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row>
    <row r="137" spans="1:60" ht="12.75" hidden="1"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row>
    <row r="138" spans="1:60" ht="12.75" hidden="1"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row>
    <row r="139" spans="1:60" ht="12.75" hidden="1"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row>
    <row r="140" spans="1:60" ht="12.75" hidden="1"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row>
    <row r="141" spans="1:60" ht="12.75" hidden="1"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row>
    <row r="142" spans="1:60" ht="12.75" hidden="1"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row>
    <row r="143" spans="1:60" ht="12.75" hidden="1"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row>
    <row r="144" spans="1:60" ht="12.75" hidden="1"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row>
    <row r="145" spans="1:60" ht="12.75" hidden="1"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row>
    <row r="146" spans="1:60" ht="12.75" hidden="1"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row>
    <row r="147" spans="1:60" ht="12.75" hidden="1"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row>
    <row r="148" spans="1:60" ht="12.75" hidden="1"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row>
    <row r="149" spans="1:60" ht="12.75" hidden="1"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row>
    <row r="150" spans="1:60" ht="12.75" hidden="1"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row>
    <row r="151" spans="1:60" ht="12.75" hidden="1"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row>
    <row r="152" spans="1:60" ht="12.75" hidden="1"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row>
    <row r="153" spans="1:60" ht="12.75" hidden="1"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row>
    <row r="154" spans="1:60" ht="12.75" hidden="1"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row>
    <row r="155" spans="1:60" ht="12.75" hidden="1"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row>
    <row r="156" spans="1:60" ht="12.75" hidden="1"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row>
    <row r="157" spans="1:60" ht="12.75" hidden="1"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row>
    <row r="158" spans="1:60" ht="12.75" hidden="1"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row>
    <row r="159" spans="1:60" ht="12.75" hidden="1"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row>
    <row r="160" spans="1:60" ht="12.75" hidden="1"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row>
    <row r="161" spans="1:60" ht="12.75" hidden="1"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row>
    <row r="162" spans="1:60" ht="12.75" hidden="1"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row>
    <row r="163" spans="1:60" ht="12.75" hidden="1"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row>
    <row r="164" spans="1:60" ht="12.75" hidden="1"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row>
    <row r="165" spans="1:60" ht="12.75" hidden="1"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row>
    <row r="166" spans="1:60" ht="12.75" hidden="1"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row>
    <row r="167" spans="1:60" ht="12.75" hidden="1"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row>
    <row r="168" spans="1:60" ht="12.75" hidden="1"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row>
    <row r="169" spans="1:60" ht="12.75" hidden="1"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row>
    <row r="170" spans="1:60" ht="12.75" hidden="1"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row>
    <row r="171" spans="1:60" ht="12.75" hidden="1"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row>
    <row r="172" spans="1:60" ht="12.75" hidden="1"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row>
    <row r="173" spans="1:60" ht="12.75" hidden="1"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row>
    <row r="174" spans="1:60" ht="12.75" hidden="1"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row>
    <row r="175" spans="1:60" ht="12.75" hidden="1"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row>
    <row r="176" spans="1:60" ht="12.75" hidden="1"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row>
    <row r="177" spans="1:60" ht="12.75" hidden="1"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row>
    <row r="178" spans="1:60" ht="12.75" hidden="1"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row>
    <row r="179" spans="1:60" ht="12.75" hidden="1"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row>
    <row r="180" spans="1:60" ht="12.75" hidden="1"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row>
    <row r="181" spans="1:60" ht="12.75" hidden="1"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row>
    <row r="182" spans="1:60" ht="12.75" hidden="1"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row>
    <row r="183" spans="1:60" ht="12.75" hidden="1"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row>
    <row r="184" spans="1:60" ht="12.75" hidden="1"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row>
    <row r="185" spans="1:60" ht="12.75" hidden="1"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row>
    <row r="186" spans="1:60" ht="12.75" hidden="1"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row>
    <row r="187" spans="1:60" ht="12.75" hidden="1"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row>
    <row r="188" spans="1:60" ht="12.75" hidden="1"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row>
    <row r="189" spans="1:60" ht="12.75" hidden="1"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row>
    <row r="190" spans="1:60" ht="12.75" hidden="1"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row>
    <row r="191" spans="1:60" ht="12.75" hidden="1"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row>
    <row r="192" spans="1:60" ht="12.75" hidden="1"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row>
    <row r="193" spans="1:60" ht="12.75" hidden="1"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row>
    <row r="194" spans="1:60" ht="12.75" hidden="1"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row>
    <row r="195" spans="1:60" ht="12.75" hidden="1"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row>
    <row r="196" spans="1:60" ht="12.75" hidden="1"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row>
    <row r="197" spans="1:60" ht="12.75" hidden="1"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row>
    <row r="198" spans="1:60" ht="12.75" hidden="1"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row>
    <row r="199" spans="1:60" ht="12.75" hidden="1"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row>
    <row r="200" spans="1:60" ht="12.75" hidden="1"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row>
    <row r="201" spans="1:60" ht="12.75" hidden="1"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row>
    <row r="202" spans="1:60" ht="12.75" hidden="1"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row>
    <row r="203" spans="1:60" ht="12.75" hidden="1"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row>
    <row r="204" spans="1:60" ht="12.75" hidden="1"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row>
    <row r="205" spans="1:60" ht="12.75" hidden="1"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row>
    <row r="206" spans="1:60" ht="12.75" hidden="1"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row>
    <row r="207" spans="1:60" ht="12.75" hidden="1"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row>
    <row r="208" spans="1:60" ht="12.75" hidden="1"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row>
    <row r="209" spans="1:60" ht="12.75" hidden="1"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row>
    <row r="210" spans="1:60" ht="12.75" hidden="1"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row>
    <row r="211" spans="1:60" ht="12.75" hidden="1"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row>
    <row r="212" spans="1:60" ht="12.75" hidden="1"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row>
    <row r="213" spans="1:60" ht="12.75" hidden="1"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row>
    <row r="214" spans="1:60" ht="12.75" hidden="1"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row>
    <row r="215" spans="1:60" ht="12.75" hidden="1"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row>
    <row r="216" spans="1:60" ht="12.75" hidden="1"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row>
    <row r="217" spans="1:60" ht="12.75" hidden="1"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row>
    <row r="218" spans="1:60" ht="12.75" hidden="1"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row>
    <row r="219" spans="1:60" ht="12.75" hidden="1"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row>
    <row r="220" spans="1:60" ht="12.75" hidden="1"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row>
    <row r="221" spans="1:60" ht="12.75" hidden="1"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row>
    <row r="222" spans="1:60" ht="12.75" hidden="1"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row>
    <row r="223" spans="1:60" ht="12.75" hidden="1"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row>
    <row r="224" spans="1:60" ht="12.75" hidden="1"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row>
    <row r="225" spans="1:60" ht="12.75" hidden="1"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row>
    <row r="226" spans="1:60" ht="12.75" hidden="1"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row>
    <row r="227" spans="1:60" ht="12.75" hidden="1"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row>
    <row r="228" spans="1:60" ht="12.75" hidden="1"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row>
    <row r="229" spans="1:60" ht="12.75" hidden="1"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row>
    <row r="230" spans="1:60" ht="12.75" hidden="1"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row>
    <row r="231" spans="1:60" ht="12.75" hidden="1"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row>
    <row r="232" spans="1:60" ht="12.75" hidden="1"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row>
    <row r="233" spans="1:60" ht="12.75" hidden="1"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row>
    <row r="234" spans="1:60" ht="12.75" hidden="1"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row>
    <row r="235" spans="1:60" ht="12.75" hidden="1"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row>
    <row r="236" spans="1:60" ht="12.75" hidden="1"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row>
    <row r="237" spans="1:60" ht="12.75" hidden="1"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row>
    <row r="238" spans="1:60" ht="12.75" hidden="1"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row>
    <row r="239" spans="1:60" ht="12.75" hidden="1"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row>
    <row r="240" spans="1:60" ht="12.75" hidden="1"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row>
    <row r="241" spans="1:60" ht="12.75" hidden="1"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row>
    <row r="242" spans="1:60" ht="12.75" hidden="1"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row>
    <row r="243" spans="1:60" ht="12.75" hidden="1"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row>
    <row r="244" spans="1:60" ht="12.75" hidden="1"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row>
    <row r="245" spans="1:60" ht="12.75" hidden="1"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row>
    <row r="246" spans="1:60" ht="12.75" hidden="1"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row>
    <row r="247" spans="1:60" ht="12.75" hidden="1"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row>
    <row r="248" spans="1:60" ht="12.75" hidden="1"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row>
    <row r="249" spans="1:60" ht="12.75" hidden="1"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row>
    <row r="250" spans="1:60" ht="12.75" hidden="1"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row>
    <row r="251" spans="1:60" ht="12.75" hidden="1"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row>
    <row r="252" spans="1:60" ht="12.75" hidden="1"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row>
    <row r="253" spans="1:60" ht="12.75" hidden="1"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row>
    <row r="254" spans="1:60" ht="12.75" hidden="1"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row>
    <row r="255" spans="1:60" ht="12.75" hidden="1"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row>
    <row r="256" spans="1:60" ht="12.75" hidden="1"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row>
    <row r="257" spans="1:60" ht="12.75" hidden="1"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row>
    <row r="258" spans="1:60" ht="12.75" hidden="1"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row>
    <row r="259" spans="1:60" ht="12.75" hidden="1"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row>
    <row r="260" spans="1:60" ht="12.75" hidden="1"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row>
    <row r="261" spans="1:60" ht="12.75" hidden="1"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row>
    <row r="262" spans="1:60" ht="12.75" hidden="1"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row>
    <row r="263" spans="1:60" ht="12.75" hidden="1"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row>
    <row r="264" spans="1:60" ht="12.75" hidden="1"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row>
    <row r="265" spans="1:60" ht="12.75" hidden="1"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row>
    <row r="266" spans="1:60" ht="12.75" hidden="1"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row>
    <row r="267" spans="1:60" ht="12.75" hidden="1"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row>
    <row r="268" spans="1:60" ht="12.75" hidden="1"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row>
    <row r="269" spans="1:60" ht="12.75" hidden="1"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row>
    <row r="270" spans="1:60" ht="12.75" hidden="1"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row>
    <row r="271" spans="1:60" ht="12.75" hidden="1"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row>
    <row r="272" spans="1:60" ht="12.75" hidden="1"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row>
    <row r="273" spans="1:60" ht="12.75" hidden="1"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row>
    <row r="274" spans="1:60" ht="12.75" hidden="1"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row>
    <row r="275" spans="1:60" ht="12.75" hidden="1"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row>
    <row r="276" spans="1:60" ht="12.75" hidden="1"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row>
    <row r="277" spans="1:60" ht="12.75" hidden="1"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row>
    <row r="278" spans="1:60" ht="12.75" hidden="1"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row>
    <row r="279" spans="1:60" ht="12.75" hidden="1"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row>
    <row r="280" spans="1:60" ht="12.75" hidden="1"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row>
    <row r="281" spans="1:60" ht="12.75" hidden="1"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row>
    <row r="282" spans="1:60" ht="12.75" hidden="1"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row>
    <row r="283" spans="1:60" ht="12.75" hidden="1"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row>
    <row r="284" spans="1:60" ht="12.75" hidden="1"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row>
    <row r="285" spans="1:60" ht="12.75" hidden="1"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row>
    <row r="286" spans="1:60" ht="12.75" hidden="1"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row>
    <row r="287" spans="1:60" ht="12.75" hidden="1"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row>
    <row r="288" spans="1:60" ht="12.75" hidden="1"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row>
    <row r="289" spans="1:60" ht="12.75" hidden="1"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row>
    <row r="290" spans="1:60" ht="12.75" hidden="1"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row>
    <row r="291" spans="1:60" ht="12.75" hidden="1"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row>
    <row r="292" spans="1:60" ht="12.75" hidden="1"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row>
    <row r="293" spans="1:60" ht="12.75" hidden="1"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row>
    <row r="294" spans="1:60" ht="12.75" hidden="1"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row>
    <row r="295" spans="1:60" ht="12.75" hidden="1"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row>
    <row r="296" spans="1:60" ht="12.75" hidden="1"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row>
    <row r="297" spans="1:60" ht="12.75" hidden="1"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row>
    <row r="298" spans="1:60" ht="12.75" hidden="1"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row>
    <row r="299" spans="1:60" ht="12.75" hidden="1"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row>
    <row r="300" spans="1:60" ht="12.75" hidden="1"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row>
    <row r="301" spans="1:60" ht="12.75" hidden="1"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row>
    <row r="302" spans="1:60" ht="12.75" hidden="1"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row>
    <row r="303" spans="1:60" ht="12.75" hidden="1"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row>
    <row r="304" spans="1:60" ht="12.75" hidden="1"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row>
    <row r="305" spans="1:60" ht="12.75" hidden="1"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row>
    <row r="306" spans="1:60" ht="12.75" hidden="1"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row>
    <row r="307" spans="1:60" ht="12.75" hidden="1"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row>
    <row r="308" spans="1:60" ht="12.75" hidden="1"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row>
    <row r="309" spans="1:60" ht="12.75" hidden="1"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row>
    <row r="310" spans="1:60" ht="12.75" hidden="1"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row>
    <row r="311" spans="1:60" ht="12.75" hidden="1"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row>
    <row r="312" spans="1:60" ht="12.75" hidden="1"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row>
    <row r="313" spans="1:60" ht="12.75" hidden="1"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row>
    <row r="314" spans="1:60" ht="12.75" hidden="1"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row>
    <row r="315" spans="1:60" ht="12.75" hidden="1"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row>
    <row r="316" spans="1:60" ht="12.75" hidden="1"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row>
    <row r="317" spans="1:60" ht="12.75" hidden="1"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row>
    <row r="318" spans="1:60" ht="12.75" hidden="1"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row>
    <row r="319" spans="1:60" ht="12.75" hidden="1"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row>
    <row r="320" spans="1:60"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row>
    <row r="321" spans="1:60"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row>
    <row r="322" spans="1:60"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row>
    <row r="323" spans="1:60"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row>
    <row r="324" spans="1:60"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row>
    <row r="325" spans="1:60"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row>
    <row r="326" spans="1:60"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row>
    <row r="327" spans="1:60"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row>
    <row r="328" spans="1:60"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row>
    <row r="329" spans="1:60"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row>
    <row r="330" spans="1:60"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row>
    <row r="331" spans="1:60"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row>
    <row r="332" spans="1:60"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row>
    <row r="333" spans="1:60"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row>
    <row r="334" spans="1:60"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row>
    <row r="335" spans="1:60"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row>
    <row r="336" spans="1:60"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row>
    <row r="337" spans="1:60"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row>
    <row r="338" spans="1:60"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row>
    <row r="339" spans="1:60"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row>
    <row r="340" spans="1:60"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row>
    <row r="341" spans="1:60"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row>
    <row r="342" spans="1:60"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row>
    <row r="343" spans="1:60"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row>
    <row r="344" spans="1:60"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row>
    <row r="345" spans="1:60"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row>
    <row r="346" spans="1:60"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row>
    <row r="347" spans="1:60"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row>
    <row r="348" spans="1:60"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row>
    <row r="349" spans="1:60"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row>
    <row r="350" spans="1:60"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row>
    <row r="351" spans="1:60"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row>
    <row r="352" spans="1:60"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row>
    <row r="353" spans="1:60"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row>
    <row r="354" spans="1:60"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row>
    <row r="355" spans="1:60"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row>
    <row r="356" spans="1:60"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row>
    <row r="357" spans="1:60"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row>
    <row r="358" spans="1:60"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row>
    <row r="359" spans="1:60"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row>
    <row r="360" spans="1:60"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row>
    <row r="361" spans="1:60"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row>
    <row r="362" spans="1:60"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row>
    <row r="363" spans="1:60"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row>
    <row r="364" spans="1:60"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row>
    <row r="365" spans="1:60"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row>
    <row r="366" spans="1:60"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row>
    <row r="367" spans="1:60"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row>
    <row r="368" spans="1:60"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row>
    <row r="369" spans="1:60"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row>
    <row r="370" spans="1:60"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row>
    <row r="371" spans="1:60"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row>
    <row r="372" spans="1:60"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row>
    <row r="373" spans="1:60"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row>
    <row r="374" spans="1:60"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row>
    <row r="375" spans="1:60"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row>
    <row r="376" spans="1:60"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row>
    <row r="377" spans="1:60"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row>
    <row r="378" spans="1:60"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row>
    <row r="379" spans="1:60"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row>
    <row r="380" spans="1:60"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row>
    <row r="381" spans="1:60"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row>
    <row r="382" spans="1:60"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row>
    <row r="383" spans="1:60"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row>
    <row r="384" spans="1:60"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row>
    <row r="385" spans="1:60"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row>
    <row r="386" spans="1:60"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row>
    <row r="387" spans="1:60"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row>
    <row r="388" spans="1:60"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row>
    <row r="389" spans="1:60"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row>
    <row r="390" spans="1:60"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row>
    <row r="391" spans="1:60"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row>
    <row r="392" spans="1:60"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row>
    <row r="393" spans="1:60"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row>
    <row r="394" spans="1:60"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row>
    <row r="395" spans="1:60"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row>
    <row r="396" spans="1:60"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row>
    <row r="397" spans="1:60"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row>
    <row r="398" spans="1:60"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row>
    <row r="399" spans="1:60"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row>
    <row r="400" spans="1:60"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row>
    <row r="401" spans="1:60"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row>
    <row r="402" spans="1:60"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row>
    <row r="403" spans="1:60"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row>
    <row r="404" spans="1:60"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row>
    <row r="405" spans="1:60"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row>
    <row r="406" spans="1:60"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row>
    <row r="407" spans="1:60"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row>
    <row r="408" spans="1:60"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row>
    <row r="409" spans="1:60"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row>
    <row r="410" spans="1:60"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row>
    <row r="411" spans="1:60"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row>
    <row r="412" spans="1:60"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row>
    <row r="413" spans="1:60"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row>
    <row r="414" spans="1:60"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row>
    <row r="415" spans="1:60"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row>
    <row r="416" spans="1:60"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row>
    <row r="417" spans="1:60"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row>
    <row r="418" spans="1:60"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row>
    <row r="419" spans="1:60"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row>
    <row r="420" spans="1:60"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row>
    <row r="421" spans="1:60"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row>
    <row r="422" spans="1:60"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row>
    <row r="423" spans="1:60"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row>
    <row r="424" spans="1:60"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row>
    <row r="425" spans="1:60"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row>
    <row r="426" spans="1:60"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row>
    <row r="427" spans="1:60"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row>
    <row r="428" spans="1:60"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row>
    <row r="429" spans="1:60"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row>
    <row r="430" spans="1:60"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row>
    <row r="431" spans="1:60"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row>
    <row r="432" spans="1:60"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row>
    <row r="433" spans="1:60"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row>
    <row r="434" spans="1:60"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row>
    <row r="435" spans="1:60"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row>
    <row r="436" spans="1:60"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row>
    <row r="437" spans="1:60"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row>
    <row r="438" spans="1:60"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row>
    <row r="439" spans="1:60"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row>
    <row r="440" spans="1:60"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row>
    <row r="441" spans="1:60"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row>
    <row r="442" spans="1:60"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row>
    <row r="443" spans="1:60"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row>
    <row r="444" spans="1:60"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row>
    <row r="445" spans="1:60"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row>
    <row r="446" spans="1:60"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row>
    <row r="447" spans="1:60"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row>
    <row r="448" spans="1:60"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row>
    <row r="449" spans="1:60"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row>
    <row r="450" spans="1:60"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row>
    <row r="451" spans="1:60"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row>
    <row r="452" spans="1:60"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row>
    <row r="453" spans="1:60"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row>
    <row r="454" spans="1:60"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row>
    <row r="455" spans="1:60"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row>
    <row r="456" spans="1:60"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row>
    <row r="457" spans="1:60"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row>
    <row r="458" spans="1:60"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row>
    <row r="459" spans="1:60"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row>
    <row r="460" spans="1:60"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row>
    <row r="461" spans="1:60"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row>
    <row r="462" spans="1:60"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row>
    <row r="463" spans="1:60"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row>
    <row r="464" spans="1:60"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row>
    <row r="465" spans="1:60"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row>
    <row r="466" spans="1:60"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row>
    <row r="467" spans="1:60"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row>
    <row r="468" spans="1:60"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row>
    <row r="469" spans="1:60"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row>
    <row r="470" spans="1:60"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row>
    <row r="471" spans="1:60"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row>
    <row r="472" spans="1:60"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row>
    <row r="473" spans="1:60"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row>
    <row r="474" spans="1:60"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row>
    <row r="475" spans="1:60"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row>
    <row r="476" spans="1:60"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row>
    <row r="477" spans="1:60"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row>
    <row r="478" spans="1:60"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row>
    <row r="479" spans="1:60"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row>
    <row r="480" spans="1:60"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row>
    <row r="481" spans="1:60"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row>
    <row r="482" spans="1:60"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row>
    <row r="483" spans="1:60"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row>
    <row r="484" spans="1:60"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row>
    <row r="485" spans="1:60"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row>
    <row r="486" spans="1:60"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row>
    <row r="487" spans="1:60"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row>
    <row r="488" spans="1:60"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row>
    <row r="489" spans="1:60"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row>
    <row r="490" spans="1:60"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row>
    <row r="491" spans="1:60"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row>
    <row r="492" spans="1:60"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row>
    <row r="493" spans="1:60"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row>
    <row r="494" spans="1:60"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row>
    <row r="495" spans="1:60"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row>
    <row r="496" spans="1:60"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row>
    <row r="497" spans="1:60"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row>
    <row r="498" spans="1:60"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row>
    <row r="499" spans="1:60"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row>
    <row r="500" spans="1:60"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row>
    <row r="501" spans="1:60"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row>
    <row r="502" spans="1:60"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row>
    <row r="503" spans="1:60"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row>
    <row r="504" spans="1:60"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row>
    <row r="505" spans="1:60"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row>
    <row r="506" spans="1:60"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row>
    <row r="507" spans="1:60"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row>
    <row r="508" spans="1:60"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row>
    <row r="509" spans="1:60"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row>
    <row r="510" spans="1:60"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row>
    <row r="511" spans="1:60"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row>
    <row r="512" spans="1:60"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row>
    <row r="513" spans="1:60"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row>
    <row r="514" spans="1:60"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row>
    <row r="515" spans="1:60"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row>
    <row r="516" spans="1:60"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row>
    <row r="517" spans="1:60"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row>
    <row r="518" spans="1:60"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row>
    <row r="519" spans="1:60"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row>
    <row r="520" spans="1:60"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row>
    <row r="521" spans="1:60"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row>
    <row r="522" spans="1:60"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row>
    <row r="523" spans="1:60"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row>
    <row r="524" spans="1:60"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row>
    <row r="525" spans="1:60"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row>
    <row r="526" spans="1:60"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row>
    <row r="527" spans="1:60"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row>
    <row r="528" spans="1:60"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row>
    <row r="529" spans="1:60"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row>
    <row r="530" spans="1:60"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row>
    <row r="531" spans="1:60"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row>
    <row r="532" spans="1:60"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row>
    <row r="533" spans="1:60"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row>
    <row r="534" spans="1:60"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row>
    <row r="535" spans="1:60"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row>
    <row r="536" spans="1:60"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row>
    <row r="537" spans="1:60"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row>
    <row r="538" spans="1:60"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row>
    <row r="539" spans="1:60"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row>
    <row r="540" spans="1:60"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row>
    <row r="541" spans="1:60"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row>
    <row r="542" spans="1:60"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row>
    <row r="543" spans="1:60"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row>
    <row r="544" spans="1:60"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row>
    <row r="545" spans="1:60"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row>
    <row r="546" spans="1:60"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row>
    <row r="547" spans="1:60"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row>
    <row r="548" spans="1:60"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row>
    <row r="549" spans="1:60"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row>
    <row r="550" spans="1:60"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row>
    <row r="551" spans="1:60"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row>
    <row r="552" spans="1:60"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row>
    <row r="553" spans="1:60"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row>
    <row r="554" spans="1:60"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row>
    <row r="555" spans="1:60"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row>
    <row r="556" spans="1:60"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row>
    <row r="557" spans="1:60"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row>
    <row r="558" spans="1:60"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row>
    <row r="559" spans="1:60"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row>
    <row r="560" spans="1:60"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row>
    <row r="561" spans="1:60"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row>
    <row r="562" spans="1:60"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row>
    <row r="563" spans="1:60"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row>
    <row r="564" spans="1:60"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row>
    <row r="565" spans="1:60"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row>
    <row r="566" spans="1:60"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row>
    <row r="567" spans="1:60"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row>
    <row r="568" spans="1:60"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row>
    <row r="569" spans="1:60"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row>
    <row r="570" spans="1:60"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row>
    <row r="571" spans="1:60"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row>
    <row r="572" spans="1:60"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row>
    <row r="573" spans="1:60"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row>
    <row r="574" spans="1:60"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row>
    <row r="575" spans="1:60"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row>
    <row r="576" spans="1:60"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row>
    <row r="577" spans="1:60"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row>
    <row r="578" spans="1:60"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row>
    <row r="579" spans="1:60"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row>
    <row r="580" spans="1:60"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row>
    <row r="581" spans="1:60"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row>
    <row r="582" spans="1:60"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row>
    <row r="583" spans="1:60"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row>
    <row r="584" spans="1:60"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row>
    <row r="585" spans="1:60"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row>
    <row r="586" spans="1:60"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row>
    <row r="587" spans="1:60"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row>
    <row r="588" spans="1:60"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row>
    <row r="589" spans="1:60"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row>
    <row r="590" spans="1:60"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row>
    <row r="591" spans="1:60"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row>
    <row r="592" spans="1:60"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row>
    <row r="593" spans="1:60"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row>
    <row r="594" spans="1:60"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row>
    <row r="595" spans="1:60"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row>
    <row r="596" spans="1:60"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row>
    <row r="597" spans="1:60"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row>
    <row r="598" spans="1:60"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row>
    <row r="599" spans="1:60"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row>
    <row r="600" spans="1:60"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row>
    <row r="601" spans="1:60"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row>
    <row r="602" spans="1:60"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row>
    <row r="603" spans="1:60"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row>
    <row r="604" spans="1:60"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row>
    <row r="605" spans="1:60"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row>
    <row r="606" spans="1:60"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row>
    <row r="607" spans="1:60"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row>
    <row r="608" spans="1:60"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row>
    <row r="609" spans="1:60"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row>
    <row r="610" spans="1:60"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row>
    <row r="611" spans="1:60"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row>
    <row r="612" spans="1:60"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row>
    <row r="613" spans="1:60"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row>
    <row r="614" spans="1:60"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row>
    <row r="615" spans="1:60"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row>
    <row r="616" spans="1:60"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row>
    <row r="617" spans="1:60"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row>
    <row r="618" spans="1:60"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row>
    <row r="619" spans="1:60"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row>
    <row r="620" spans="1:60"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row>
    <row r="621" spans="1:60"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row>
    <row r="622" spans="1:60"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row>
    <row r="623" spans="1:60"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row>
    <row r="624" spans="1:60"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row>
    <row r="625" spans="1:60"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row>
    <row r="626" spans="1:60"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row>
    <row r="627" spans="1:60"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row>
    <row r="628" spans="1:60"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row>
    <row r="629" spans="1:60"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row>
    <row r="630" spans="1:60"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row>
    <row r="631" spans="1:60"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row>
    <row r="632" spans="1:60"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row>
    <row r="633" spans="1:60"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row>
    <row r="634" spans="1:60"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row>
    <row r="635" spans="1:60"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row>
    <row r="636" spans="1:60"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row>
    <row r="637" spans="1:60"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row>
    <row r="638" spans="1:60"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row>
    <row r="639" spans="1:60"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row>
    <row r="640" spans="1:60"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row>
    <row r="641" spans="1:60"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row>
    <row r="642" spans="1:60"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row>
    <row r="643" spans="1:60"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row>
    <row r="644" spans="1:60"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row>
    <row r="645" spans="1:60"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row>
    <row r="646" spans="1:60"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row>
    <row r="647" spans="1:60"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row>
    <row r="648" spans="1:60"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row>
    <row r="649" spans="1:60"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row>
    <row r="650" spans="1:60"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row>
    <row r="651" spans="1:60"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row>
    <row r="652" spans="1:60"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row>
    <row r="653" spans="1:60"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row>
    <row r="654" spans="1:60"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row>
    <row r="655" spans="1:60"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row>
    <row r="656" spans="1:60"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row>
    <row r="657" spans="1:60"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row>
    <row r="658" spans="1:60"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row>
    <row r="659" spans="1:60"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row>
    <row r="660" spans="1:60"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row>
    <row r="661" spans="1:60"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row>
    <row r="662" spans="1:60"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row>
    <row r="663" spans="1:60"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row>
    <row r="664" spans="1:60"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row>
    <row r="665" spans="1:60"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row>
    <row r="666" spans="1:60"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row>
    <row r="667" spans="1:60"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row>
    <row r="668" spans="1:60"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row>
    <row r="669" spans="1:60"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row>
    <row r="670" spans="1:60"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row>
    <row r="671" spans="1:60"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row>
    <row r="672" spans="1:60"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row>
    <row r="673" spans="1:60"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row>
    <row r="674" spans="1:60"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row>
    <row r="675" spans="1:60"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row>
    <row r="676" spans="1:60"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row>
    <row r="677" spans="1:60"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row>
    <row r="678" spans="1:60"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row>
    <row r="679" spans="1:60"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row>
    <row r="680" spans="1:60"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row>
    <row r="681" spans="1:60"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row>
    <row r="682" spans="1:60"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row>
    <row r="683" spans="1:60"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row>
    <row r="684" spans="1:60"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row>
    <row r="685" spans="1:60"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row>
    <row r="686" spans="1:60"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row>
    <row r="687" spans="1:60"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row>
    <row r="688" spans="1:60"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row>
    <row r="689" spans="1:60"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row>
    <row r="690" spans="1:60"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row>
    <row r="691" spans="1:60"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row>
    <row r="692" spans="1:60"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row>
    <row r="693" spans="1:60"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row>
    <row r="694" spans="1:60"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row>
    <row r="695" spans="1:60"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row>
    <row r="696" spans="1:60"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row>
    <row r="697" spans="1:60"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row>
    <row r="698" spans="1:60"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row>
    <row r="699" spans="1:60"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row>
    <row r="700" spans="1:60"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row>
    <row r="701" spans="1:60"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row>
    <row r="702" spans="1:60"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row>
    <row r="703" spans="1:60"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row>
    <row r="704" spans="1:60"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row>
    <row r="705" spans="1:60"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row>
    <row r="706" spans="1:60"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row>
    <row r="707" spans="1:60"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row>
    <row r="708" spans="1:60"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row>
    <row r="709" spans="1:60"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row>
    <row r="710" spans="1:60"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row>
    <row r="711" spans="1:60"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row>
    <row r="712" spans="1:60"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row>
    <row r="713" spans="1:60"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row>
    <row r="714" spans="1:60"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row>
    <row r="715" spans="1:60"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row>
    <row r="716" spans="1:60"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row>
    <row r="717" spans="1:60"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row>
    <row r="718" spans="1:60"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row>
    <row r="719" spans="1:60"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row>
    <row r="720" spans="1:60"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row>
    <row r="721" spans="1:60"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row>
    <row r="722" spans="1:60"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row>
    <row r="723" spans="1:60"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row>
    <row r="724" spans="1:60"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row>
    <row r="725" spans="1:60"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row>
    <row r="726" spans="1:60"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row>
    <row r="727" spans="1:60"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row>
    <row r="728" spans="1:60"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row>
    <row r="729" spans="1:60"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row>
    <row r="730" spans="1:60"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row>
    <row r="731" spans="1:60"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row>
    <row r="732" spans="1:60"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row>
    <row r="733" spans="1:60"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row>
    <row r="734" spans="1:60"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row>
    <row r="735" spans="1:60"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row>
    <row r="736" spans="1:60"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row>
    <row r="737" spans="1:60"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row>
    <row r="738" spans="1:60"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row>
    <row r="739" spans="1:60"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row>
    <row r="740" spans="1:60"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row>
    <row r="741" spans="1:60"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row>
    <row r="742" spans="1:60"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row>
    <row r="743" spans="1:60"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row>
    <row r="744" spans="1:60"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row>
    <row r="745" spans="1:60"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row>
    <row r="746" spans="1:60"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row>
    <row r="747" spans="1:60"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row>
    <row r="748" spans="1:60"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row>
    <row r="749" spans="1:60"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row>
    <row r="750" spans="1:60"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row>
    <row r="751" spans="1:60"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row>
    <row r="752" spans="1:60"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row>
    <row r="753" spans="1:60"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row>
    <row r="754" spans="1:60"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row>
    <row r="755" spans="1:60"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row>
    <row r="756" spans="1:60"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row>
    <row r="757" spans="1:60"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row>
    <row r="758" spans="1:60"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row>
    <row r="759" spans="1:60"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row>
    <row r="760" spans="1:60"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row>
    <row r="761" spans="1:60"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row>
    <row r="762" spans="1:60"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row>
    <row r="763" spans="1:60"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row>
    <row r="764" spans="1:60"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row>
    <row r="765" spans="1:60"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row>
    <row r="766" spans="1:60"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row>
    <row r="767" spans="1:60"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row>
    <row r="768" spans="1:60"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row>
    <row r="769" spans="1:60"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row>
    <row r="770" spans="1:60"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row>
    <row r="771" spans="1:60"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row>
    <row r="772" spans="1:60"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row>
    <row r="773" spans="1:60"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row>
    <row r="774" spans="1:60"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row>
    <row r="775" spans="1:60"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row>
    <row r="776" spans="1:60"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row>
    <row r="777" spans="1:60"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row>
    <row r="778" spans="1:60"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row>
    <row r="779" spans="1:60"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row>
    <row r="780" spans="1:60"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row>
    <row r="781" spans="1:60"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row>
    <row r="782" spans="1:60"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row>
    <row r="783" spans="1:60"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row>
    <row r="784" spans="1:60"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row>
    <row r="785" spans="1:60"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row>
    <row r="786" spans="1:60"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row>
    <row r="787" spans="1:60"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row>
    <row r="788" spans="1:60"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row>
    <row r="789" spans="1:60"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row>
    <row r="790" spans="1:60"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row>
    <row r="791" spans="1:60"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row>
    <row r="792" spans="1:60"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row>
    <row r="793" spans="1:60"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row>
    <row r="794" spans="1:60"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row>
    <row r="795" spans="1:60"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row>
    <row r="796" spans="1:60"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row>
    <row r="797" spans="1:60"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row>
    <row r="798" spans="1:60"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row>
    <row r="799" spans="1:60"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row>
    <row r="800" spans="1:60"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row>
    <row r="801" spans="1:60"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row>
    <row r="802" spans="1:60"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row>
    <row r="803" spans="1:60"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row>
    <row r="804" spans="1:60"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row>
    <row r="805" spans="1:60"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row>
    <row r="806" spans="1:60"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row>
    <row r="807" spans="1:60"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row>
    <row r="808" spans="1:60"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row>
    <row r="809" spans="1:60"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row>
    <row r="810" spans="1:60"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row>
    <row r="811" spans="1:60"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row>
    <row r="812" spans="1:60"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row>
    <row r="813" spans="1:60"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row>
    <row r="814" spans="1:60"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row>
    <row r="815" spans="1:60"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row>
    <row r="816" spans="1:60"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row>
    <row r="817" spans="1:60"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row>
    <row r="818" spans="1:60"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row>
    <row r="819" spans="1:60"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row>
    <row r="820" spans="1:60"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row>
    <row r="821" spans="1:60"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row>
    <row r="822" spans="1:60"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row>
    <row r="823" spans="1:60"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row>
    <row r="824" spans="1:60"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row>
    <row r="825" spans="1:60"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row>
    <row r="826" spans="1:60"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row>
    <row r="827" spans="1:60"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row>
    <row r="828" spans="1:60"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row>
    <row r="829" spans="1:60"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row>
    <row r="830" spans="1:60"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row>
    <row r="831" spans="1:60"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row>
    <row r="832" spans="1:60"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row>
    <row r="833" spans="1:60"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row>
    <row r="834" spans="1:60"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row>
    <row r="835" spans="1:60"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row>
    <row r="836" spans="1:60"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row>
    <row r="837" spans="1:60"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row>
    <row r="838" spans="1:60"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row>
    <row r="839" spans="1:60"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row>
    <row r="840" spans="1:60"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row>
    <row r="841" spans="1:60"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row>
    <row r="842" spans="1:60"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row>
    <row r="843" spans="1:60"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row>
    <row r="844" spans="1:60"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row>
    <row r="845" spans="1:60"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row>
    <row r="846" spans="1:60"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row>
    <row r="847" spans="1:60"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row>
    <row r="848" spans="1:60"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row>
    <row r="849" spans="1:60"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row>
    <row r="850" spans="1:60"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row>
    <row r="851" spans="1:60"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row>
    <row r="852" spans="1:60"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row>
    <row r="853" spans="1:60"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row>
    <row r="854" spans="1:60"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row>
    <row r="855" spans="1:60"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row>
    <row r="856" spans="1:60"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row>
    <row r="857" spans="1:60"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row>
    <row r="858" spans="1:60"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row>
    <row r="859" spans="1:60"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row>
    <row r="860" spans="1:60"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row>
    <row r="861" spans="1:60"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row>
    <row r="862" spans="1:60"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row>
    <row r="863" spans="1:60"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row>
    <row r="864" spans="1:60"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row>
    <row r="865" spans="1:60"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row>
    <row r="866" spans="1:60"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row>
    <row r="867" spans="1:60"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row>
    <row r="868" spans="1:60"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row>
    <row r="869" spans="1:60"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row>
    <row r="870" spans="1:60"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row>
    <row r="871" spans="1:60"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row>
    <row r="872" spans="1:60"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row>
    <row r="873" spans="1:60"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row>
    <row r="874" spans="1:60"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row>
    <row r="875" spans="1:60"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row>
    <row r="876" spans="1:60"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row>
    <row r="877" spans="1:60"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row>
    <row r="878" spans="1:60"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row>
    <row r="879" spans="1:60"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row>
    <row r="880" spans="1:60"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row>
    <row r="881" spans="1:60"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row>
    <row r="882" spans="1:60"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row>
    <row r="883" spans="1:60"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row>
    <row r="884" spans="1:60"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row>
    <row r="885" spans="1:60"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row>
    <row r="886" spans="1:60"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row>
    <row r="887" spans="1:60"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row>
    <row r="888" spans="1:60"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row>
    <row r="889" spans="1:60"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row>
    <row r="890" spans="1:60"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row>
    <row r="891" spans="1:60"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row>
    <row r="892" spans="1:60"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row>
    <row r="893" spans="1:60"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row>
    <row r="894" spans="1:60"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row>
    <row r="895" spans="1:60"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row>
    <row r="896" spans="1:60"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row>
    <row r="897" spans="1:60"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row>
    <row r="898" spans="1:60"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row>
    <row r="899" spans="1:60"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row>
    <row r="900" spans="1:60"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row>
    <row r="901" spans="1:60"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row>
    <row r="902" spans="1:60"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row>
    <row r="903" spans="1:60"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row>
    <row r="904" spans="1:60"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row>
    <row r="905" spans="1:60"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row>
    <row r="906" spans="1:60"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row>
    <row r="907" spans="1:60"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row>
    <row r="908" spans="1:60"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row>
    <row r="909" spans="1:60"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row>
    <row r="910" spans="1:60"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row>
    <row r="911" spans="1:60"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row>
    <row r="912" spans="1:60"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row>
    <row r="913" spans="1:60"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row>
    <row r="914" spans="1:60"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row>
    <row r="915" spans="1:60"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row>
    <row r="916" spans="1:60"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row>
    <row r="917" spans="1:60"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row>
    <row r="918" spans="1:60"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row>
    <row r="919" spans="1:60"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row>
    <row r="920" spans="1:60"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row>
    <row r="921" spans="1:60"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row>
    <row r="922" spans="1:60"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row>
    <row r="923" spans="1:60"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row>
    <row r="924" spans="1:60"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row>
    <row r="925" spans="1:60"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row>
    <row r="926" spans="1:60"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row>
    <row r="927" spans="1:60"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row>
    <row r="928" spans="1:60"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row>
    <row r="929" spans="1:60"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row>
    <row r="930" spans="1:60"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row>
    <row r="931" spans="1:60"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row>
    <row r="932" spans="1:60"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row>
    <row r="933" spans="1:60"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row>
    <row r="934" spans="1:60"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row>
    <row r="935" spans="1:60"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row>
    <row r="936" spans="1:60"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row>
    <row r="937" spans="1:60"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row>
    <row r="938" spans="1:60"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row>
    <row r="939" spans="1:60"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row>
    <row r="940" spans="1:60"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row>
    <row r="941" spans="1:60"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row>
    <row r="942" spans="1:60"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row>
    <row r="943" spans="1:60"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row>
    <row r="944" spans="1:60"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row>
    <row r="945" spans="1:60"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row>
    <row r="946" spans="1:60"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row>
    <row r="947" spans="1:60"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row>
    <row r="948" spans="1:60"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row>
    <row r="949" spans="1:60"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row>
    <row r="950" spans="1:60"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row>
    <row r="951" spans="1:60"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row>
    <row r="952" spans="1:60"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row>
    <row r="953" spans="1:60"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row>
    <row r="954" spans="1:60"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row>
    <row r="955" spans="1:60"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row>
    <row r="956" spans="1:60"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row>
    <row r="957" spans="1:60"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row>
    <row r="958" spans="1:60"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row>
    <row r="959" spans="1:60"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row>
    <row r="960" spans="1:60"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row>
    <row r="961" spans="1:60"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row>
    <row r="962" spans="1:60"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row>
    <row r="963" spans="1:60"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row>
    <row r="964" spans="1:60"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row>
    <row r="965" spans="1:60"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row>
    <row r="966" spans="1:60"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row>
    <row r="967" spans="1:60"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row>
    <row r="968" spans="1:60"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row>
    <row r="969" spans="1:60"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row>
    <row r="970" spans="1:60"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row>
    <row r="971" spans="1:60"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row>
    <row r="972" spans="1:60"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row>
    <row r="973" spans="1:60"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row>
    <row r="974" spans="1:60"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row>
    <row r="975" spans="1:60"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row>
    <row r="976" spans="1:60"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row>
    <row r="977" spans="1:60"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row>
    <row r="978" spans="1:60"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row>
    <row r="979" spans="1:60"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row>
    <row r="980" spans="1:60"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row>
    <row r="981" spans="1:60"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row>
    <row r="982" spans="1:60"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row>
    <row r="983" spans="1:60"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row>
    <row r="984" spans="1:60"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row>
    <row r="985" spans="1:60"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row>
    <row r="986" spans="1:60"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row>
    <row r="987" spans="1:60"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row>
    <row r="988" spans="1:60"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row>
    <row r="989" spans="1:60"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row>
    <row r="990" spans="1:60"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row>
    <row r="991" spans="1:60"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row>
    <row r="992" spans="1:60"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row>
    <row r="993" spans="1:60"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row>
    <row r="994" spans="1:60"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row>
    <row r="995" spans="1:60"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row>
    <row r="996" spans="1:60"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row>
    <row r="997" spans="1:60"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row>
    <row r="998" spans="1:60"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row>
    <row r="999" spans="1:60"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row>
    <row r="1000" spans="1:60"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row>
  </sheetData>
  <mergeCells count="212">
    <mergeCell ref="AG3:AR3"/>
    <mergeCell ref="AG4:AR4"/>
    <mergeCell ref="AH6:AR12"/>
    <mergeCell ref="AW6:BG12"/>
    <mergeCell ref="AW14:BG14"/>
    <mergeCell ref="Q2:Q4"/>
    <mergeCell ref="AF2:AF4"/>
    <mergeCell ref="AU2:AU4"/>
    <mergeCell ref="R3:AC3"/>
    <mergeCell ref="AV3:BG3"/>
    <mergeCell ref="R4:AC4"/>
    <mergeCell ref="AV4:BG4"/>
    <mergeCell ref="AF12:AF16"/>
    <mergeCell ref="AU12:AU16"/>
    <mergeCell ref="B2:B5"/>
    <mergeCell ref="D5:F5"/>
    <mergeCell ref="B6:B23"/>
    <mergeCell ref="D6:F6"/>
    <mergeCell ref="D8:F8"/>
    <mergeCell ref="D9:F9"/>
    <mergeCell ref="D10:F10"/>
    <mergeCell ref="C3:N3"/>
    <mergeCell ref="C4:N4"/>
    <mergeCell ref="D18:F21"/>
    <mergeCell ref="H5:J5"/>
    <mergeCell ref="H8:J8"/>
    <mergeCell ref="L5:N5"/>
    <mergeCell ref="L6:N6"/>
    <mergeCell ref="Q74:Q76"/>
    <mergeCell ref="Q84:Q88"/>
    <mergeCell ref="R51:AC51"/>
    <mergeCell ref="R52:AC52"/>
    <mergeCell ref="D54:N60"/>
    <mergeCell ref="AG51:AR51"/>
    <mergeCell ref="L8:N8"/>
    <mergeCell ref="H9:J9"/>
    <mergeCell ref="L9:N9"/>
    <mergeCell ref="D11:F11"/>
    <mergeCell ref="D12:F16"/>
    <mergeCell ref="H12:J16"/>
    <mergeCell ref="L12:N16"/>
    <mergeCell ref="Q12:Q16"/>
    <mergeCell ref="D17:F17"/>
    <mergeCell ref="Q36:Q40"/>
    <mergeCell ref="D38:N38"/>
    <mergeCell ref="S39:AC47"/>
    <mergeCell ref="Q42:Q45"/>
    <mergeCell ref="Q48:AC48"/>
    <mergeCell ref="D39:N47"/>
    <mergeCell ref="B48:N48"/>
    <mergeCell ref="B60:B64"/>
    <mergeCell ref="AF60:AF64"/>
    <mergeCell ref="B50:B52"/>
    <mergeCell ref="Q50:Q52"/>
    <mergeCell ref="AF50:AF52"/>
    <mergeCell ref="C51:N51"/>
    <mergeCell ref="C52:N52"/>
    <mergeCell ref="S14:AC14"/>
    <mergeCell ref="AH14:AR14"/>
    <mergeCell ref="H11:J11"/>
    <mergeCell ref="L11:N11"/>
    <mergeCell ref="S15:AC23"/>
    <mergeCell ref="S6:AC12"/>
    <mergeCell ref="D7:F7"/>
    <mergeCell ref="L7:N7"/>
    <mergeCell ref="L17:N17"/>
    <mergeCell ref="L18:N21"/>
    <mergeCell ref="AH15:AR23"/>
    <mergeCell ref="H6:J6"/>
    <mergeCell ref="H7:J7"/>
    <mergeCell ref="B26:B28"/>
    <mergeCell ref="B36:B40"/>
    <mergeCell ref="B42:B45"/>
    <mergeCell ref="H10:J10"/>
    <mergeCell ref="L10:N10"/>
    <mergeCell ref="D30:N36"/>
    <mergeCell ref="B66:B69"/>
    <mergeCell ref="AF66:AF69"/>
    <mergeCell ref="S78:AC84"/>
    <mergeCell ref="S86:AC86"/>
    <mergeCell ref="S54:AC60"/>
    <mergeCell ref="S63:AC71"/>
    <mergeCell ref="Q72:AC72"/>
    <mergeCell ref="AF74:AF76"/>
    <mergeCell ref="R75:AC75"/>
    <mergeCell ref="R76:AC76"/>
    <mergeCell ref="AF84:AF88"/>
    <mergeCell ref="D63:N71"/>
    <mergeCell ref="B72:N72"/>
    <mergeCell ref="B74:B76"/>
    <mergeCell ref="C75:N75"/>
    <mergeCell ref="C76:N76"/>
    <mergeCell ref="D78:N84"/>
    <mergeCell ref="B84:B88"/>
    <mergeCell ref="D62:N62"/>
    <mergeCell ref="S62:AC62"/>
    <mergeCell ref="Q60:Q64"/>
    <mergeCell ref="Q66:Q69"/>
    <mergeCell ref="D86:N86"/>
    <mergeCell ref="D87:N95"/>
    <mergeCell ref="AF48:AR48"/>
    <mergeCell ref="AU48:BG48"/>
    <mergeCell ref="AU50:AU52"/>
    <mergeCell ref="AG52:AR52"/>
    <mergeCell ref="C28:N28"/>
    <mergeCell ref="AG28:AR28"/>
    <mergeCell ref="AW15:BG23"/>
    <mergeCell ref="H17:J17"/>
    <mergeCell ref="Q18:Q21"/>
    <mergeCell ref="AU18:AU21"/>
    <mergeCell ref="D22:F22"/>
    <mergeCell ref="D23:F23"/>
    <mergeCell ref="B24:N24"/>
    <mergeCell ref="Q24:AC24"/>
    <mergeCell ref="AF24:AR24"/>
    <mergeCell ref="AU24:BG24"/>
    <mergeCell ref="AF18:AF21"/>
    <mergeCell ref="H18:J21"/>
    <mergeCell ref="H22:J22"/>
    <mergeCell ref="L22:N22"/>
    <mergeCell ref="H23:J23"/>
    <mergeCell ref="L23:N23"/>
    <mergeCell ref="Q26:Q28"/>
    <mergeCell ref="C27:N27"/>
    <mergeCell ref="S38:AC38"/>
    <mergeCell ref="AH38:AR38"/>
    <mergeCell ref="AG27:AR27"/>
    <mergeCell ref="AV27:BG27"/>
    <mergeCell ref="S30:AC36"/>
    <mergeCell ref="AH30:AR36"/>
    <mergeCell ref="AW30:BG36"/>
    <mergeCell ref="AF36:AF40"/>
    <mergeCell ref="AU36:AU40"/>
    <mergeCell ref="AW38:BG38"/>
    <mergeCell ref="R27:AC27"/>
    <mergeCell ref="R28:AC28"/>
    <mergeCell ref="AV28:BG28"/>
    <mergeCell ref="AH39:AR47"/>
    <mergeCell ref="AW39:BG47"/>
    <mergeCell ref="AF42:AF45"/>
    <mergeCell ref="AU42:AU45"/>
    <mergeCell ref="AF26:AF28"/>
    <mergeCell ref="AU26:AU28"/>
    <mergeCell ref="B90:B93"/>
    <mergeCell ref="B96:N96"/>
    <mergeCell ref="Q96:AC96"/>
    <mergeCell ref="B98:B100"/>
    <mergeCell ref="S104:AC111"/>
    <mergeCell ref="S112:AC112"/>
    <mergeCell ref="B108:B112"/>
    <mergeCell ref="B114:B117"/>
    <mergeCell ref="D111:N119"/>
    <mergeCell ref="Q90:Q93"/>
    <mergeCell ref="Q98:Q100"/>
    <mergeCell ref="R103:R119"/>
    <mergeCell ref="Q108:Q112"/>
    <mergeCell ref="Q114:Q117"/>
    <mergeCell ref="C99:N99"/>
    <mergeCell ref="R99:AC99"/>
    <mergeCell ref="S87:AC95"/>
    <mergeCell ref="B120:N120"/>
    <mergeCell ref="C100:N100"/>
    <mergeCell ref="R100:AC102"/>
    <mergeCell ref="D102:N108"/>
    <mergeCell ref="S103:AC103"/>
    <mergeCell ref="D110:N110"/>
    <mergeCell ref="S113:AC113"/>
    <mergeCell ref="S114:AC119"/>
    <mergeCell ref="Q120:AD120"/>
    <mergeCell ref="AD102:AD119"/>
    <mergeCell ref="AV52:BG52"/>
    <mergeCell ref="AG76:AR76"/>
    <mergeCell ref="AH78:AR84"/>
    <mergeCell ref="AH86:AR86"/>
    <mergeCell ref="AF90:AF93"/>
    <mergeCell ref="AH54:AR60"/>
    <mergeCell ref="AW54:BG60"/>
    <mergeCell ref="AU60:AU64"/>
    <mergeCell ref="AH62:AR62"/>
    <mergeCell ref="AU66:AU69"/>
    <mergeCell ref="AW78:BG84"/>
    <mergeCell ref="AW86:BG86"/>
    <mergeCell ref="AU84:AU88"/>
    <mergeCell ref="AU90:AU93"/>
    <mergeCell ref="AH63:AR71"/>
    <mergeCell ref="AF72:AR72"/>
    <mergeCell ref="AG75:AR75"/>
    <mergeCell ref="AH87:AR95"/>
    <mergeCell ref="AV51:BG51"/>
    <mergeCell ref="AU96:BG96"/>
    <mergeCell ref="AU98:BH120"/>
    <mergeCell ref="AF120:AS120"/>
    <mergeCell ref="AW62:BG62"/>
    <mergeCell ref="AW63:BG71"/>
    <mergeCell ref="AU72:BG72"/>
    <mergeCell ref="AU74:AU76"/>
    <mergeCell ref="AV75:BG75"/>
    <mergeCell ref="AV76:BG76"/>
    <mergeCell ref="AW87:BG95"/>
    <mergeCell ref="AS102:AS119"/>
    <mergeCell ref="AG103:AG119"/>
    <mergeCell ref="AH104:AR111"/>
    <mergeCell ref="AG100:AR102"/>
    <mergeCell ref="AH103:AR103"/>
    <mergeCell ref="AF98:AF100"/>
    <mergeCell ref="AF108:AF112"/>
    <mergeCell ref="AH112:AR112"/>
    <mergeCell ref="AH113:AR113"/>
    <mergeCell ref="AF114:AF117"/>
    <mergeCell ref="AH114:AR119"/>
    <mergeCell ref="AF96:AR96"/>
    <mergeCell ref="AG99:AR99"/>
  </mergeCells>
  <pageMargins left="0.7" right="0.7" top="0.75" bottom="0.75" header="0" footer="0"/>
  <pageSetup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1" topLeftCell="A2" activePane="bottomLeft" state="frozen"/>
      <selection pane="bottomLeft" activeCell="B3" sqref="B3"/>
    </sheetView>
  </sheetViews>
  <sheetFormatPr defaultColWidth="14.42578125" defaultRowHeight="15" customHeight="1"/>
  <cols>
    <col min="1" max="2" width="15.140625" customWidth="1"/>
    <col min="3" max="3" width="24.42578125" customWidth="1"/>
    <col min="4" max="4" width="28.85546875" customWidth="1"/>
    <col min="5" max="9" width="3.5703125" customWidth="1"/>
    <col min="10" max="10" width="90.85546875" customWidth="1"/>
    <col min="11" max="12" width="7" customWidth="1"/>
    <col min="13" max="14" width="4.140625" customWidth="1"/>
    <col min="15" max="19" width="5.85546875" customWidth="1"/>
    <col min="20" max="20" width="9.140625" customWidth="1"/>
    <col min="21" max="24" width="41.5703125" customWidth="1"/>
    <col min="25" max="25" width="9.42578125" customWidth="1"/>
    <col min="26" max="26" width="9.140625" customWidth="1"/>
  </cols>
  <sheetData>
    <row r="1" spans="1:26" ht="12.75" customHeight="1">
      <c r="A1" s="45" t="s">
        <v>310</v>
      </c>
      <c r="B1" s="45" t="s">
        <v>311</v>
      </c>
      <c r="C1" s="45" t="s">
        <v>312</v>
      </c>
      <c r="D1" s="45" t="s">
        <v>313</v>
      </c>
      <c r="E1" s="45" t="s">
        <v>252</v>
      </c>
      <c r="F1" s="45" t="s">
        <v>256</v>
      </c>
      <c r="G1" s="45" t="s">
        <v>254</v>
      </c>
      <c r="H1" s="45" t="s">
        <v>255</v>
      </c>
      <c r="I1" s="45" t="s">
        <v>253</v>
      </c>
      <c r="J1" s="45" t="s">
        <v>314</v>
      </c>
      <c r="K1" s="45" t="s">
        <v>315</v>
      </c>
      <c r="L1" s="45" t="s">
        <v>63</v>
      </c>
      <c r="M1" s="45" t="s">
        <v>316</v>
      </c>
      <c r="N1" s="45" t="s">
        <v>317</v>
      </c>
      <c r="O1" s="45" t="s">
        <v>247</v>
      </c>
      <c r="P1" s="45" t="s">
        <v>248</v>
      </c>
      <c r="Q1" s="45" t="s">
        <v>249</v>
      </c>
      <c r="R1" s="45" t="s">
        <v>250</v>
      </c>
      <c r="S1" s="45" t="s">
        <v>251</v>
      </c>
      <c r="T1" s="91"/>
      <c r="U1" s="45" t="s">
        <v>318</v>
      </c>
      <c r="V1" s="45" t="s">
        <v>319</v>
      </c>
      <c r="W1" s="45" t="s">
        <v>320</v>
      </c>
      <c r="X1" s="45" t="s">
        <v>321</v>
      </c>
      <c r="Y1" s="45" t="s">
        <v>322</v>
      </c>
      <c r="Z1" s="91"/>
    </row>
    <row r="2" spans="1:26" ht="12.75" customHeight="1">
      <c r="A2" s="32" t="s">
        <v>76</v>
      </c>
      <c r="B2" s="32" t="str">
        <f t="shared" ref="B2:B211" si="0">A2&amp;COUNTIF($A$2:$A2,A2)</f>
        <v>Amazon1</v>
      </c>
      <c r="C2" s="32" t="str">
        <f>""</f>
        <v/>
      </c>
      <c r="D2" s="32" t="str">
        <f t="shared" ref="D2:D211" si="1">A2&amp;C2</f>
        <v>Amazon</v>
      </c>
      <c r="E2" s="32">
        <v>0</v>
      </c>
      <c r="F2" s="32">
        <v>0</v>
      </c>
      <c r="G2" s="32">
        <v>0</v>
      </c>
      <c r="H2" s="32">
        <v>0</v>
      </c>
      <c r="I2" s="32">
        <v>0</v>
      </c>
      <c r="J2" s="32">
        <f>IF(Roster!$J$24="English",U2,(IF(Roster!$J$24="Español",V2,(IF(Roster!$J$24="Deutsch",W2,(IF(Roster!$J$24="Français",X2)))))))</f>
        <v>0</v>
      </c>
      <c r="K2" s="31">
        <v>0</v>
      </c>
      <c r="L2" s="31">
        <f t="shared" ref="L2:L6" si="2">K2/1000</f>
        <v>0</v>
      </c>
      <c r="M2" s="31">
        <v>0</v>
      </c>
      <c r="N2" s="31">
        <v>0</v>
      </c>
      <c r="O2" s="31"/>
      <c r="P2" s="31"/>
      <c r="Q2" s="31"/>
      <c r="R2" s="31"/>
      <c r="S2" s="31"/>
      <c r="T2" s="91"/>
      <c r="U2" s="91">
        <v>0</v>
      </c>
      <c r="V2" s="91">
        <v>0</v>
      </c>
      <c r="W2" s="91"/>
      <c r="X2" s="91">
        <v>0</v>
      </c>
      <c r="Y2" s="91">
        <v>0</v>
      </c>
      <c r="Z2" s="91"/>
    </row>
    <row r="3" spans="1:26" ht="12.75" customHeight="1">
      <c r="A3" s="32" t="s">
        <v>76</v>
      </c>
      <c r="B3" s="32" t="str">
        <f t="shared" si="0"/>
        <v>Amazon2</v>
      </c>
      <c r="C3" s="32" t="s">
        <v>323</v>
      </c>
      <c r="D3" s="32" t="str">
        <f t="shared" si="1"/>
        <v>AmazonLinewoman</v>
      </c>
      <c r="E3" s="32">
        <v>6</v>
      </c>
      <c r="F3" s="32">
        <v>3</v>
      </c>
      <c r="G3" s="32">
        <v>3</v>
      </c>
      <c r="H3" s="32">
        <v>4</v>
      </c>
      <c r="I3" s="32">
        <v>8</v>
      </c>
      <c r="J3" s="32" t="str">
        <f>IF(Roster!$J$24="English",U3,(IF(Roster!$J$24="Español",V3,(IF(Roster!$J$24="Deutsch",W3,(IF(Roster!$J$24="Français",X3)))))))</f>
        <v>Dodge</v>
      </c>
      <c r="K3" s="31">
        <v>50000</v>
      </c>
      <c r="L3" s="31">
        <f t="shared" si="2"/>
        <v>50</v>
      </c>
      <c r="M3" s="31">
        <v>16</v>
      </c>
      <c r="N3" s="31">
        <v>0</v>
      </c>
      <c r="O3" s="31" t="s">
        <v>250</v>
      </c>
      <c r="P3" s="31" t="s">
        <v>249</v>
      </c>
      <c r="Q3" s="31" t="s">
        <v>249</v>
      </c>
      <c r="R3" s="31" t="s">
        <v>249</v>
      </c>
      <c r="S3" s="31">
        <v>0</v>
      </c>
      <c r="T3" s="91" t="str">
        <f t="shared" ref="T3:T7" si="3">IF(AND(R3&lt;&gt;0,S3&lt;&gt;0),"FULL",(IF(AND(R3=0,S3=0),"PM",IF(R3=0,"P",(IF(S3=0,"M"))))))</f>
        <v>M</v>
      </c>
      <c r="U3" s="91" t="s">
        <v>324</v>
      </c>
      <c r="V3" s="91" t="s">
        <v>325</v>
      </c>
      <c r="W3" s="91" t="s">
        <v>326</v>
      </c>
      <c r="X3" s="91" t="s">
        <v>327</v>
      </c>
      <c r="Y3" s="91"/>
      <c r="Z3" s="91"/>
    </row>
    <row r="4" spans="1:26" ht="12.75" customHeight="1">
      <c r="A4" s="32" t="s">
        <v>76</v>
      </c>
      <c r="B4" s="32" t="str">
        <f t="shared" si="0"/>
        <v>Amazon3</v>
      </c>
      <c r="C4" s="32" t="s">
        <v>328</v>
      </c>
      <c r="D4" s="32" t="str">
        <f t="shared" si="1"/>
        <v>AmazonThrower</v>
      </c>
      <c r="E4" s="32">
        <v>6</v>
      </c>
      <c r="F4" s="32">
        <v>3</v>
      </c>
      <c r="G4" s="32">
        <v>3</v>
      </c>
      <c r="H4" s="32">
        <v>3</v>
      </c>
      <c r="I4" s="32">
        <v>8</v>
      </c>
      <c r="J4" s="32" t="str">
        <f>IF(Roster!$J$24="English",U4,(IF(Roster!$J$24="Español",V4,(IF(Roster!$J$24="Deutsch",W4,(IF(Roster!$J$24="Français",X4)))))))</f>
        <v>Dodge, Pass</v>
      </c>
      <c r="K4" s="31">
        <v>75000</v>
      </c>
      <c r="L4" s="31">
        <f t="shared" si="2"/>
        <v>75</v>
      </c>
      <c r="M4" s="31">
        <v>2</v>
      </c>
      <c r="N4" s="31">
        <v>0</v>
      </c>
      <c r="O4" s="31" t="s">
        <v>250</v>
      </c>
      <c r="P4" s="31" t="s">
        <v>249</v>
      </c>
      <c r="Q4" s="31" t="s">
        <v>249</v>
      </c>
      <c r="R4" s="31" t="s">
        <v>250</v>
      </c>
      <c r="S4" s="31">
        <v>0</v>
      </c>
      <c r="T4" s="91" t="str">
        <f t="shared" si="3"/>
        <v>M</v>
      </c>
      <c r="U4" s="91" t="s">
        <v>329</v>
      </c>
      <c r="V4" s="91" t="s">
        <v>330</v>
      </c>
      <c r="W4" s="91" t="s">
        <v>331</v>
      </c>
      <c r="X4" s="91" t="s">
        <v>332</v>
      </c>
      <c r="Y4" s="91"/>
      <c r="Z4" s="91"/>
    </row>
    <row r="5" spans="1:26" ht="12.75" customHeight="1">
      <c r="A5" s="32" t="s">
        <v>76</v>
      </c>
      <c r="B5" s="32" t="str">
        <f t="shared" si="0"/>
        <v>Amazon4</v>
      </c>
      <c r="C5" s="32" t="s">
        <v>333</v>
      </c>
      <c r="D5" s="32" t="str">
        <f t="shared" si="1"/>
        <v>AmazonCatcher</v>
      </c>
      <c r="E5" s="32">
        <v>6</v>
      </c>
      <c r="F5" s="32">
        <v>3</v>
      </c>
      <c r="G5" s="32">
        <v>3</v>
      </c>
      <c r="H5" s="32">
        <v>5</v>
      </c>
      <c r="I5" s="32">
        <v>8</v>
      </c>
      <c r="J5" s="32" t="str">
        <f>IF(Roster!$J$24="English",U5,(IF(Roster!$J$24="Español",V5,(IF(Roster!$J$24="Deutsch",W5,(IF(Roster!$J$24="Français",X5)))))))</f>
        <v>Dodge, Catch</v>
      </c>
      <c r="K5" s="31">
        <v>75000</v>
      </c>
      <c r="L5" s="31">
        <f t="shared" si="2"/>
        <v>75</v>
      </c>
      <c r="M5" s="31">
        <v>2</v>
      </c>
      <c r="N5" s="31">
        <v>0</v>
      </c>
      <c r="O5" s="31" t="s">
        <v>250</v>
      </c>
      <c r="P5" s="31" t="s">
        <v>250</v>
      </c>
      <c r="Q5" s="31" t="s">
        <v>249</v>
      </c>
      <c r="R5" s="31" t="s">
        <v>249</v>
      </c>
      <c r="S5" s="31">
        <v>0</v>
      </c>
      <c r="T5" s="91" t="str">
        <f t="shared" si="3"/>
        <v>M</v>
      </c>
      <c r="U5" s="91" t="s">
        <v>334</v>
      </c>
      <c r="V5" s="91" t="s">
        <v>335</v>
      </c>
      <c r="W5" s="91" t="s">
        <v>336</v>
      </c>
      <c r="X5" s="91" t="s">
        <v>337</v>
      </c>
      <c r="Y5" s="91"/>
      <c r="Z5" s="91"/>
    </row>
    <row r="6" spans="1:26" ht="12.75" customHeight="1">
      <c r="A6" s="32" t="s">
        <v>76</v>
      </c>
      <c r="B6" s="32" t="str">
        <f t="shared" si="0"/>
        <v>Amazon5</v>
      </c>
      <c r="C6" s="32" t="s">
        <v>338</v>
      </c>
      <c r="D6" s="32" t="str">
        <f t="shared" si="1"/>
        <v>AmazonBlitzer</v>
      </c>
      <c r="E6" s="32">
        <v>6</v>
      </c>
      <c r="F6" s="32">
        <v>3</v>
      </c>
      <c r="G6" s="32">
        <v>3</v>
      </c>
      <c r="H6" s="32">
        <v>5</v>
      </c>
      <c r="I6" s="32">
        <v>8</v>
      </c>
      <c r="J6" s="32" t="str">
        <f>IF(Roster!$J$24="English",U6,(IF(Roster!$J$24="Español",V6,(IF(Roster!$J$24="Deutsch",W6,(IF(Roster!$J$24="Français",X6)))))))</f>
        <v>Dodge, Block</v>
      </c>
      <c r="K6" s="31">
        <v>90000</v>
      </c>
      <c r="L6" s="31">
        <f t="shared" si="2"/>
        <v>90</v>
      </c>
      <c r="M6" s="224">
        <v>4</v>
      </c>
      <c r="N6" s="224">
        <v>0</v>
      </c>
      <c r="O6" s="31" t="s">
        <v>250</v>
      </c>
      <c r="P6" s="31" t="s">
        <v>249</v>
      </c>
      <c r="Q6" s="31" t="s">
        <v>250</v>
      </c>
      <c r="R6" s="31" t="s">
        <v>249</v>
      </c>
      <c r="S6" s="31">
        <v>0</v>
      </c>
      <c r="T6" s="91" t="str">
        <f t="shared" si="3"/>
        <v>M</v>
      </c>
      <c r="U6" s="91" t="s">
        <v>339</v>
      </c>
      <c r="V6" s="91" t="s">
        <v>340</v>
      </c>
      <c r="W6" s="91" t="s">
        <v>341</v>
      </c>
      <c r="X6" s="91" t="s">
        <v>342</v>
      </c>
      <c r="Y6" s="91"/>
      <c r="Z6" s="91"/>
    </row>
    <row r="7" spans="1:26" ht="12.75" customHeight="1">
      <c r="A7" s="32" t="s">
        <v>76</v>
      </c>
      <c r="B7" s="32" t="str">
        <f t="shared" si="0"/>
        <v>Amazon6</v>
      </c>
      <c r="C7" s="32" t="s">
        <v>343</v>
      </c>
      <c r="D7" s="32" t="str">
        <f t="shared" si="1"/>
        <v>AmazonJourney Linewoman</v>
      </c>
      <c r="E7" s="32">
        <v>6</v>
      </c>
      <c r="F7" s="32">
        <v>3</v>
      </c>
      <c r="G7" s="32">
        <v>3</v>
      </c>
      <c r="H7" s="32">
        <v>4</v>
      </c>
      <c r="I7" s="32">
        <v>8</v>
      </c>
      <c r="J7" s="32" t="str">
        <f>IF(Roster!$J$24="English",U7,(IF(Roster!$J$24="Español",V7,(IF(Roster!$J$24="Deutsch",W7,(IF(Roster!$J$24="Français",X7)))))))</f>
        <v>Loner (4+), Dodge</v>
      </c>
      <c r="K7" s="31">
        <v>0</v>
      </c>
      <c r="L7" s="31">
        <v>50</v>
      </c>
      <c r="M7" s="32">
        <v>11</v>
      </c>
      <c r="N7" s="32">
        <v>0</v>
      </c>
      <c r="O7" s="31" t="s">
        <v>250</v>
      </c>
      <c r="P7" s="31" t="s">
        <v>250</v>
      </c>
      <c r="Q7" s="31" t="s">
        <v>249</v>
      </c>
      <c r="R7" s="31" t="s">
        <v>249</v>
      </c>
      <c r="S7" s="31">
        <v>0</v>
      </c>
      <c r="T7" s="91" t="str">
        <f t="shared" si="3"/>
        <v>M</v>
      </c>
      <c r="U7" s="91" t="s">
        <v>344</v>
      </c>
      <c r="V7" s="91" t="s">
        <v>345</v>
      </c>
      <c r="W7" s="91" t="s">
        <v>346</v>
      </c>
      <c r="X7" s="91" t="s">
        <v>347</v>
      </c>
      <c r="Y7" s="91"/>
      <c r="Z7" s="91"/>
    </row>
    <row r="8" spans="1:26" ht="12.75" customHeight="1">
      <c r="A8" s="32" t="s">
        <v>83</v>
      </c>
      <c r="B8" s="32" t="str">
        <f t="shared" si="0"/>
        <v>Black Orc1</v>
      </c>
      <c r="C8" s="32" t="str">
        <f>""</f>
        <v/>
      </c>
      <c r="D8" s="32" t="str">
        <f t="shared" si="1"/>
        <v>Black Orc</v>
      </c>
      <c r="E8" s="32">
        <v>0</v>
      </c>
      <c r="F8" s="32">
        <v>0</v>
      </c>
      <c r="G8" s="32">
        <v>0</v>
      </c>
      <c r="H8" s="32">
        <v>0</v>
      </c>
      <c r="I8" s="32">
        <v>0</v>
      </c>
      <c r="J8" s="32">
        <f>IF(Roster!$J$24="English",U8,(IF(Roster!$J$24="Español",V8,(IF(Roster!$J$24="Deutsch",W8,(IF(Roster!$J$24="Français",X8)))))))</f>
        <v>0</v>
      </c>
      <c r="K8" s="31">
        <v>0</v>
      </c>
      <c r="L8" s="31">
        <f t="shared" ref="L8:L11" si="4">K8/1000</f>
        <v>0</v>
      </c>
      <c r="M8" s="31">
        <v>0</v>
      </c>
      <c r="N8" s="31">
        <v>0</v>
      </c>
      <c r="O8" s="31"/>
      <c r="P8" s="31"/>
      <c r="Q8" s="31"/>
      <c r="R8" s="31"/>
      <c r="S8" s="31"/>
      <c r="T8" s="91"/>
      <c r="U8" s="91">
        <v>0</v>
      </c>
      <c r="V8" s="91">
        <v>0</v>
      </c>
      <c r="W8" s="91">
        <v>0</v>
      </c>
      <c r="X8" s="91">
        <v>0</v>
      </c>
      <c r="Y8" s="91">
        <v>0</v>
      </c>
      <c r="Z8" s="91"/>
    </row>
    <row r="9" spans="1:26" ht="12.75" customHeight="1">
      <c r="A9" s="32" t="s">
        <v>83</v>
      </c>
      <c r="B9" s="32" t="str">
        <f t="shared" si="0"/>
        <v>Black Orc2</v>
      </c>
      <c r="C9" s="32" t="s">
        <v>348</v>
      </c>
      <c r="D9" s="32" t="str">
        <f t="shared" si="1"/>
        <v>Black OrcGoblin Bruiser</v>
      </c>
      <c r="E9" s="32">
        <v>6</v>
      </c>
      <c r="F9" s="32">
        <v>2</v>
      </c>
      <c r="G9" s="32">
        <v>3</v>
      </c>
      <c r="H9" s="32">
        <v>4</v>
      </c>
      <c r="I9" s="32">
        <v>8</v>
      </c>
      <c r="J9" s="32" t="str">
        <f>IF(Roster!$J$24="English",U9,(IF(Roster!$J$24="Español",V9,(IF(Roster!$J$24="Deutsch",W9,(IF(Roster!$J$24="Français",X9)))))))</f>
        <v>Dodge, Right Stuff, Stunty, Thick Skull</v>
      </c>
      <c r="K9" s="31">
        <v>45000</v>
      </c>
      <c r="L9" s="31">
        <f t="shared" si="4"/>
        <v>45</v>
      </c>
      <c r="M9" s="31">
        <v>12</v>
      </c>
      <c r="N9" s="31">
        <v>0</v>
      </c>
      <c r="O9" s="31" t="s">
        <v>249</v>
      </c>
      <c r="P9" s="31" t="s">
        <v>250</v>
      </c>
      <c r="Q9" s="31" t="s">
        <v>249</v>
      </c>
      <c r="R9" s="31" t="s">
        <v>249</v>
      </c>
      <c r="S9" s="31">
        <v>0</v>
      </c>
      <c r="T9" s="91" t="str">
        <f t="shared" ref="T9:T12" si="5">IF(AND(R9&lt;&gt;0,S9&lt;&gt;0),"FULL",(IF(AND(R9=0,S9=0),"PM",IF(R9=0,"P",(IF(S9=0,"M"))))))</f>
        <v>M</v>
      </c>
      <c r="U9" s="91" t="s">
        <v>349</v>
      </c>
      <c r="V9" s="91" t="s">
        <v>350</v>
      </c>
      <c r="W9" s="91" t="s">
        <v>351</v>
      </c>
      <c r="X9" s="91" t="s">
        <v>352</v>
      </c>
      <c r="Y9" s="91"/>
      <c r="Z9" s="91"/>
    </row>
    <row r="10" spans="1:26" ht="12.75" customHeight="1">
      <c r="A10" s="32" t="s">
        <v>83</v>
      </c>
      <c r="B10" s="32" t="str">
        <f t="shared" si="0"/>
        <v>Black Orc3</v>
      </c>
      <c r="C10" s="32" t="s">
        <v>83</v>
      </c>
      <c r="D10" s="32" t="str">
        <f t="shared" si="1"/>
        <v>Black OrcBlack Orc</v>
      </c>
      <c r="E10" s="32">
        <v>4</v>
      </c>
      <c r="F10" s="32">
        <v>4</v>
      </c>
      <c r="G10" s="32">
        <v>4</v>
      </c>
      <c r="H10" s="32">
        <v>5</v>
      </c>
      <c r="I10" s="32">
        <v>10</v>
      </c>
      <c r="J10" s="32" t="str">
        <f>IF(Roster!$J$24="English",U10,(IF(Roster!$J$24="Español",V10,(IF(Roster!$J$24="Deutsch",W10,(IF(Roster!$J$24="Français",X10)))))))</f>
        <v>Brawler, Grab</v>
      </c>
      <c r="K10" s="31">
        <v>90000</v>
      </c>
      <c r="L10" s="31">
        <f t="shared" si="4"/>
        <v>90</v>
      </c>
      <c r="M10" s="31">
        <v>6</v>
      </c>
      <c r="N10" s="31">
        <v>0</v>
      </c>
      <c r="O10" s="31" t="s">
        <v>250</v>
      </c>
      <c r="P10" s="31" t="s">
        <v>249</v>
      </c>
      <c r="Q10" s="31" t="s">
        <v>250</v>
      </c>
      <c r="R10" s="31" t="s">
        <v>249</v>
      </c>
      <c r="S10" s="31">
        <v>0</v>
      </c>
      <c r="T10" s="91" t="str">
        <f t="shared" si="5"/>
        <v>M</v>
      </c>
      <c r="U10" s="91" t="s">
        <v>353</v>
      </c>
      <c r="V10" s="91" t="s">
        <v>354</v>
      </c>
      <c r="W10" s="91" t="s">
        <v>355</v>
      </c>
      <c r="X10" s="91" t="s">
        <v>356</v>
      </c>
      <c r="Y10" s="91"/>
      <c r="Z10" s="91"/>
    </row>
    <row r="11" spans="1:26" ht="12.75" customHeight="1">
      <c r="A11" s="32" t="s">
        <v>83</v>
      </c>
      <c r="B11" s="32" t="str">
        <f t="shared" si="0"/>
        <v>Black Orc4</v>
      </c>
      <c r="C11" s="32" t="s">
        <v>357</v>
      </c>
      <c r="D11" s="32" t="str">
        <f t="shared" si="1"/>
        <v>Black OrcTrained Troll</v>
      </c>
      <c r="E11" s="32">
        <v>4</v>
      </c>
      <c r="F11" s="32">
        <v>5</v>
      </c>
      <c r="G11" s="32">
        <v>5</v>
      </c>
      <c r="H11" s="32">
        <v>5</v>
      </c>
      <c r="I11" s="32">
        <v>10</v>
      </c>
      <c r="J11" s="32" t="str">
        <f>IF(Roster!$J$24="English",U11,(IF(Roster!$J$24="Español",V11,(IF(Roster!$J$24="Deutsch",W11,(IF(Roster!$J$24="Français",X11)))))))</f>
        <v>Always Hungry, Loner (3+), Mighty Blow (+1), Projectile Vomit, Really Stupid, Regeneration, Throw Team-mate</v>
      </c>
      <c r="K11" s="31">
        <v>115000</v>
      </c>
      <c r="L11" s="31">
        <f t="shared" si="4"/>
        <v>115</v>
      </c>
      <c r="M11" s="31">
        <v>1</v>
      </c>
      <c r="N11" s="31">
        <v>1</v>
      </c>
      <c r="O11" s="31" t="s">
        <v>249</v>
      </c>
      <c r="P11" s="31" t="s">
        <v>249</v>
      </c>
      <c r="Q11" s="31" t="s">
        <v>250</v>
      </c>
      <c r="R11" s="31" t="s">
        <v>249</v>
      </c>
      <c r="S11" s="31">
        <v>0</v>
      </c>
      <c r="T11" s="91" t="str">
        <f t="shared" si="5"/>
        <v>M</v>
      </c>
      <c r="U11" s="91" t="s">
        <v>358</v>
      </c>
      <c r="V11" s="91" t="s">
        <v>359</v>
      </c>
      <c r="W11" s="91" t="s">
        <v>360</v>
      </c>
      <c r="X11" s="91" t="s">
        <v>361</v>
      </c>
      <c r="Y11" s="91"/>
      <c r="Z11" s="91"/>
    </row>
    <row r="12" spans="1:26" ht="12.75" customHeight="1">
      <c r="A12" s="32" t="s">
        <v>83</v>
      </c>
      <c r="B12" s="32" t="str">
        <f t="shared" si="0"/>
        <v>Black Orc5</v>
      </c>
      <c r="C12" s="32" t="s">
        <v>362</v>
      </c>
      <c r="D12" s="32" t="str">
        <f t="shared" si="1"/>
        <v>Black OrcJourney Goblin</v>
      </c>
      <c r="E12" s="32">
        <v>6</v>
      </c>
      <c r="F12" s="32">
        <v>2</v>
      </c>
      <c r="G12" s="32">
        <v>3</v>
      </c>
      <c r="H12" s="32">
        <v>4</v>
      </c>
      <c r="I12" s="32">
        <v>8</v>
      </c>
      <c r="J12" s="32" t="str">
        <f>IF(Roster!$J$24="English",U12,(IF(Roster!$J$24="Español",V12,(IF(Roster!$J$24="Deutsch",W12,(IF(Roster!$J$24="Français",X12)))))))</f>
        <v>Loner (4+), Dodge, Right Stuff, Stunty, Thick Skull</v>
      </c>
      <c r="K12" s="31">
        <v>0</v>
      </c>
      <c r="L12" s="31">
        <v>45</v>
      </c>
      <c r="M12" s="31">
        <v>11</v>
      </c>
      <c r="N12" s="31">
        <v>0</v>
      </c>
      <c r="O12" s="31" t="s">
        <v>249</v>
      </c>
      <c r="P12" s="31" t="s">
        <v>250</v>
      </c>
      <c r="Q12" s="31" t="s">
        <v>249</v>
      </c>
      <c r="R12" s="31" t="s">
        <v>249</v>
      </c>
      <c r="S12" s="31">
        <v>0</v>
      </c>
      <c r="T12" s="91" t="str">
        <f t="shared" si="5"/>
        <v>M</v>
      </c>
      <c r="U12" s="91" t="s">
        <v>363</v>
      </c>
      <c r="V12" s="91" t="s">
        <v>364</v>
      </c>
      <c r="W12" s="91" t="s">
        <v>365</v>
      </c>
      <c r="X12" s="91" t="s">
        <v>366</v>
      </c>
      <c r="Y12" s="91"/>
      <c r="Z12" s="91"/>
    </row>
    <row r="13" spans="1:26" ht="12.75" customHeight="1">
      <c r="A13" s="32" t="s">
        <v>91</v>
      </c>
      <c r="B13" s="32" t="str">
        <f t="shared" si="0"/>
        <v>Chaos Chosen1</v>
      </c>
      <c r="C13" s="32" t="str">
        <f>""</f>
        <v/>
      </c>
      <c r="D13" s="32" t="str">
        <f t="shared" si="1"/>
        <v>Chaos Chosen</v>
      </c>
      <c r="E13" s="32">
        <v>0</v>
      </c>
      <c r="F13" s="32">
        <v>0</v>
      </c>
      <c r="G13" s="32">
        <v>0</v>
      </c>
      <c r="H13" s="32">
        <v>0</v>
      </c>
      <c r="I13" s="32">
        <v>0</v>
      </c>
      <c r="J13" s="32">
        <f>IF(Roster!$J$24="English",U13,(IF(Roster!$J$24="Español",V13,(IF(Roster!$J$24="Deutsch",W13,(IF(Roster!$J$24="Français",X13)))))))</f>
        <v>0</v>
      </c>
      <c r="K13" s="31">
        <v>0</v>
      </c>
      <c r="L13" s="31">
        <f t="shared" ref="L13:L18" si="6">K13/1000</f>
        <v>0</v>
      </c>
      <c r="M13" s="31">
        <v>0</v>
      </c>
      <c r="N13" s="31">
        <v>0</v>
      </c>
      <c r="O13" s="31"/>
      <c r="P13" s="31"/>
      <c r="Q13" s="31"/>
      <c r="R13" s="31"/>
      <c r="S13" s="31"/>
      <c r="T13" s="91"/>
      <c r="U13" s="91"/>
      <c r="V13" s="91"/>
      <c r="W13" s="91"/>
      <c r="X13" s="91"/>
      <c r="Y13" s="91"/>
      <c r="Z13" s="91"/>
    </row>
    <row r="14" spans="1:26" ht="12.75" customHeight="1">
      <c r="A14" s="32" t="s">
        <v>91</v>
      </c>
      <c r="B14" s="32" t="str">
        <f t="shared" si="0"/>
        <v>Chaos Chosen2</v>
      </c>
      <c r="C14" s="32" t="s">
        <v>367</v>
      </c>
      <c r="D14" s="32" t="str">
        <f t="shared" si="1"/>
        <v>Chaos ChosenBeastman</v>
      </c>
      <c r="E14" s="32">
        <v>6</v>
      </c>
      <c r="F14" s="32">
        <v>3</v>
      </c>
      <c r="G14" s="32">
        <v>3</v>
      </c>
      <c r="H14" s="32">
        <v>4</v>
      </c>
      <c r="I14" s="32">
        <v>9</v>
      </c>
      <c r="J14" s="32" t="str">
        <f>IF(Roster!$J$24="English",U14,(IF(Roster!$J$24="Español",V14,(IF(Roster!$J$24="Deutsch",W14,(IF(Roster!$J$24="Français",X14)))))))</f>
        <v>Horns</v>
      </c>
      <c r="K14" s="31">
        <v>60000</v>
      </c>
      <c r="L14" s="31">
        <f t="shared" si="6"/>
        <v>60</v>
      </c>
      <c r="M14" s="32">
        <v>16</v>
      </c>
      <c r="N14" s="32">
        <v>0</v>
      </c>
      <c r="O14" s="31" t="s">
        <v>250</v>
      </c>
      <c r="P14" s="31" t="s">
        <v>249</v>
      </c>
      <c r="Q14" s="31" t="s">
        <v>250</v>
      </c>
      <c r="R14" s="31" t="s">
        <v>249</v>
      </c>
      <c r="S14" s="31" t="s">
        <v>250</v>
      </c>
      <c r="T14" s="91" t="str">
        <f t="shared" ref="T14:T19" si="7">IF(AND(R14&lt;&gt;0,S14&lt;&gt;0),"FULL",(IF(AND(R14=0,S14=0),"PM",IF(R14=0,"P",(IF(S14=0,"M"))))))</f>
        <v>FULL</v>
      </c>
      <c r="U14" s="91" t="s">
        <v>368</v>
      </c>
      <c r="V14" s="91" t="s">
        <v>369</v>
      </c>
      <c r="W14" s="91" t="s">
        <v>370</v>
      </c>
      <c r="X14" s="91" t="s">
        <v>371</v>
      </c>
      <c r="Y14" s="91"/>
      <c r="Z14" s="91"/>
    </row>
    <row r="15" spans="1:26" ht="12.75" customHeight="1">
      <c r="A15" s="32" t="s">
        <v>91</v>
      </c>
      <c r="B15" s="32" t="str">
        <f t="shared" si="0"/>
        <v>Chaos Chosen3</v>
      </c>
      <c r="C15" s="32" t="s">
        <v>372</v>
      </c>
      <c r="D15" s="32" t="str">
        <f t="shared" si="1"/>
        <v>Chaos ChosenChaos Warrior</v>
      </c>
      <c r="E15" s="32">
        <v>5</v>
      </c>
      <c r="F15" s="32">
        <v>4</v>
      </c>
      <c r="G15" s="32">
        <v>3</v>
      </c>
      <c r="H15" s="32">
        <v>5</v>
      </c>
      <c r="I15" s="32">
        <v>10</v>
      </c>
      <c r="J15" s="32" t="str">
        <f>IF(Roster!$J$24="English",U15,(IF(Roster!$J$24="Español",V15,(IF(Roster!$J$24="Deutsch",W15,(IF(Roster!$J$24="Français",X15)))))))</f>
        <v/>
      </c>
      <c r="K15" s="31">
        <v>100000</v>
      </c>
      <c r="L15" s="31">
        <f t="shared" si="6"/>
        <v>100</v>
      </c>
      <c r="M15" s="32">
        <v>4</v>
      </c>
      <c r="N15" s="32">
        <v>0</v>
      </c>
      <c r="O15" s="31" t="s">
        <v>250</v>
      </c>
      <c r="P15" s="31" t="s">
        <v>249</v>
      </c>
      <c r="Q15" s="31" t="s">
        <v>250</v>
      </c>
      <c r="R15" s="31" t="s">
        <v>249</v>
      </c>
      <c r="S15" s="31" t="s">
        <v>250</v>
      </c>
      <c r="T15" s="91" t="str">
        <f t="shared" si="7"/>
        <v>FULL</v>
      </c>
      <c r="U15" s="91" t="str">
        <f t="shared" ref="U15:Y15" si="8">""</f>
        <v/>
      </c>
      <c r="V15" s="91" t="str">
        <f t="shared" si="8"/>
        <v/>
      </c>
      <c r="W15" s="91" t="str">
        <f t="shared" si="8"/>
        <v/>
      </c>
      <c r="X15" s="91" t="str">
        <f t="shared" si="8"/>
        <v/>
      </c>
      <c r="Y15" s="91" t="str">
        <f t="shared" si="8"/>
        <v/>
      </c>
      <c r="Z15" s="91"/>
    </row>
    <row r="16" spans="1:26" ht="12.75" customHeight="1">
      <c r="A16" s="32" t="s">
        <v>91</v>
      </c>
      <c r="B16" s="32" t="str">
        <f t="shared" si="0"/>
        <v>Chaos Chosen4</v>
      </c>
      <c r="C16" s="32" t="s">
        <v>373</v>
      </c>
      <c r="D16" s="32" t="str">
        <f t="shared" si="1"/>
        <v>Chaos ChosenChaos Troll</v>
      </c>
      <c r="E16" s="32">
        <v>4</v>
      </c>
      <c r="F16" s="32">
        <v>5</v>
      </c>
      <c r="G16" s="32">
        <v>5</v>
      </c>
      <c r="H16" s="32">
        <v>5</v>
      </c>
      <c r="I16" s="32">
        <v>10</v>
      </c>
      <c r="J16" s="32" t="str">
        <f>IF(Roster!$J$24="English",U16,(IF(Roster!$J$24="Español",V16,(IF(Roster!$J$24="Deutsch",W16,(IF(Roster!$J$24="Français",X16)))))))</f>
        <v>Always Hungry, Loner (4+), Mighty Blow (+1), Projectile Vomit, Really Stupid, Regeneration, Throw Team-mate</v>
      </c>
      <c r="K16" s="31">
        <v>115000</v>
      </c>
      <c r="L16" s="31">
        <f t="shared" si="6"/>
        <v>115</v>
      </c>
      <c r="M16" s="32">
        <v>1</v>
      </c>
      <c r="N16" s="32">
        <v>1</v>
      </c>
      <c r="O16" s="31" t="s">
        <v>249</v>
      </c>
      <c r="P16" s="31" t="s">
        <v>249</v>
      </c>
      <c r="Q16" s="31" t="s">
        <v>250</v>
      </c>
      <c r="R16" s="31" t="s">
        <v>249</v>
      </c>
      <c r="S16" s="31" t="s">
        <v>250</v>
      </c>
      <c r="T16" s="91" t="str">
        <f t="shared" si="7"/>
        <v>FULL</v>
      </c>
      <c r="U16" s="91" t="s">
        <v>374</v>
      </c>
      <c r="V16" s="91" t="s">
        <v>375</v>
      </c>
      <c r="W16" s="91" t="s">
        <v>376</v>
      </c>
      <c r="X16" s="91" t="s">
        <v>377</v>
      </c>
      <c r="Y16" s="91"/>
      <c r="Z16" s="91"/>
    </row>
    <row r="17" spans="1:26" ht="12.75" customHeight="1">
      <c r="A17" s="32" t="s">
        <v>91</v>
      </c>
      <c r="B17" s="32" t="str">
        <f t="shared" si="0"/>
        <v>Chaos Chosen5</v>
      </c>
      <c r="C17" s="32" t="s">
        <v>378</v>
      </c>
      <c r="D17" s="32" t="str">
        <f t="shared" si="1"/>
        <v>Chaos ChosenChaos Ogre</v>
      </c>
      <c r="E17" s="32">
        <v>5</v>
      </c>
      <c r="F17" s="32">
        <v>5</v>
      </c>
      <c r="G17" s="32">
        <v>4</v>
      </c>
      <c r="H17" s="32">
        <v>5</v>
      </c>
      <c r="I17" s="32">
        <v>10</v>
      </c>
      <c r="J17" s="32" t="str">
        <f>IF(Roster!$J$24="English",U17,(IF(Roster!$J$24="Español",V17,(IF(Roster!$J$24="Deutsch",W17,(IF(Roster!$J$24="Français",X17)))))))</f>
        <v>Bone Head, Loner (4+), Mighty Blow (+1), Thick Skull, Throw Team-mate</v>
      </c>
      <c r="K17" s="31">
        <v>140000</v>
      </c>
      <c r="L17" s="31">
        <f t="shared" si="6"/>
        <v>140</v>
      </c>
      <c r="M17" s="32">
        <v>1</v>
      </c>
      <c r="N17" s="32">
        <v>1</v>
      </c>
      <c r="O17" s="31" t="s">
        <v>249</v>
      </c>
      <c r="P17" s="31" t="s">
        <v>249</v>
      </c>
      <c r="Q17" s="31" t="s">
        <v>250</v>
      </c>
      <c r="R17" s="31" t="s">
        <v>249</v>
      </c>
      <c r="S17" s="31" t="s">
        <v>250</v>
      </c>
      <c r="T17" s="91" t="str">
        <f t="shared" si="7"/>
        <v>FULL</v>
      </c>
      <c r="U17" s="91" t="s">
        <v>379</v>
      </c>
      <c r="V17" s="91" t="s">
        <v>380</v>
      </c>
      <c r="W17" s="91" t="s">
        <v>381</v>
      </c>
      <c r="X17" s="91" t="s">
        <v>382</v>
      </c>
      <c r="Y17" s="91"/>
      <c r="Z17" s="91"/>
    </row>
    <row r="18" spans="1:26" ht="12.75" customHeight="1">
      <c r="A18" s="32" t="s">
        <v>91</v>
      </c>
      <c r="B18" s="32" t="str">
        <f t="shared" si="0"/>
        <v>Chaos Chosen6</v>
      </c>
      <c r="C18" s="32" t="s">
        <v>383</v>
      </c>
      <c r="D18" s="32" t="str">
        <f t="shared" si="1"/>
        <v>Chaos ChosenMinotaur</v>
      </c>
      <c r="E18" s="32">
        <v>5</v>
      </c>
      <c r="F18" s="32">
        <v>5</v>
      </c>
      <c r="G18" s="32">
        <v>4</v>
      </c>
      <c r="H18" s="32">
        <v>0</v>
      </c>
      <c r="I18" s="32">
        <v>9</v>
      </c>
      <c r="J18" s="32" t="str">
        <f>IF(Roster!$J$24="English",U18,(IF(Roster!$J$24="Español",V18,(IF(Roster!$J$24="Deutsch",W18,(IF(Roster!$J$24="Français",X18)))))))</f>
        <v>Loner (4+), Frenzy, Horns, Mighty Blow (+1), Thick Skull, Unchannelled Fury</v>
      </c>
      <c r="K18" s="31">
        <v>150000</v>
      </c>
      <c r="L18" s="31">
        <f t="shared" si="6"/>
        <v>150</v>
      </c>
      <c r="M18" s="31">
        <v>1</v>
      </c>
      <c r="N18" s="31">
        <v>1</v>
      </c>
      <c r="O18" s="31" t="s">
        <v>249</v>
      </c>
      <c r="P18" s="31" t="s">
        <v>249</v>
      </c>
      <c r="Q18" s="31" t="s">
        <v>250</v>
      </c>
      <c r="R18" s="225">
        <v>0</v>
      </c>
      <c r="S18" s="31" t="s">
        <v>250</v>
      </c>
      <c r="T18" s="91" t="str">
        <f t="shared" si="7"/>
        <v>P</v>
      </c>
      <c r="U18" s="91" t="s">
        <v>384</v>
      </c>
      <c r="V18" s="91" t="s">
        <v>385</v>
      </c>
      <c r="W18" s="91" t="s">
        <v>386</v>
      </c>
      <c r="X18" s="91" t="s">
        <v>387</v>
      </c>
      <c r="Y18" s="91"/>
      <c r="Z18" s="91"/>
    </row>
    <row r="19" spans="1:26" ht="12.75" customHeight="1">
      <c r="A19" s="32" t="s">
        <v>91</v>
      </c>
      <c r="B19" s="32" t="str">
        <f t="shared" si="0"/>
        <v>Chaos Chosen7</v>
      </c>
      <c r="C19" s="32" t="s">
        <v>388</v>
      </c>
      <c r="D19" s="32" t="str">
        <f t="shared" si="1"/>
        <v>Chaos ChosenJourney Beastman</v>
      </c>
      <c r="E19" s="32">
        <v>6</v>
      </c>
      <c r="F19" s="32">
        <v>3</v>
      </c>
      <c r="G19" s="32">
        <v>3</v>
      </c>
      <c r="H19" s="32">
        <v>4</v>
      </c>
      <c r="I19" s="32">
        <v>9</v>
      </c>
      <c r="J19" s="32" t="str">
        <f>IF(Roster!$J$24="English",U19,(IF(Roster!$J$24="Español",V19,(IF(Roster!$J$24="Deutsch",W19,(IF(Roster!$J$24="Français",X19)))))))</f>
        <v>Loner (4+), Horns</v>
      </c>
      <c r="K19" s="31">
        <v>0</v>
      </c>
      <c r="L19" s="31">
        <v>60</v>
      </c>
      <c r="M19" s="31">
        <v>11</v>
      </c>
      <c r="N19" s="31">
        <v>0</v>
      </c>
      <c r="O19" s="31" t="s">
        <v>250</v>
      </c>
      <c r="P19" s="31" t="s">
        <v>249</v>
      </c>
      <c r="Q19" s="31" t="s">
        <v>250</v>
      </c>
      <c r="R19" s="31" t="s">
        <v>249</v>
      </c>
      <c r="S19" s="31" t="s">
        <v>250</v>
      </c>
      <c r="T19" s="91" t="str">
        <f t="shared" si="7"/>
        <v>FULL</v>
      </c>
      <c r="U19" s="91" t="s">
        <v>389</v>
      </c>
      <c r="V19" s="91" t="s">
        <v>390</v>
      </c>
      <c r="W19" s="91" t="s">
        <v>391</v>
      </c>
      <c r="X19" s="91" t="s">
        <v>392</v>
      </c>
      <c r="Y19" s="91"/>
      <c r="Z19" s="91"/>
    </row>
    <row r="20" spans="1:26" ht="12.75" customHeight="1">
      <c r="A20" s="32" t="s">
        <v>99</v>
      </c>
      <c r="B20" s="32" t="str">
        <f t="shared" si="0"/>
        <v>Chaos Dwarf1</v>
      </c>
      <c r="C20" s="32" t="str">
        <f>""</f>
        <v/>
      </c>
      <c r="D20" s="32" t="str">
        <f t="shared" si="1"/>
        <v>Chaos Dwarf</v>
      </c>
      <c r="E20" s="32">
        <v>0</v>
      </c>
      <c r="F20" s="32">
        <v>0</v>
      </c>
      <c r="G20" s="32">
        <v>0</v>
      </c>
      <c r="H20" s="32">
        <v>0</v>
      </c>
      <c r="I20" s="32">
        <v>0</v>
      </c>
      <c r="J20" s="32">
        <f>IF(Roster!$J$24="English",U20,(IF(Roster!$J$24="Español",V20,(IF(Roster!$J$24="Deutsch",W20,(IF(Roster!$J$24="Français",X20)))))))</f>
        <v>0</v>
      </c>
      <c r="K20" s="31">
        <v>0</v>
      </c>
      <c r="L20" s="31">
        <f t="shared" ref="L20:L24" si="9">K20/1000</f>
        <v>0</v>
      </c>
      <c r="M20" s="31">
        <v>0</v>
      </c>
      <c r="N20" s="31">
        <v>0</v>
      </c>
      <c r="O20" s="31"/>
      <c r="P20" s="31"/>
      <c r="Q20" s="31"/>
      <c r="R20" s="31"/>
      <c r="S20" s="31"/>
      <c r="T20" s="91"/>
      <c r="U20" s="91">
        <v>0</v>
      </c>
      <c r="V20" s="91">
        <v>0</v>
      </c>
      <c r="W20" s="91">
        <v>0</v>
      </c>
      <c r="X20" s="91">
        <v>0</v>
      </c>
      <c r="Y20" s="91">
        <v>0</v>
      </c>
      <c r="Z20" s="91"/>
    </row>
    <row r="21" spans="1:26" ht="12.75" customHeight="1">
      <c r="A21" s="32" t="s">
        <v>99</v>
      </c>
      <c r="B21" s="32" t="str">
        <f t="shared" si="0"/>
        <v>Chaos Dwarf2</v>
      </c>
      <c r="C21" s="32" t="s">
        <v>393</v>
      </c>
      <c r="D21" s="32" t="str">
        <f t="shared" si="1"/>
        <v>Chaos DwarfHobgoblin</v>
      </c>
      <c r="E21" s="32">
        <v>6</v>
      </c>
      <c r="F21" s="32">
        <v>3</v>
      </c>
      <c r="G21" s="32">
        <v>3</v>
      </c>
      <c r="H21" s="32">
        <v>4</v>
      </c>
      <c r="I21" s="32">
        <v>8</v>
      </c>
      <c r="J21" s="32" t="str">
        <f>IF(Roster!$J$24="English",U21,(IF(Roster!$J$24="Español",V21,(IF(Roster!$J$24="Deutsch",W21,(IF(Roster!$J$24="Français",X21)))))))</f>
        <v/>
      </c>
      <c r="K21" s="31">
        <v>40000</v>
      </c>
      <c r="L21" s="31">
        <f t="shared" si="9"/>
        <v>40</v>
      </c>
      <c r="M21" s="224">
        <v>16</v>
      </c>
      <c r="N21" s="224">
        <v>0</v>
      </c>
      <c r="O21" s="31" t="s">
        <v>250</v>
      </c>
      <c r="P21" s="31" t="s">
        <v>249</v>
      </c>
      <c r="Q21" s="31" t="s">
        <v>249</v>
      </c>
      <c r="R21" s="31" t="s">
        <v>249</v>
      </c>
      <c r="S21" s="31" t="s">
        <v>249</v>
      </c>
      <c r="T21" s="91" t="str">
        <f t="shared" ref="T21:T25" si="10">IF(AND(R21&lt;&gt;0,S21&lt;&gt;0),"FULL",(IF(AND(R21=0,S21=0),"PM",IF(R21=0,"P",(IF(S21=0,"M"))))))</f>
        <v>FULL</v>
      </c>
      <c r="U21" s="91" t="str">
        <f t="shared" ref="U21:X21" si="11">""</f>
        <v/>
      </c>
      <c r="V21" s="91" t="str">
        <f t="shared" si="11"/>
        <v/>
      </c>
      <c r="W21" s="91" t="str">
        <f t="shared" si="11"/>
        <v/>
      </c>
      <c r="X21" s="91" t="str">
        <f t="shared" si="11"/>
        <v/>
      </c>
      <c r="Y21" s="91"/>
      <c r="Z21" s="91"/>
    </row>
    <row r="22" spans="1:26" ht="12.75" customHeight="1">
      <c r="A22" s="32" t="s">
        <v>99</v>
      </c>
      <c r="B22" s="32" t="str">
        <f t="shared" si="0"/>
        <v>Chaos Dwarf3</v>
      </c>
      <c r="C22" s="32" t="s">
        <v>394</v>
      </c>
      <c r="D22" s="32" t="str">
        <f t="shared" si="1"/>
        <v>Chaos DwarfBlocker</v>
      </c>
      <c r="E22" s="32">
        <v>4</v>
      </c>
      <c r="F22" s="32">
        <v>3</v>
      </c>
      <c r="G22" s="32">
        <v>4</v>
      </c>
      <c r="H22" s="32">
        <v>6</v>
      </c>
      <c r="I22" s="32">
        <v>10</v>
      </c>
      <c r="J22" s="32" t="str">
        <f>IF(Roster!$J$24="English",U22,(IF(Roster!$J$24="Español",V22,(IF(Roster!$J$24="Deutsch",W22,(IF(Roster!$J$24="Français",X22)))))))</f>
        <v>Block, Tackle, Thick Skull</v>
      </c>
      <c r="K22" s="31">
        <v>70000</v>
      </c>
      <c r="L22" s="31">
        <f t="shared" si="9"/>
        <v>70</v>
      </c>
      <c r="M22" s="32">
        <v>6</v>
      </c>
      <c r="N22" s="32">
        <v>0</v>
      </c>
      <c r="O22" s="31" t="s">
        <v>250</v>
      </c>
      <c r="P22" s="31" t="s">
        <v>249</v>
      </c>
      <c r="Q22" s="31" t="s">
        <v>250</v>
      </c>
      <c r="R22" s="31" t="s">
        <v>249</v>
      </c>
      <c r="S22" s="31" t="s">
        <v>249</v>
      </c>
      <c r="T22" s="91" t="str">
        <f t="shared" si="10"/>
        <v>FULL</v>
      </c>
      <c r="U22" s="91" t="s">
        <v>395</v>
      </c>
      <c r="V22" s="91" t="s">
        <v>396</v>
      </c>
      <c r="W22" s="91" t="s">
        <v>397</v>
      </c>
      <c r="X22" s="91" t="s">
        <v>398</v>
      </c>
      <c r="Y22" s="91"/>
      <c r="Z22" s="91"/>
    </row>
    <row r="23" spans="1:26" ht="12.75" customHeight="1">
      <c r="A23" s="32" t="s">
        <v>99</v>
      </c>
      <c r="B23" s="32" t="str">
        <f t="shared" si="0"/>
        <v>Chaos Dwarf4</v>
      </c>
      <c r="C23" s="32" t="s">
        <v>399</v>
      </c>
      <c r="D23" s="32" t="str">
        <f t="shared" si="1"/>
        <v>Chaos DwarfBull Centaur</v>
      </c>
      <c r="E23" s="32">
        <v>6</v>
      </c>
      <c r="F23" s="32">
        <v>4</v>
      </c>
      <c r="G23" s="32">
        <v>4</v>
      </c>
      <c r="H23" s="32">
        <v>6</v>
      </c>
      <c r="I23" s="32">
        <v>10</v>
      </c>
      <c r="J23" s="32" t="str">
        <f>IF(Roster!$J$24="English",U23,(IF(Roster!$J$24="Español",V23,(IF(Roster!$J$24="Deutsch",W23,(IF(Roster!$J$24="Français",X23)))))))</f>
        <v>Sprint, Sure Feet, Thick Skull</v>
      </c>
      <c r="K23" s="31">
        <v>130000</v>
      </c>
      <c r="L23" s="31">
        <f t="shared" si="9"/>
        <v>130</v>
      </c>
      <c r="M23" s="32">
        <v>2</v>
      </c>
      <c r="N23" s="32">
        <v>0</v>
      </c>
      <c r="O23" s="31" t="s">
        <v>250</v>
      </c>
      <c r="P23" s="31" t="s">
        <v>249</v>
      </c>
      <c r="Q23" s="31" t="s">
        <v>250</v>
      </c>
      <c r="R23" s="31" t="s">
        <v>249</v>
      </c>
      <c r="S23" s="31" t="s">
        <v>249</v>
      </c>
      <c r="T23" s="91" t="str">
        <f t="shared" si="10"/>
        <v>FULL</v>
      </c>
      <c r="U23" s="91" t="s">
        <v>400</v>
      </c>
      <c r="V23" s="91" t="s">
        <v>401</v>
      </c>
      <c r="W23" s="91" t="s">
        <v>402</v>
      </c>
      <c r="X23" s="91" t="s">
        <v>403</v>
      </c>
      <c r="Y23" s="91"/>
      <c r="Z23" s="91"/>
    </row>
    <row r="24" spans="1:26" ht="12.75" customHeight="1">
      <c r="A24" s="32" t="s">
        <v>99</v>
      </c>
      <c r="B24" s="32" t="str">
        <f t="shared" si="0"/>
        <v>Chaos Dwarf5</v>
      </c>
      <c r="C24" s="32" t="s">
        <v>404</v>
      </c>
      <c r="D24" s="32" t="str">
        <f t="shared" si="1"/>
        <v>Chaos DwarfEnlasved Minotaur</v>
      </c>
      <c r="E24" s="32">
        <v>5</v>
      </c>
      <c r="F24" s="32">
        <v>5</v>
      </c>
      <c r="G24" s="32">
        <v>4</v>
      </c>
      <c r="H24" s="32">
        <v>0</v>
      </c>
      <c r="I24" s="32">
        <v>9</v>
      </c>
      <c r="J24" s="32" t="str">
        <f>IF(Roster!$J$24="English",U24,(IF(Roster!$J$24="Español",V24,(IF(Roster!$J$24="Deutsch",W24,(IF(Roster!$J$24="Français",X24)))))))</f>
        <v>Loner (4+), Frenzy, Horns, Mighty Blow (+1), Thick Skull, Animal Savagery</v>
      </c>
      <c r="K24" s="31">
        <v>150000</v>
      </c>
      <c r="L24" s="31">
        <f t="shared" si="9"/>
        <v>150</v>
      </c>
      <c r="M24" s="31">
        <v>1</v>
      </c>
      <c r="N24" s="31">
        <v>1</v>
      </c>
      <c r="O24" s="31" t="s">
        <v>249</v>
      </c>
      <c r="P24" s="31" t="s">
        <v>249</v>
      </c>
      <c r="Q24" s="31" t="s">
        <v>250</v>
      </c>
      <c r="R24" s="225">
        <v>0</v>
      </c>
      <c r="S24" s="31" t="s">
        <v>249</v>
      </c>
      <c r="T24" s="91" t="str">
        <f t="shared" si="10"/>
        <v>P</v>
      </c>
      <c r="U24" s="91" t="s">
        <v>405</v>
      </c>
      <c r="V24" s="91" t="s">
        <v>406</v>
      </c>
      <c r="W24" s="91" t="s">
        <v>407</v>
      </c>
      <c r="X24" s="91" t="s">
        <v>408</v>
      </c>
      <c r="Y24" s="91"/>
      <c r="Z24" s="91"/>
    </row>
    <row r="25" spans="1:26" ht="12.75" customHeight="1">
      <c r="A25" s="32" t="s">
        <v>99</v>
      </c>
      <c r="B25" s="32" t="str">
        <f t="shared" si="0"/>
        <v>Chaos Dwarf6</v>
      </c>
      <c r="C25" s="32" t="s">
        <v>409</v>
      </c>
      <c r="D25" s="32" t="str">
        <f t="shared" si="1"/>
        <v>Chaos DwarfJourney Hobgoblin</v>
      </c>
      <c r="E25" s="32">
        <v>6</v>
      </c>
      <c r="F25" s="32">
        <v>3</v>
      </c>
      <c r="G25" s="32">
        <v>3</v>
      </c>
      <c r="H25" s="32">
        <v>4</v>
      </c>
      <c r="I25" s="32">
        <v>8</v>
      </c>
      <c r="J25" s="32" t="str">
        <f>IF(Roster!$J$24="English",U25,(IF(Roster!$J$24="Español",V25,(IF(Roster!$J$24="Deutsch",W25,(IF(Roster!$J$24="Français",X25)))))))</f>
        <v>Loner (4+)</v>
      </c>
      <c r="K25" s="31">
        <v>0</v>
      </c>
      <c r="L25" s="31">
        <v>40</v>
      </c>
      <c r="M25" s="32">
        <v>11</v>
      </c>
      <c r="N25" s="32">
        <v>0</v>
      </c>
      <c r="O25" s="31" t="s">
        <v>250</v>
      </c>
      <c r="P25" s="31" t="s">
        <v>249</v>
      </c>
      <c r="Q25" s="31" t="s">
        <v>249</v>
      </c>
      <c r="R25" s="31" t="s">
        <v>249</v>
      </c>
      <c r="S25" s="31" t="s">
        <v>249</v>
      </c>
      <c r="T25" s="91" t="str">
        <f t="shared" si="10"/>
        <v>FULL</v>
      </c>
      <c r="U25" s="91" t="s">
        <v>410</v>
      </c>
      <c r="V25" s="91" t="s">
        <v>411</v>
      </c>
      <c r="W25" s="91" t="s">
        <v>412</v>
      </c>
      <c r="X25" s="91" t="s">
        <v>413</v>
      </c>
      <c r="Y25" s="91"/>
      <c r="Z25" s="91"/>
    </row>
    <row r="26" spans="1:26" ht="12.75" customHeight="1">
      <c r="A26" s="32" t="s">
        <v>107</v>
      </c>
      <c r="B26" s="32" t="str">
        <f t="shared" si="0"/>
        <v>Chaos Renegades1</v>
      </c>
      <c r="C26" s="32" t="str">
        <f>""</f>
        <v/>
      </c>
      <c r="D26" s="32" t="str">
        <f t="shared" si="1"/>
        <v>Chaos Renegades</v>
      </c>
      <c r="E26" s="32">
        <v>0</v>
      </c>
      <c r="F26" s="32">
        <v>0</v>
      </c>
      <c r="G26" s="32">
        <v>0</v>
      </c>
      <c r="H26" s="32">
        <v>0</v>
      </c>
      <c r="I26" s="32">
        <v>0</v>
      </c>
      <c r="J26" s="32">
        <f>IF(Roster!$J$24="English",U26,(IF(Roster!$J$24="Español",V26,(IF(Roster!$J$24="Deutsch",W26,(IF(Roster!$J$24="Français",X26)))))))</f>
        <v>0</v>
      </c>
      <c r="K26" s="31">
        <v>0</v>
      </c>
      <c r="L26" s="31">
        <f t="shared" ref="L26:L36" si="12">K26/1000</f>
        <v>0</v>
      </c>
      <c r="M26" s="31">
        <v>0</v>
      </c>
      <c r="N26" s="31">
        <v>0</v>
      </c>
      <c r="O26" s="31"/>
      <c r="P26" s="31"/>
      <c r="Q26" s="31"/>
      <c r="R26" s="31"/>
      <c r="S26" s="31"/>
      <c r="T26" s="91"/>
      <c r="U26" s="91">
        <v>0</v>
      </c>
      <c r="V26" s="91">
        <v>0</v>
      </c>
      <c r="W26" s="91">
        <v>0</v>
      </c>
      <c r="X26" s="91">
        <v>0</v>
      </c>
      <c r="Y26" s="91">
        <v>0</v>
      </c>
      <c r="Z26" s="91"/>
    </row>
    <row r="27" spans="1:26" ht="12.75" customHeight="1">
      <c r="A27" s="32" t="s">
        <v>107</v>
      </c>
      <c r="B27" s="32" t="str">
        <f t="shared" si="0"/>
        <v>Chaos Renegades2</v>
      </c>
      <c r="C27" s="32" t="s">
        <v>414</v>
      </c>
      <c r="D27" s="32" t="str">
        <f t="shared" si="1"/>
        <v>Chaos RenegadesLinemen Renegade</v>
      </c>
      <c r="E27" s="32">
        <v>6</v>
      </c>
      <c r="F27" s="32">
        <v>3</v>
      </c>
      <c r="G27" s="32">
        <v>3</v>
      </c>
      <c r="H27" s="32">
        <v>4</v>
      </c>
      <c r="I27" s="32">
        <v>9</v>
      </c>
      <c r="J27" s="32" t="str">
        <f>IF(Roster!$J$24="English",U27,(IF(Roster!$J$24="Español",V27,(IF(Roster!$J$24="Deutsch",W27,(IF(Roster!$J$24="Français",X27)))))))</f>
        <v/>
      </c>
      <c r="K27" s="31">
        <v>50000</v>
      </c>
      <c r="L27" s="31">
        <f t="shared" si="12"/>
        <v>50</v>
      </c>
      <c r="M27" s="32">
        <v>12</v>
      </c>
      <c r="N27" s="32">
        <v>0</v>
      </c>
      <c r="O27" s="31" t="s">
        <v>250</v>
      </c>
      <c r="P27" s="31" t="s">
        <v>249</v>
      </c>
      <c r="Q27" s="31" t="s">
        <v>249</v>
      </c>
      <c r="R27" s="31" t="s">
        <v>249</v>
      </c>
      <c r="S27" s="31" t="s">
        <v>250</v>
      </c>
      <c r="T27" s="91" t="str">
        <f t="shared" ref="T27:T37" si="13">IF(AND(R27&lt;&gt;0,S27&lt;&gt;0),"FULL",(IF(AND(R27=0,S27=0),"PM",IF(R27=0,"P",(IF(S27=0,"M"))))))</f>
        <v>FULL</v>
      </c>
      <c r="U27" s="91" t="str">
        <f t="shared" ref="U27:Y27" si="14">""</f>
        <v/>
      </c>
      <c r="V27" s="91" t="str">
        <f t="shared" si="14"/>
        <v/>
      </c>
      <c r="W27" s="91" t="str">
        <f t="shared" si="14"/>
        <v/>
      </c>
      <c r="X27" s="91" t="str">
        <f t="shared" si="14"/>
        <v/>
      </c>
      <c r="Y27" s="91" t="str">
        <f t="shared" si="14"/>
        <v/>
      </c>
      <c r="Z27" s="91"/>
    </row>
    <row r="28" spans="1:26" ht="12.75" customHeight="1">
      <c r="A28" s="32" t="s">
        <v>107</v>
      </c>
      <c r="B28" s="32" t="str">
        <f t="shared" si="0"/>
        <v>Chaos Renegades3</v>
      </c>
      <c r="C28" s="32" t="s">
        <v>415</v>
      </c>
      <c r="D28" s="32" t="str">
        <f t="shared" si="1"/>
        <v>Chaos RenegadesThrower Renegade</v>
      </c>
      <c r="E28" s="32">
        <v>6</v>
      </c>
      <c r="F28" s="32">
        <v>3</v>
      </c>
      <c r="G28" s="32">
        <v>3</v>
      </c>
      <c r="H28" s="32">
        <v>3</v>
      </c>
      <c r="I28" s="32">
        <v>9</v>
      </c>
      <c r="J28" s="32" t="str">
        <f>IF(Roster!$J$24="English",U28,(IF(Roster!$J$24="Español",V28,(IF(Roster!$J$24="Deutsch",W28,(IF(Roster!$J$24="Français",X28)))))))</f>
        <v>Animosity (all team-mates), Pass, Safe Pair of Hands</v>
      </c>
      <c r="K28" s="31">
        <v>75000</v>
      </c>
      <c r="L28" s="31">
        <f t="shared" si="12"/>
        <v>75</v>
      </c>
      <c r="M28" s="32">
        <v>1</v>
      </c>
      <c r="N28" s="32">
        <v>0</v>
      </c>
      <c r="O28" s="31" t="s">
        <v>250</v>
      </c>
      <c r="P28" s="31" t="s">
        <v>249</v>
      </c>
      <c r="Q28" s="31" t="s">
        <v>249</v>
      </c>
      <c r="R28" s="31" t="s">
        <v>250</v>
      </c>
      <c r="S28" s="31" t="s">
        <v>250</v>
      </c>
      <c r="T28" s="91" t="str">
        <f t="shared" si="13"/>
        <v>FULL</v>
      </c>
      <c r="U28" s="91" t="s">
        <v>416</v>
      </c>
      <c r="V28" s="91" t="s">
        <v>417</v>
      </c>
      <c r="W28" s="91" t="s">
        <v>418</v>
      </c>
      <c r="X28" s="91" t="s">
        <v>419</v>
      </c>
      <c r="Y28" s="91"/>
      <c r="Z28" s="91"/>
    </row>
    <row r="29" spans="1:26" ht="12.75" customHeight="1">
      <c r="A29" s="32" t="s">
        <v>107</v>
      </c>
      <c r="B29" s="32" t="str">
        <f t="shared" si="0"/>
        <v>Chaos Renegades4</v>
      </c>
      <c r="C29" s="32" t="s">
        <v>420</v>
      </c>
      <c r="D29" s="32" t="str">
        <f t="shared" si="1"/>
        <v>Chaos RenegadesGoblin Renegade</v>
      </c>
      <c r="E29" s="32">
        <v>6</v>
      </c>
      <c r="F29" s="32">
        <v>2</v>
      </c>
      <c r="G29" s="32">
        <v>3</v>
      </c>
      <c r="H29" s="32">
        <v>4</v>
      </c>
      <c r="I29" s="32">
        <v>8</v>
      </c>
      <c r="J29" s="32" t="str">
        <f>IF(Roster!$J$24="English",U29,(IF(Roster!$J$24="Español",V29,(IF(Roster!$J$24="Deutsch",W29,(IF(Roster!$J$24="Français",X29)))))))</f>
        <v>Animosity (all team-mates), Dodge, Right Stuff, Stunty</v>
      </c>
      <c r="K29" s="31">
        <v>40000</v>
      </c>
      <c r="L29" s="31">
        <f t="shared" si="12"/>
        <v>40</v>
      </c>
      <c r="M29" s="31">
        <v>1</v>
      </c>
      <c r="N29" s="31">
        <v>0</v>
      </c>
      <c r="O29" s="31" t="s">
        <v>249</v>
      </c>
      <c r="P29" s="31" t="s">
        <v>250</v>
      </c>
      <c r="Q29" s="31" t="s">
        <v>249</v>
      </c>
      <c r="R29" s="31" t="s">
        <v>249</v>
      </c>
      <c r="S29" s="31" t="s">
        <v>250</v>
      </c>
      <c r="T29" s="91" t="str">
        <f t="shared" si="13"/>
        <v>FULL</v>
      </c>
      <c r="U29" s="91" t="s">
        <v>421</v>
      </c>
      <c r="V29" s="91" t="s">
        <v>422</v>
      </c>
      <c r="W29" s="91" t="s">
        <v>423</v>
      </c>
      <c r="X29" s="91" t="s">
        <v>424</v>
      </c>
      <c r="Y29" s="91"/>
      <c r="Z29" s="91"/>
    </row>
    <row r="30" spans="1:26" ht="12.75" customHeight="1">
      <c r="A30" s="32" t="s">
        <v>107</v>
      </c>
      <c r="B30" s="32" t="str">
        <f t="shared" si="0"/>
        <v>Chaos Renegades5</v>
      </c>
      <c r="C30" s="32" t="s">
        <v>425</v>
      </c>
      <c r="D30" s="32" t="str">
        <f t="shared" si="1"/>
        <v>Chaos RenegadesSkaven Renegade</v>
      </c>
      <c r="E30" s="32">
        <v>7</v>
      </c>
      <c r="F30" s="32">
        <v>3</v>
      </c>
      <c r="G30" s="32">
        <v>3</v>
      </c>
      <c r="H30" s="32">
        <v>4</v>
      </c>
      <c r="I30" s="32">
        <v>8</v>
      </c>
      <c r="J30" s="32" t="str">
        <f>IF(Roster!$J$24="English",U30,(IF(Roster!$J$24="Español",V30,(IF(Roster!$J$24="Deutsch",W30,(IF(Roster!$J$24="Français",X30)))))))</f>
        <v>Animosity (all team-mates)</v>
      </c>
      <c r="K30" s="31">
        <v>50000</v>
      </c>
      <c r="L30" s="31">
        <f t="shared" si="12"/>
        <v>50</v>
      </c>
      <c r="M30" s="31">
        <v>1</v>
      </c>
      <c r="N30" s="31">
        <v>0</v>
      </c>
      <c r="O30" s="31" t="s">
        <v>250</v>
      </c>
      <c r="P30" s="31" t="s">
        <v>249</v>
      </c>
      <c r="Q30" s="31" t="s">
        <v>249</v>
      </c>
      <c r="R30" s="31" t="s">
        <v>249</v>
      </c>
      <c r="S30" s="31" t="s">
        <v>250</v>
      </c>
      <c r="T30" s="91" t="str">
        <f t="shared" si="13"/>
        <v>FULL</v>
      </c>
      <c r="U30" s="91" t="s">
        <v>426</v>
      </c>
      <c r="V30" s="91" t="s">
        <v>427</v>
      </c>
      <c r="W30" s="91" t="s">
        <v>428</v>
      </c>
      <c r="X30" s="91" t="s">
        <v>429</v>
      </c>
      <c r="Y30" s="91"/>
      <c r="Z30" s="91"/>
    </row>
    <row r="31" spans="1:26" ht="12.75" customHeight="1">
      <c r="A31" s="32" t="s">
        <v>107</v>
      </c>
      <c r="B31" s="32" t="str">
        <f t="shared" si="0"/>
        <v>Chaos Renegades6</v>
      </c>
      <c r="C31" s="32" t="s">
        <v>430</v>
      </c>
      <c r="D31" s="32" t="str">
        <f t="shared" si="1"/>
        <v>Chaos RenegadesOrc Renegade</v>
      </c>
      <c r="E31" s="32">
        <v>5</v>
      </c>
      <c r="F31" s="32">
        <v>3</v>
      </c>
      <c r="G31" s="32">
        <v>3</v>
      </c>
      <c r="H31" s="32">
        <v>5</v>
      </c>
      <c r="I31" s="32">
        <v>10</v>
      </c>
      <c r="J31" s="32" t="str">
        <f>IF(Roster!$J$24="English",U31,(IF(Roster!$J$24="Español",V31,(IF(Roster!$J$24="Deutsch",W31,(IF(Roster!$J$24="Français",X31)))))))</f>
        <v>Animosity (all team-mates)</v>
      </c>
      <c r="K31" s="31">
        <v>50000</v>
      </c>
      <c r="L31" s="31">
        <f t="shared" si="12"/>
        <v>50</v>
      </c>
      <c r="M31" s="31">
        <v>1</v>
      </c>
      <c r="N31" s="31">
        <v>0</v>
      </c>
      <c r="O31" s="31" t="s">
        <v>250</v>
      </c>
      <c r="P31" s="31" t="s">
        <v>249</v>
      </c>
      <c r="Q31" s="31" t="s">
        <v>249</v>
      </c>
      <c r="R31" s="31" t="s">
        <v>249</v>
      </c>
      <c r="S31" s="31" t="s">
        <v>250</v>
      </c>
      <c r="T31" s="91" t="str">
        <f t="shared" si="13"/>
        <v>FULL</v>
      </c>
      <c r="U31" s="91" t="s">
        <v>426</v>
      </c>
      <c r="V31" s="91" t="s">
        <v>427</v>
      </c>
      <c r="W31" s="91" t="s">
        <v>428</v>
      </c>
      <c r="X31" s="91" t="s">
        <v>429</v>
      </c>
      <c r="Y31" s="91"/>
      <c r="Z31" s="91"/>
    </row>
    <row r="32" spans="1:26" ht="12.75" customHeight="1">
      <c r="A32" s="32" t="s">
        <v>107</v>
      </c>
      <c r="B32" s="32" t="str">
        <f t="shared" si="0"/>
        <v>Chaos Renegades7</v>
      </c>
      <c r="C32" s="32" t="s">
        <v>431</v>
      </c>
      <c r="D32" s="32" t="str">
        <f t="shared" si="1"/>
        <v>Chaos RenegadesDark Elf Renegade</v>
      </c>
      <c r="E32" s="32">
        <v>6</v>
      </c>
      <c r="F32" s="32">
        <v>3</v>
      </c>
      <c r="G32" s="32">
        <v>2</v>
      </c>
      <c r="H32" s="32">
        <v>3</v>
      </c>
      <c r="I32" s="32">
        <v>9</v>
      </c>
      <c r="J32" s="32" t="str">
        <f>IF(Roster!$J$24="English",U32,(IF(Roster!$J$24="Español",V32,(IF(Roster!$J$24="Deutsch",W32,(IF(Roster!$J$24="Français",X32)))))))</f>
        <v>Animosity (all team-mates)</v>
      </c>
      <c r="K32" s="31">
        <v>75000</v>
      </c>
      <c r="L32" s="31">
        <f t="shared" si="12"/>
        <v>75</v>
      </c>
      <c r="M32" s="31">
        <v>1</v>
      </c>
      <c r="N32" s="31">
        <v>0</v>
      </c>
      <c r="O32" s="31" t="s">
        <v>250</v>
      </c>
      <c r="P32" s="31" t="s">
        <v>250</v>
      </c>
      <c r="Q32" s="31" t="s">
        <v>249</v>
      </c>
      <c r="R32" s="31" t="s">
        <v>249</v>
      </c>
      <c r="S32" s="31" t="s">
        <v>250</v>
      </c>
      <c r="T32" s="91" t="str">
        <f t="shared" si="13"/>
        <v>FULL</v>
      </c>
      <c r="U32" s="91" t="s">
        <v>426</v>
      </c>
      <c r="V32" s="91" t="s">
        <v>427</v>
      </c>
      <c r="W32" s="91" t="s">
        <v>428</v>
      </c>
      <c r="X32" s="91" t="s">
        <v>429</v>
      </c>
      <c r="Y32" s="91"/>
      <c r="Z32" s="91"/>
    </row>
    <row r="33" spans="1:26" ht="12.75" customHeight="1">
      <c r="A33" s="32" t="s">
        <v>107</v>
      </c>
      <c r="B33" s="32" t="str">
        <f t="shared" si="0"/>
        <v>Chaos Renegades8</v>
      </c>
      <c r="C33" s="32" t="s">
        <v>432</v>
      </c>
      <c r="D33" s="32" t="str">
        <f t="shared" si="1"/>
        <v>Chaos RenegadesTroll Renegade</v>
      </c>
      <c r="E33" s="32">
        <v>4</v>
      </c>
      <c r="F33" s="32">
        <v>5</v>
      </c>
      <c r="G33" s="32">
        <v>5</v>
      </c>
      <c r="H33" s="32">
        <v>5</v>
      </c>
      <c r="I33" s="32">
        <v>10</v>
      </c>
      <c r="J33" s="32" t="str">
        <f>IF(Roster!$J$24="English",U33,(IF(Roster!$J$24="Español",V33,(IF(Roster!$J$24="Deutsch",W33,(IF(Roster!$J$24="Français",X33)))))))</f>
        <v>Always Hungry, Loner (4+), Mighty Blow (+1), Projectile Vomit, Really Stupid, Regeneration, Throw Team-mate</v>
      </c>
      <c r="K33" s="31">
        <v>115000</v>
      </c>
      <c r="L33" s="31">
        <f t="shared" si="12"/>
        <v>115</v>
      </c>
      <c r="M33" s="31">
        <v>1</v>
      </c>
      <c r="N33" s="31">
        <v>1</v>
      </c>
      <c r="O33" s="31" t="s">
        <v>249</v>
      </c>
      <c r="P33" s="31" t="s">
        <v>249</v>
      </c>
      <c r="Q33" s="31" t="s">
        <v>250</v>
      </c>
      <c r="R33" s="31" t="s">
        <v>249</v>
      </c>
      <c r="S33" s="31" t="s">
        <v>249</v>
      </c>
      <c r="T33" s="91" t="str">
        <f t="shared" si="13"/>
        <v>FULL</v>
      </c>
      <c r="U33" s="91" t="s">
        <v>374</v>
      </c>
      <c r="V33" s="91" t="s">
        <v>375</v>
      </c>
      <c r="W33" s="91" t="s">
        <v>376</v>
      </c>
      <c r="X33" s="91" t="s">
        <v>377</v>
      </c>
      <c r="Y33" s="91"/>
      <c r="Z33" s="91"/>
    </row>
    <row r="34" spans="1:26" ht="12.75" customHeight="1">
      <c r="A34" s="32" t="s">
        <v>107</v>
      </c>
      <c r="B34" s="32" t="str">
        <f t="shared" si="0"/>
        <v>Chaos Renegades9</v>
      </c>
      <c r="C34" s="32" t="s">
        <v>433</v>
      </c>
      <c r="D34" s="32" t="str">
        <f t="shared" si="1"/>
        <v>Chaos RenegadesOgre Renegade</v>
      </c>
      <c r="E34" s="32">
        <v>5</v>
      </c>
      <c r="F34" s="32">
        <v>5</v>
      </c>
      <c r="G34" s="32">
        <v>4</v>
      </c>
      <c r="H34" s="32">
        <v>5</v>
      </c>
      <c r="I34" s="32">
        <v>10</v>
      </c>
      <c r="J34" s="32" t="str">
        <f>IF(Roster!$J$24="English",U34,(IF(Roster!$J$24="Español",V34,(IF(Roster!$J$24="Deutsch",W34,(IF(Roster!$J$24="Français",X34)))))))</f>
        <v>Bone Head, Loner (4+), Mighty Blow (+1), Thick Skull, Throw Team-mate</v>
      </c>
      <c r="K34" s="31">
        <v>140000</v>
      </c>
      <c r="L34" s="31">
        <f t="shared" si="12"/>
        <v>140</v>
      </c>
      <c r="M34" s="31">
        <v>1</v>
      </c>
      <c r="N34" s="31">
        <v>1</v>
      </c>
      <c r="O34" s="31" t="s">
        <v>249</v>
      </c>
      <c r="P34" s="31" t="s">
        <v>249</v>
      </c>
      <c r="Q34" s="31" t="s">
        <v>250</v>
      </c>
      <c r="R34" s="31" t="s">
        <v>249</v>
      </c>
      <c r="S34" s="31" t="s">
        <v>249</v>
      </c>
      <c r="T34" s="91" t="str">
        <f t="shared" si="13"/>
        <v>FULL</v>
      </c>
      <c r="U34" s="91" t="s">
        <v>379</v>
      </c>
      <c r="V34" s="91" t="s">
        <v>380</v>
      </c>
      <c r="W34" s="91" t="s">
        <v>381</v>
      </c>
      <c r="X34" s="91" t="s">
        <v>382</v>
      </c>
      <c r="Y34" s="91"/>
      <c r="Z34" s="91"/>
    </row>
    <row r="35" spans="1:26" ht="12.75" customHeight="1">
      <c r="A35" s="32" t="s">
        <v>107</v>
      </c>
      <c r="B35" s="32" t="str">
        <f t="shared" si="0"/>
        <v>Chaos Renegades10</v>
      </c>
      <c r="C35" s="32" t="s">
        <v>434</v>
      </c>
      <c r="D35" s="32" t="str">
        <f t="shared" si="1"/>
        <v>Chaos RenegadesMinotaur Renegade</v>
      </c>
      <c r="E35" s="32">
        <v>5</v>
      </c>
      <c r="F35" s="32">
        <v>5</v>
      </c>
      <c r="G35" s="32">
        <v>4</v>
      </c>
      <c r="H35" s="32">
        <v>0</v>
      </c>
      <c r="I35" s="32">
        <v>9</v>
      </c>
      <c r="J35" s="32" t="str">
        <f>IF(Roster!$J$24="English",U35,(IF(Roster!$J$24="Español",V35,(IF(Roster!$J$24="Deutsch",W35,(IF(Roster!$J$24="Français",X35)))))))</f>
        <v>Loner (4+), Frenzy, Horns, Mighty Blow (+1), Thick Skull, Unchannelled Fury</v>
      </c>
      <c r="K35" s="31">
        <v>150000</v>
      </c>
      <c r="L35" s="31">
        <f t="shared" si="12"/>
        <v>150</v>
      </c>
      <c r="M35" s="31">
        <v>1</v>
      </c>
      <c r="N35" s="31">
        <v>1</v>
      </c>
      <c r="O35" s="31" t="s">
        <v>249</v>
      </c>
      <c r="P35" s="31" t="s">
        <v>249</v>
      </c>
      <c r="Q35" s="31" t="s">
        <v>250</v>
      </c>
      <c r="R35" s="225">
        <v>0</v>
      </c>
      <c r="S35" s="31" t="s">
        <v>249</v>
      </c>
      <c r="T35" s="91" t="str">
        <f t="shared" si="13"/>
        <v>P</v>
      </c>
      <c r="U35" s="91" t="s">
        <v>384</v>
      </c>
      <c r="V35" s="91" t="s">
        <v>385</v>
      </c>
      <c r="W35" s="91" t="s">
        <v>386</v>
      </c>
      <c r="X35" s="91" t="s">
        <v>387</v>
      </c>
      <c r="Y35" s="91"/>
      <c r="Z35" s="91"/>
    </row>
    <row r="36" spans="1:26" ht="12.75" customHeight="1">
      <c r="A36" s="32" t="s">
        <v>107</v>
      </c>
      <c r="B36" s="32" t="str">
        <f t="shared" si="0"/>
        <v>Chaos Renegades11</v>
      </c>
      <c r="C36" s="32" t="s">
        <v>435</v>
      </c>
      <c r="D36" s="32" t="str">
        <f t="shared" si="1"/>
        <v>Chaos RenegadesRat Ogre Renegade</v>
      </c>
      <c r="E36" s="32">
        <v>6</v>
      </c>
      <c r="F36" s="32">
        <v>5</v>
      </c>
      <c r="G36" s="32">
        <v>4</v>
      </c>
      <c r="H36" s="32">
        <v>0</v>
      </c>
      <c r="I36" s="32">
        <v>9</v>
      </c>
      <c r="J36" s="32" t="str">
        <f>IF(Roster!$J$24="English",U36,(IF(Roster!$J$24="Español",V36,(IF(Roster!$J$24="Deutsch",W36,(IF(Roster!$J$24="Français",X36)))))))</f>
        <v>Animal Savagery, Frenzy, Loner (4+), Mighty Blow (+1), Prehensile Tail</v>
      </c>
      <c r="K36" s="31">
        <v>150000</v>
      </c>
      <c r="L36" s="31">
        <f t="shared" si="12"/>
        <v>150</v>
      </c>
      <c r="M36" s="31">
        <v>1</v>
      </c>
      <c r="N36" s="31">
        <v>1</v>
      </c>
      <c r="O36" s="31" t="s">
        <v>249</v>
      </c>
      <c r="P36" s="31" t="s">
        <v>249</v>
      </c>
      <c r="Q36" s="31" t="s">
        <v>250</v>
      </c>
      <c r="R36" s="225">
        <v>0</v>
      </c>
      <c r="S36" s="31" t="s">
        <v>249</v>
      </c>
      <c r="T36" s="91" t="str">
        <f t="shared" si="13"/>
        <v>P</v>
      </c>
      <c r="U36" s="91" t="s">
        <v>436</v>
      </c>
      <c r="V36" s="91" t="s">
        <v>437</v>
      </c>
      <c r="W36" s="91" t="s">
        <v>438</v>
      </c>
      <c r="X36" s="91" t="s">
        <v>439</v>
      </c>
      <c r="Y36" s="91"/>
      <c r="Z36" s="91"/>
    </row>
    <row r="37" spans="1:26" ht="12.75" customHeight="1">
      <c r="A37" s="32" t="s">
        <v>107</v>
      </c>
      <c r="B37" s="32" t="str">
        <f t="shared" si="0"/>
        <v>Chaos Renegades12</v>
      </c>
      <c r="C37" s="32" t="s">
        <v>440</v>
      </c>
      <c r="D37" s="32" t="str">
        <f t="shared" si="1"/>
        <v>Chaos RenegadesJourney Lineman</v>
      </c>
      <c r="E37" s="32">
        <v>6</v>
      </c>
      <c r="F37" s="32">
        <v>3</v>
      </c>
      <c r="G37" s="32">
        <v>3</v>
      </c>
      <c r="H37" s="32">
        <v>4</v>
      </c>
      <c r="I37" s="32">
        <v>9</v>
      </c>
      <c r="J37" s="32" t="str">
        <f>IF(Roster!$J$24="English",U37,(IF(Roster!$J$24="Español",V37,(IF(Roster!$J$24="Deutsch",W37,(IF(Roster!$J$24="Français",X37)))))))</f>
        <v>Loner (4+)</v>
      </c>
      <c r="K37" s="31">
        <v>0</v>
      </c>
      <c r="L37" s="31">
        <v>50</v>
      </c>
      <c r="M37" s="32">
        <v>11</v>
      </c>
      <c r="N37" s="32">
        <v>0</v>
      </c>
      <c r="O37" s="31" t="s">
        <v>250</v>
      </c>
      <c r="P37" s="31" t="s">
        <v>249</v>
      </c>
      <c r="Q37" s="31" t="s">
        <v>250</v>
      </c>
      <c r="R37" s="31" t="s">
        <v>250</v>
      </c>
      <c r="S37" s="31" t="s">
        <v>250</v>
      </c>
      <c r="T37" s="91" t="str">
        <f t="shared" si="13"/>
        <v>FULL</v>
      </c>
      <c r="U37" s="91" t="s">
        <v>410</v>
      </c>
      <c r="V37" s="91" t="s">
        <v>411</v>
      </c>
      <c r="W37" s="91" t="s">
        <v>412</v>
      </c>
      <c r="X37" s="91" t="s">
        <v>413</v>
      </c>
      <c r="Y37" s="91"/>
      <c r="Z37" s="91"/>
    </row>
    <row r="38" spans="1:26" ht="12.75" customHeight="1">
      <c r="A38" s="32" t="s">
        <v>114</v>
      </c>
      <c r="B38" s="32" t="str">
        <f t="shared" si="0"/>
        <v>Daemons of Khorne1</v>
      </c>
      <c r="C38" s="32" t="str">
        <f>""</f>
        <v/>
      </c>
      <c r="D38" s="32" t="str">
        <f t="shared" si="1"/>
        <v>Daemons of Khorne</v>
      </c>
      <c r="E38" s="32">
        <v>0</v>
      </c>
      <c r="F38" s="32">
        <v>0</v>
      </c>
      <c r="G38" s="32">
        <v>0</v>
      </c>
      <c r="H38" s="32">
        <v>0</v>
      </c>
      <c r="I38" s="32">
        <v>0</v>
      </c>
      <c r="J38" s="32">
        <f>IF(Roster!$J$24="English",U38,(IF(Roster!$J$24="Español",V38,(IF(Roster!$J$24="Deutsch",W38,(IF(Roster!$J$24="Français",X38)))))))</f>
        <v>0</v>
      </c>
      <c r="K38" s="31">
        <v>0</v>
      </c>
      <c r="L38" s="31">
        <f t="shared" ref="L38:L42" si="15">K38/1000</f>
        <v>0</v>
      </c>
      <c r="M38" s="31">
        <v>0</v>
      </c>
      <c r="N38" s="31">
        <v>0</v>
      </c>
      <c r="O38" s="31"/>
      <c r="P38" s="31"/>
      <c r="Q38" s="31"/>
      <c r="R38" s="31"/>
      <c r="S38" s="31"/>
      <c r="T38" s="91"/>
      <c r="U38" s="91">
        <v>0</v>
      </c>
      <c r="V38" s="91">
        <v>0</v>
      </c>
      <c r="W38" s="91">
        <v>0</v>
      </c>
      <c r="X38" s="91">
        <v>0</v>
      </c>
      <c r="Y38" s="91">
        <v>0</v>
      </c>
      <c r="Z38" s="91"/>
    </row>
    <row r="39" spans="1:26" ht="12.75" customHeight="1">
      <c r="A39" s="32" t="s">
        <v>114</v>
      </c>
      <c r="B39" s="32" t="str">
        <f t="shared" si="0"/>
        <v>Daemons of Khorne2</v>
      </c>
      <c r="C39" s="32" t="s">
        <v>441</v>
      </c>
      <c r="D39" s="32" t="str">
        <f t="shared" si="1"/>
        <v>Daemons of KhornePit Fighter</v>
      </c>
      <c r="E39" s="32">
        <v>6</v>
      </c>
      <c r="F39" s="32">
        <v>3</v>
      </c>
      <c r="G39" s="32">
        <v>3</v>
      </c>
      <c r="H39" s="32">
        <v>4</v>
      </c>
      <c r="I39" s="32">
        <v>9</v>
      </c>
      <c r="J39" s="32" t="str">
        <f>IF(Roster!$J$24="English",U39,(IF(Roster!$J$24="Español",V39,(IF(Roster!$J$24="Deutsch",W39,(IF(Roster!$J$24="Français",X39)))))))</f>
        <v>Frenzy</v>
      </c>
      <c r="K39" s="31">
        <v>60000</v>
      </c>
      <c r="L39" s="31">
        <f t="shared" si="15"/>
        <v>60</v>
      </c>
      <c r="M39" s="32">
        <v>16</v>
      </c>
      <c r="N39" s="32">
        <v>0</v>
      </c>
      <c r="O39" s="31" t="s">
        <v>250</v>
      </c>
      <c r="P39" s="31" t="s">
        <v>249</v>
      </c>
      <c r="Q39" s="31" t="s">
        <v>249</v>
      </c>
      <c r="R39" s="31" t="s">
        <v>250</v>
      </c>
      <c r="S39" s="31">
        <v>0</v>
      </c>
      <c r="T39" s="91" t="str">
        <f t="shared" ref="T39:T43" si="16">IF(AND(R39&lt;&gt;0,S39&lt;&gt;0),"FULL",(IF(AND(R39=0,S39=0),"PM",IF(R39=0,"P",(IF(S39=0,"M"))))))</f>
        <v>M</v>
      </c>
      <c r="U39" s="91" t="s">
        <v>442</v>
      </c>
      <c r="V39" s="91" t="s">
        <v>443</v>
      </c>
      <c r="W39" s="91" t="s">
        <v>444</v>
      </c>
      <c r="X39" s="91" t="s">
        <v>445</v>
      </c>
      <c r="Y39" s="91"/>
      <c r="Z39" s="91"/>
    </row>
    <row r="40" spans="1:26" ht="12.75" customHeight="1">
      <c r="A40" s="32" t="s">
        <v>114</v>
      </c>
      <c r="B40" s="32" t="str">
        <f t="shared" si="0"/>
        <v>Daemons of Khorne3</v>
      </c>
      <c r="C40" s="32" t="s">
        <v>446</v>
      </c>
      <c r="D40" s="32" t="str">
        <f t="shared" si="1"/>
        <v>Daemons of KhorneBloodletter Daemon</v>
      </c>
      <c r="E40" s="32">
        <v>6</v>
      </c>
      <c r="F40" s="32">
        <v>3</v>
      </c>
      <c r="G40" s="32">
        <v>3</v>
      </c>
      <c r="H40" s="32">
        <v>4</v>
      </c>
      <c r="I40" s="32">
        <v>8</v>
      </c>
      <c r="J40" s="32" t="str">
        <f>IF(Roster!$J$24="English",U40,(IF(Roster!$J$24="Español",V40,(IF(Roster!$J$24="Deutsch",W40,(IF(Roster!$J$24="Français",X40)))))))</f>
        <v>Horns, Juggernaut, Regeneration</v>
      </c>
      <c r="K40" s="31">
        <v>80000</v>
      </c>
      <c r="L40" s="31">
        <f t="shared" si="15"/>
        <v>80</v>
      </c>
      <c r="M40" s="31">
        <v>4</v>
      </c>
      <c r="N40" s="31">
        <v>0</v>
      </c>
      <c r="O40" s="31" t="s">
        <v>250</v>
      </c>
      <c r="P40" s="31" t="s">
        <v>250</v>
      </c>
      <c r="Q40" s="31" t="s">
        <v>250</v>
      </c>
      <c r="R40" s="31" t="s">
        <v>249</v>
      </c>
      <c r="S40" s="31">
        <v>0</v>
      </c>
      <c r="T40" s="91" t="str">
        <f t="shared" si="16"/>
        <v>M</v>
      </c>
      <c r="U40" s="91" t="s">
        <v>447</v>
      </c>
      <c r="V40" s="91" t="s">
        <v>448</v>
      </c>
      <c r="W40" s="91" t="s">
        <v>449</v>
      </c>
      <c r="X40" s="91" t="s">
        <v>450</v>
      </c>
      <c r="Y40" s="91"/>
      <c r="Z40" s="91"/>
    </row>
    <row r="41" spans="1:26" ht="12.75" customHeight="1">
      <c r="A41" s="32" t="s">
        <v>114</v>
      </c>
      <c r="B41" s="32" t="str">
        <f t="shared" si="0"/>
        <v>Daemons of Khorne4</v>
      </c>
      <c r="C41" s="32" t="s">
        <v>451</v>
      </c>
      <c r="D41" s="32" t="str">
        <f t="shared" si="1"/>
        <v>Daemons of KhorneKhorne Herald</v>
      </c>
      <c r="E41" s="32">
        <v>6</v>
      </c>
      <c r="F41" s="32">
        <v>3</v>
      </c>
      <c r="G41" s="32">
        <v>3</v>
      </c>
      <c r="H41" s="32">
        <v>5</v>
      </c>
      <c r="I41" s="32">
        <v>9</v>
      </c>
      <c r="J41" s="32" t="str">
        <f>IF(Roster!$J$24="English",U41,(IF(Roster!$J$24="Español",V41,(IF(Roster!$J$24="Deutsch",W41,(IF(Roster!$J$24="Français",X41)))))))</f>
        <v>Frenzy, Horns, Juggernaut</v>
      </c>
      <c r="K41" s="31">
        <v>90000</v>
      </c>
      <c r="L41" s="31">
        <f t="shared" si="15"/>
        <v>90</v>
      </c>
      <c r="M41" s="31">
        <v>2</v>
      </c>
      <c r="N41" s="31">
        <v>0</v>
      </c>
      <c r="O41" s="31" t="s">
        <v>250</v>
      </c>
      <c r="P41" s="31" t="s">
        <v>249</v>
      </c>
      <c r="Q41" s="31" t="s">
        <v>250</v>
      </c>
      <c r="R41" s="31" t="s">
        <v>249</v>
      </c>
      <c r="S41" s="31">
        <v>0</v>
      </c>
      <c r="T41" s="91" t="str">
        <f t="shared" si="16"/>
        <v>M</v>
      </c>
      <c r="U41" s="91" t="s">
        <v>452</v>
      </c>
      <c r="V41" s="91" t="s">
        <v>453</v>
      </c>
      <c r="W41" s="91" t="s">
        <v>454</v>
      </c>
      <c r="X41" s="91" t="s">
        <v>455</v>
      </c>
      <c r="Y41" s="91"/>
      <c r="Z41" s="91"/>
    </row>
    <row r="42" spans="1:26" ht="12.75" customHeight="1">
      <c r="A42" s="32" t="s">
        <v>114</v>
      </c>
      <c r="B42" s="32" t="str">
        <f t="shared" si="0"/>
        <v>Daemons of Khorne5</v>
      </c>
      <c r="C42" s="32" t="s">
        <v>456</v>
      </c>
      <c r="D42" s="32" t="str">
        <f t="shared" si="1"/>
        <v>Daemons of KhorneBloodthirster</v>
      </c>
      <c r="E42" s="32">
        <v>6</v>
      </c>
      <c r="F42" s="32">
        <v>5</v>
      </c>
      <c r="G42" s="32">
        <v>5</v>
      </c>
      <c r="H42" s="32">
        <v>0</v>
      </c>
      <c r="I42" s="32">
        <v>10</v>
      </c>
      <c r="J42" s="32" t="str">
        <f>IF(Roster!$J$24="English",U42,(IF(Roster!$J$24="Español",V42,(IF(Roster!$J$24="Deutsch",W42,(IF(Roster!$J$24="Français",X42)))))))</f>
        <v>Claws, Frenzy, Horns, Juggernaut, Loner (4+), Unchanneled Fury, Regeneration</v>
      </c>
      <c r="K42" s="31">
        <v>180000</v>
      </c>
      <c r="L42" s="31">
        <f t="shared" si="15"/>
        <v>180</v>
      </c>
      <c r="M42" s="31">
        <v>1</v>
      </c>
      <c r="N42" s="31">
        <v>1</v>
      </c>
      <c r="O42" s="31" t="s">
        <v>249</v>
      </c>
      <c r="P42" s="31" t="s">
        <v>249</v>
      </c>
      <c r="Q42" s="31" t="s">
        <v>250</v>
      </c>
      <c r="R42" s="225">
        <v>0</v>
      </c>
      <c r="S42" s="31">
        <v>0</v>
      </c>
      <c r="T42" s="91" t="str">
        <f t="shared" si="16"/>
        <v>PM</v>
      </c>
      <c r="U42" s="91" t="s">
        <v>457</v>
      </c>
      <c r="V42" s="91" t="s">
        <v>458</v>
      </c>
      <c r="W42" s="91" t="s">
        <v>459</v>
      </c>
      <c r="X42" s="91" t="s">
        <v>460</v>
      </c>
      <c r="Y42" s="91"/>
      <c r="Z42" s="91"/>
    </row>
    <row r="43" spans="1:26" ht="12.75" customHeight="1">
      <c r="A43" s="32" t="s">
        <v>114</v>
      </c>
      <c r="B43" s="32" t="str">
        <f t="shared" si="0"/>
        <v>Daemons of Khorne6</v>
      </c>
      <c r="C43" s="32" t="s">
        <v>461</v>
      </c>
      <c r="D43" s="32" t="str">
        <f t="shared" si="1"/>
        <v>Daemons of KhorneJourney Fighter</v>
      </c>
      <c r="E43" s="32">
        <v>6</v>
      </c>
      <c r="F43" s="32">
        <v>3</v>
      </c>
      <c r="G43" s="32">
        <v>3</v>
      </c>
      <c r="H43" s="32">
        <v>4</v>
      </c>
      <c r="I43" s="32">
        <v>9</v>
      </c>
      <c r="J43" s="32" t="str">
        <f>IF(Roster!$J$24="English",U43,(IF(Roster!$J$24="Español",V43,(IF(Roster!$J$24="Deutsch",W43,(IF(Roster!$J$24="Français",X43)))))))</f>
        <v>Loner (4+), Frenzy</v>
      </c>
      <c r="K43" s="31">
        <v>0</v>
      </c>
      <c r="L43" s="31">
        <v>60</v>
      </c>
      <c r="M43" s="32">
        <v>16</v>
      </c>
      <c r="N43" s="32">
        <v>0</v>
      </c>
      <c r="O43" s="31" t="s">
        <v>250</v>
      </c>
      <c r="P43" s="31" t="s">
        <v>249</v>
      </c>
      <c r="Q43" s="31" t="s">
        <v>249</v>
      </c>
      <c r="R43" s="31" t="s">
        <v>250</v>
      </c>
      <c r="S43" s="31">
        <v>0</v>
      </c>
      <c r="T43" s="91" t="str">
        <f t="shared" si="16"/>
        <v>M</v>
      </c>
      <c r="U43" s="91" t="s">
        <v>462</v>
      </c>
      <c r="V43" s="91" t="s">
        <v>463</v>
      </c>
      <c r="W43" s="91" t="s">
        <v>464</v>
      </c>
      <c r="X43" s="91" t="s">
        <v>465</v>
      </c>
      <c r="Y43" s="91"/>
      <c r="Z43" s="91"/>
    </row>
    <row r="44" spans="1:26" ht="12.75" customHeight="1">
      <c r="A44" s="32" t="s">
        <v>120</v>
      </c>
      <c r="B44" s="32" t="str">
        <f t="shared" si="0"/>
        <v>Dark Elf1</v>
      </c>
      <c r="C44" s="32" t="str">
        <f>""</f>
        <v/>
      </c>
      <c r="D44" s="32" t="str">
        <f t="shared" si="1"/>
        <v>Dark Elf</v>
      </c>
      <c r="E44" s="32">
        <v>0</v>
      </c>
      <c r="F44" s="32">
        <v>0</v>
      </c>
      <c r="G44" s="32">
        <v>0</v>
      </c>
      <c r="H44" s="32">
        <v>0</v>
      </c>
      <c r="I44" s="32">
        <v>0</v>
      </c>
      <c r="J44" s="32">
        <f>IF(Roster!$J$24="English",U44,(IF(Roster!$J$24="Español",V44,(IF(Roster!$J$24="Deutsch",W44,(IF(Roster!$J$24="Français",X44)))))))</f>
        <v>0</v>
      </c>
      <c r="K44" s="31">
        <v>0</v>
      </c>
      <c r="L44" s="31">
        <f t="shared" ref="L44:L49" si="17">K44/1000</f>
        <v>0</v>
      </c>
      <c r="M44" s="31">
        <v>0</v>
      </c>
      <c r="N44" s="31">
        <v>0</v>
      </c>
      <c r="O44" s="31"/>
      <c r="P44" s="31"/>
      <c r="Q44" s="31"/>
      <c r="R44" s="31"/>
      <c r="S44" s="31"/>
      <c r="T44" s="91"/>
      <c r="U44" s="91">
        <v>0</v>
      </c>
      <c r="V44" s="91">
        <v>0</v>
      </c>
      <c r="W44" s="91">
        <v>0</v>
      </c>
      <c r="X44" s="91">
        <v>0</v>
      </c>
      <c r="Y44" s="91">
        <v>0</v>
      </c>
      <c r="Z44" s="91"/>
    </row>
    <row r="45" spans="1:26" ht="12.75" customHeight="1">
      <c r="A45" s="32" t="s">
        <v>120</v>
      </c>
      <c r="B45" s="32" t="str">
        <f t="shared" si="0"/>
        <v>Dark Elf2</v>
      </c>
      <c r="C45" s="32" t="s">
        <v>466</v>
      </c>
      <c r="D45" s="32" t="str">
        <f t="shared" si="1"/>
        <v>Dark ElfLineman</v>
      </c>
      <c r="E45" s="32">
        <v>6</v>
      </c>
      <c r="F45" s="32">
        <v>3</v>
      </c>
      <c r="G45" s="32">
        <v>2</v>
      </c>
      <c r="H45" s="32">
        <v>4</v>
      </c>
      <c r="I45" s="32">
        <v>9</v>
      </c>
      <c r="J45" s="32" t="str">
        <f>IF(Roster!$J$24="English",U45,(IF(Roster!$J$24="Español",V45,(IF(Roster!$J$24="Deutsch",W45,(IF(Roster!$J$24="Français",X45)))))))</f>
        <v/>
      </c>
      <c r="K45" s="31">
        <v>70000</v>
      </c>
      <c r="L45" s="31">
        <f t="shared" si="17"/>
        <v>70</v>
      </c>
      <c r="M45" s="31">
        <v>16</v>
      </c>
      <c r="N45" s="31">
        <v>0</v>
      </c>
      <c r="O45" s="31" t="s">
        <v>250</v>
      </c>
      <c r="P45" s="31" t="s">
        <v>250</v>
      </c>
      <c r="Q45" s="31" t="s">
        <v>249</v>
      </c>
      <c r="R45" s="31" t="s">
        <v>249</v>
      </c>
      <c r="S45" s="31">
        <v>0</v>
      </c>
      <c r="T45" s="91" t="str">
        <f t="shared" ref="T45:T50" si="18">IF(AND(R45&lt;&gt;0,S45&lt;&gt;0),"FULL",(IF(AND(R45=0,S45=0),"PM",IF(R45=0,"P",(IF(S45=0,"M"))))))</f>
        <v>M</v>
      </c>
      <c r="U45" s="91" t="str">
        <f t="shared" ref="U45:Y45" si="19">""</f>
        <v/>
      </c>
      <c r="V45" s="91" t="str">
        <f t="shared" si="19"/>
        <v/>
      </c>
      <c r="W45" s="91" t="str">
        <f t="shared" si="19"/>
        <v/>
      </c>
      <c r="X45" s="91" t="str">
        <f t="shared" si="19"/>
        <v/>
      </c>
      <c r="Y45" s="91" t="str">
        <f t="shared" si="19"/>
        <v/>
      </c>
      <c r="Z45" s="91"/>
    </row>
    <row r="46" spans="1:26" ht="12.75" customHeight="1">
      <c r="A46" s="32" t="s">
        <v>120</v>
      </c>
      <c r="B46" s="32" t="str">
        <f t="shared" si="0"/>
        <v>Dark Elf3</v>
      </c>
      <c r="C46" s="32" t="s">
        <v>467</v>
      </c>
      <c r="D46" s="32" t="str">
        <f t="shared" si="1"/>
        <v>Dark ElfRunner</v>
      </c>
      <c r="E46" s="32">
        <v>7</v>
      </c>
      <c r="F46" s="32">
        <v>3</v>
      </c>
      <c r="G46" s="32">
        <v>2</v>
      </c>
      <c r="H46" s="32">
        <v>3</v>
      </c>
      <c r="I46" s="32">
        <v>8</v>
      </c>
      <c r="J46" s="32" t="str">
        <f>IF(Roster!$J$24="English",U46,(IF(Roster!$J$24="Español",V46,(IF(Roster!$J$24="Deutsch",W46,(IF(Roster!$J$24="Français",X46)))))))</f>
        <v>Dump Off</v>
      </c>
      <c r="K46" s="31">
        <v>80000</v>
      </c>
      <c r="L46" s="31">
        <f t="shared" si="17"/>
        <v>80</v>
      </c>
      <c r="M46" s="31">
        <v>2</v>
      </c>
      <c r="N46" s="31">
        <v>0</v>
      </c>
      <c r="O46" s="31" t="s">
        <v>250</v>
      </c>
      <c r="P46" s="31" t="s">
        <v>250</v>
      </c>
      <c r="Q46" s="31" t="s">
        <v>249</v>
      </c>
      <c r="R46" s="31" t="s">
        <v>250</v>
      </c>
      <c r="S46" s="31">
        <v>0</v>
      </c>
      <c r="T46" s="91" t="str">
        <f t="shared" si="18"/>
        <v>M</v>
      </c>
      <c r="U46" s="91" t="s">
        <v>468</v>
      </c>
      <c r="V46" s="91" t="s">
        <v>469</v>
      </c>
      <c r="W46" s="91" t="s">
        <v>470</v>
      </c>
      <c r="X46" s="91" t="s">
        <v>471</v>
      </c>
      <c r="Y46" s="91"/>
      <c r="Z46" s="91"/>
    </row>
    <row r="47" spans="1:26" ht="12.75" customHeight="1">
      <c r="A47" s="32" t="s">
        <v>120</v>
      </c>
      <c r="B47" s="32" t="str">
        <f t="shared" si="0"/>
        <v>Dark Elf4</v>
      </c>
      <c r="C47" s="32" t="s">
        <v>472</v>
      </c>
      <c r="D47" s="32" t="str">
        <f t="shared" si="1"/>
        <v>Dark ElfAssassin</v>
      </c>
      <c r="E47" s="32">
        <v>7</v>
      </c>
      <c r="F47" s="32">
        <v>3</v>
      </c>
      <c r="G47" s="32">
        <v>2</v>
      </c>
      <c r="H47" s="32">
        <v>5</v>
      </c>
      <c r="I47" s="32">
        <v>8</v>
      </c>
      <c r="J47" s="32" t="str">
        <f>IF(Roster!$J$24="English",U47,(IF(Roster!$J$24="Español",V47,(IF(Roster!$J$24="Deutsch",W47,(IF(Roster!$J$24="Français",X47)))))))</f>
        <v>Shadowing, Stab</v>
      </c>
      <c r="K47" s="31">
        <v>85000</v>
      </c>
      <c r="L47" s="31">
        <f t="shared" si="17"/>
        <v>85</v>
      </c>
      <c r="M47" s="31">
        <v>2</v>
      </c>
      <c r="N47" s="31">
        <v>0</v>
      </c>
      <c r="O47" s="31" t="s">
        <v>250</v>
      </c>
      <c r="P47" s="31" t="s">
        <v>250</v>
      </c>
      <c r="Q47" s="31" t="s">
        <v>249</v>
      </c>
      <c r="R47" s="31" t="s">
        <v>249</v>
      </c>
      <c r="S47" s="31">
        <v>0</v>
      </c>
      <c r="T47" s="91" t="str">
        <f t="shared" si="18"/>
        <v>M</v>
      </c>
      <c r="U47" s="91" t="s">
        <v>473</v>
      </c>
      <c r="V47" s="91" t="s">
        <v>474</v>
      </c>
      <c r="W47" s="91" t="s">
        <v>475</v>
      </c>
      <c r="X47" s="91" t="s">
        <v>476</v>
      </c>
      <c r="Y47" s="91"/>
      <c r="Z47" s="91"/>
    </row>
    <row r="48" spans="1:26" ht="12.75" customHeight="1">
      <c r="A48" s="32" t="s">
        <v>120</v>
      </c>
      <c r="B48" s="32" t="str">
        <f t="shared" si="0"/>
        <v>Dark Elf5</v>
      </c>
      <c r="C48" s="32" t="s">
        <v>338</v>
      </c>
      <c r="D48" s="32" t="str">
        <f t="shared" si="1"/>
        <v>Dark ElfBlitzer</v>
      </c>
      <c r="E48" s="32">
        <v>7</v>
      </c>
      <c r="F48" s="32">
        <v>3</v>
      </c>
      <c r="G48" s="32">
        <v>2</v>
      </c>
      <c r="H48" s="32">
        <v>4</v>
      </c>
      <c r="I48" s="32">
        <v>9</v>
      </c>
      <c r="J48" s="32" t="str">
        <f>IF(Roster!$J$24="English",U48,(IF(Roster!$J$24="Español",V48,(IF(Roster!$J$24="Deutsch",W48,(IF(Roster!$J$24="Français",X48)))))))</f>
        <v>Block</v>
      </c>
      <c r="K48" s="31">
        <v>100000</v>
      </c>
      <c r="L48" s="31">
        <f t="shared" si="17"/>
        <v>100</v>
      </c>
      <c r="M48" s="224">
        <v>4</v>
      </c>
      <c r="N48" s="224">
        <v>0</v>
      </c>
      <c r="O48" s="31" t="s">
        <v>250</v>
      </c>
      <c r="P48" s="31" t="s">
        <v>250</v>
      </c>
      <c r="Q48" s="31" t="s">
        <v>249</v>
      </c>
      <c r="R48" s="31" t="s">
        <v>249</v>
      </c>
      <c r="S48" s="31">
        <v>0</v>
      </c>
      <c r="T48" s="91" t="str">
        <f t="shared" si="18"/>
        <v>M</v>
      </c>
      <c r="U48" s="91" t="s">
        <v>477</v>
      </c>
      <c r="V48" s="91" t="s">
        <v>478</v>
      </c>
      <c r="W48" s="91" t="s">
        <v>477</v>
      </c>
      <c r="X48" s="91" t="s">
        <v>479</v>
      </c>
      <c r="Y48" s="91"/>
      <c r="Z48" s="91"/>
    </row>
    <row r="49" spans="1:26" ht="12.75" customHeight="1">
      <c r="A49" s="32" t="s">
        <v>120</v>
      </c>
      <c r="B49" s="32" t="str">
        <f t="shared" si="0"/>
        <v>Dark Elf6</v>
      </c>
      <c r="C49" s="32" t="s">
        <v>480</v>
      </c>
      <c r="D49" s="32" t="str">
        <f t="shared" si="1"/>
        <v>Dark ElfWitch Elf</v>
      </c>
      <c r="E49" s="32">
        <v>7</v>
      </c>
      <c r="F49" s="32">
        <v>3</v>
      </c>
      <c r="G49" s="32">
        <v>2</v>
      </c>
      <c r="H49" s="32">
        <v>5</v>
      </c>
      <c r="I49" s="32">
        <v>8</v>
      </c>
      <c r="J49" s="32" t="str">
        <f>IF(Roster!$J$24="English",U49,(IF(Roster!$J$24="Español",V49,(IF(Roster!$J$24="Deutsch",W49,(IF(Roster!$J$24="Français",X49)))))))</f>
        <v>Dodge, Frenzy, Jump Up</v>
      </c>
      <c r="K49" s="31">
        <v>110000</v>
      </c>
      <c r="L49" s="31">
        <f t="shared" si="17"/>
        <v>110</v>
      </c>
      <c r="M49" s="32">
        <v>2</v>
      </c>
      <c r="N49" s="32">
        <v>0</v>
      </c>
      <c r="O49" s="31" t="s">
        <v>250</v>
      </c>
      <c r="P49" s="31" t="s">
        <v>250</v>
      </c>
      <c r="Q49" s="31" t="s">
        <v>249</v>
      </c>
      <c r="R49" s="31" t="s">
        <v>249</v>
      </c>
      <c r="S49" s="31">
        <v>0</v>
      </c>
      <c r="T49" s="91" t="str">
        <f t="shared" si="18"/>
        <v>M</v>
      </c>
      <c r="U49" s="91" t="s">
        <v>481</v>
      </c>
      <c r="V49" s="91" t="s">
        <v>482</v>
      </c>
      <c r="W49" s="91" t="s">
        <v>483</v>
      </c>
      <c r="X49" s="91" t="s">
        <v>484</v>
      </c>
      <c r="Y49" s="91"/>
      <c r="Z49" s="91"/>
    </row>
    <row r="50" spans="1:26" ht="12.75" customHeight="1">
      <c r="A50" s="32" t="s">
        <v>120</v>
      </c>
      <c r="B50" s="32" t="str">
        <f t="shared" si="0"/>
        <v>Dark Elf7</v>
      </c>
      <c r="C50" s="32" t="s">
        <v>485</v>
      </c>
      <c r="D50" s="32" t="str">
        <f t="shared" si="1"/>
        <v>Dark ElfJourney Elf</v>
      </c>
      <c r="E50" s="32">
        <v>6</v>
      </c>
      <c r="F50" s="32">
        <v>3</v>
      </c>
      <c r="G50" s="32">
        <v>2</v>
      </c>
      <c r="H50" s="32">
        <v>4</v>
      </c>
      <c r="I50" s="32">
        <v>9</v>
      </c>
      <c r="J50" s="32" t="str">
        <f>IF(Roster!$J$24="English",U50,(IF(Roster!$J$24="Español",V50,(IF(Roster!$J$24="Deutsch",W50,(IF(Roster!$J$24="Français",X50)))))))</f>
        <v>Loner (4+)</v>
      </c>
      <c r="K50" s="31">
        <v>0</v>
      </c>
      <c r="L50" s="31">
        <v>70</v>
      </c>
      <c r="M50" s="32">
        <v>11</v>
      </c>
      <c r="N50" s="32">
        <v>0</v>
      </c>
      <c r="O50" s="31" t="s">
        <v>250</v>
      </c>
      <c r="P50" s="31" t="s">
        <v>250</v>
      </c>
      <c r="Q50" s="31" t="s">
        <v>249</v>
      </c>
      <c r="R50" s="31" t="s">
        <v>249</v>
      </c>
      <c r="S50" s="31">
        <v>0</v>
      </c>
      <c r="T50" s="91" t="str">
        <f t="shared" si="18"/>
        <v>M</v>
      </c>
      <c r="U50" s="91" t="s">
        <v>410</v>
      </c>
      <c r="V50" s="91" t="s">
        <v>411</v>
      </c>
      <c r="W50" s="91" t="s">
        <v>412</v>
      </c>
      <c r="X50" s="91" t="s">
        <v>413</v>
      </c>
      <c r="Y50" s="91"/>
      <c r="Z50" s="91"/>
    </row>
    <row r="51" spans="1:26" ht="12.75" customHeight="1">
      <c r="A51" s="32" t="s">
        <v>127</v>
      </c>
      <c r="B51" s="32" t="str">
        <f t="shared" si="0"/>
        <v>Dwarf1</v>
      </c>
      <c r="C51" s="32" t="str">
        <f>""</f>
        <v/>
      </c>
      <c r="D51" s="32" t="str">
        <f t="shared" si="1"/>
        <v>Dwarf</v>
      </c>
      <c r="E51" s="32">
        <v>0</v>
      </c>
      <c r="F51" s="32">
        <v>0</v>
      </c>
      <c r="G51" s="32">
        <v>0</v>
      </c>
      <c r="H51" s="32">
        <v>0</v>
      </c>
      <c r="I51" s="32">
        <v>0</v>
      </c>
      <c r="J51" s="32">
        <f>IF(Roster!$J$24="English",U51,(IF(Roster!$J$24="Español",V51,(IF(Roster!$J$24="Deutsch",W51,(IF(Roster!$J$24="Français",X51)))))))</f>
        <v>0</v>
      </c>
      <c r="K51" s="31">
        <v>0</v>
      </c>
      <c r="L51" s="31">
        <f t="shared" ref="L51:L56" si="20">K51/1000</f>
        <v>0</v>
      </c>
      <c r="M51" s="31">
        <v>0</v>
      </c>
      <c r="N51" s="31">
        <v>0</v>
      </c>
      <c r="O51" s="31"/>
      <c r="P51" s="31"/>
      <c r="Q51" s="31"/>
      <c r="R51" s="31"/>
      <c r="S51" s="31"/>
      <c r="T51" s="91"/>
      <c r="U51" s="91">
        <v>0</v>
      </c>
      <c r="V51" s="91">
        <v>0</v>
      </c>
      <c r="W51" s="91">
        <v>0</v>
      </c>
      <c r="X51" s="91">
        <v>0</v>
      </c>
      <c r="Y51" s="91">
        <v>0</v>
      </c>
      <c r="Z51" s="91"/>
    </row>
    <row r="52" spans="1:26" ht="12.75" customHeight="1">
      <c r="A52" s="32" t="s">
        <v>127</v>
      </c>
      <c r="B52" s="32" t="str">
        <f t="shared" si="0"/>
        <v>Dwarf2</v>
      </c>
      <c r="C52" s="32" t="s">
        <v>394</v>
      </c>
      <c r="D52" s="32" t="str">
        <f t="shared" si="1"/>
        <v>DwarfBlocker</v>
      </c>
      <c r="E52" s="32">
        <v>4</v>
      </c>
      <c r="F52" s="32">
        <v>3</v>
      </c>
      <c r="G52" s="32">
        <v>4</v>
      </c>
      <c r="H52" s="32">
        <v>5</v>
      </c>
      <c r="I52" s="32">
        <v>10</v>
      </c>
      <c r="J52" s="32" t="str">
        <f>IF(Roster!$J$24="English",U52,(IF(Roster!$J$24="Español",V52,(IF(Roster!$J$24="Deutsch",W52,(IF(Roster!$J$24="Français",X52)))))))</f>
        <v>Block, Tackle, Thick Skull</v>
      </c>
      <c r="K52" s="31">
        <v>70000</v>
      </c>
      <c r="L52" s="31">
        <f t="shared" si="20"/>
        <v>70</v>
      </c>
      <c r="M52" s="224">
        <v>16</v>
      </c>
      <c r="N52" s="224">
        <v>0</v>
      </c>
      <c r="O52" s="31" t="s">
        <v>250</v>
      </c>
      <c r="P52" s="31" t="s">
        <v>249</v>
      </c>
      <c r="Q52" s="31" t="s">
        <v>250</v>
      </c>
      <c r="R52" s="31" t="s">
        <v>249</v>
      </c>
      <c r="S52" s="31">
        <v>0</v>
      </c>
      <c r="T52" s="91" t="str">
        <f t="shared" ref="T52:T57" si="21">IF(AND(R52&lt;&gt;0,S52&lt;&gt;0),"FULL",(IF(AND(R52=0,S52=0),"PM",IF(R52=0,"P",(IF(S52=0,"M"))))))</f>
        <v>M</v>
      </c>
      <c r="U52" s="91" t="s">
        <v>395</v>
      </c>
      <c r="V52" s="32" t="s">
        <v>396</v>
      </c>
      <c r="W52" s="91" t="s">
        <v>397</v>
      </c>
      <c r="X52" s="91" t="s">
        <v>398</v>
      </c>
      <c r="Y52" s="91"/>
      <c r="Z52" s="91"/>
    </row>
    <row r="53" spans="1:26" ht="12.75" customHeight="1">
      <c r="A53" s="32" t="s">
        <v>127</v>
      </c>
      <c r="B53" s="32" t="str">
        <f t="shared" si="0"/>
        <v>Dwarf3</v>
      </c>
      <c r="C53" s="32" t="s">
        <v>467</v>
      </c>
      <c r="D53" s="32" t="str">
        <f t="shared" si="1"/>
        <v>DwarfRunner</v>
      </c>
      <c r="E53" s="32">
        <v>6</v>
      </c>
      <c r="F53" s="32">
        <v>3</v>
      </c>
      <c r="G53" s="32">
        <v>3</v>
      </c>
      <c r="H53" s="32">
        <v>4</v>
      </c>
      <c r="I53" s="32">
        <v>9</v>
      </c>
      <c r="J53" s="32" t="str">
        <f>IF(Roster!$J$24="English",U53,(IF(Roster!$J$24="Español",V53,(IF(Roster!$J$24="Deutsch",W53,(IF(Roster!$J$24="Français",X53)))))))</f>
        <v>Sure Hands, Thick Skull</v>
      </c>
      <c r="K53" s="31">
        <v>85000</v>
      </c>
      <c r="L53" s="31">
        <f t="shared" si="20"/>
        <v>85</v>
      </c>
      <c r="M53" s="31">
        <v>2</v>
      </c>
      <c r="N53" s="31">
        <v>0</v>
      </c>
      <c r="O53" s="31" t="s">
        <v>250</v>
      </c>
      <c r="P53" s="31" t="s">
        <v>249</v>
      </c>
      <c r="Q53" s="31" t="s">
        <v>249</v>
      </c>
      <c r="R53" s="31" t="s">
        <v>250</v>
      </c>
      <c r="S53" s="31">
        <v>0</v>
      </c>
      <c r="T53" s="91" t="str">
        <f t="shared" si="21"/>
        <v>M</v>
      </c>
      <c r="U53" s="91" t="s">
        <v>486</v>
      </c>
      <c r="V53" s="32" t="s">
        <v>487</v>
      </c>
      <c r="W53" s="91" t="s">
        <v>488</v>
      </c>
      <c r="X53" s="91" t="s">
        <v>489</v>
      </c>
      <c r="Y53" s="91"/>
      <c r="Z53" s="91"/>
    </row>
    <row r="54" spans="1:26" ht="12.75" customHeight="1">
      <c r="A54" s="32" t="s">
        <v>127</v>
      </c>
      <c r="B54" s="32" t="str">
        <f t="shared" si="0"/>
        <v>Dwarf4</v>
      </c>
      <c r="C54" s="32" t="s">
        <v>338</v>
      </c>
      <c r="D54" s="32" t="str">
        <f t="shared" si="1"/>
        <v>DwarfBlitzer</v>
      </c>
      <c r="E54" s="32">
        <v>5</v>
      </c>
      <c r="F54" s="32">
        <v>3</v>
      </c>
      <c r="G54" s="32">
        <v>3</v>
      </c>
      <c r="H54" s="32">
        <v>4</v>
      </c>
      <c r="I54" s="32">
        <v>10</v>
      </c>
      <c r="J54" s="32" t="str">
        <f>IF(Roster!$J$24="English",U54,(IF(Roster!$J$24="Español",V54,(IF(Roster!$J$24="Deutsch",W54,(IF(Roster!$J$24="Français",X54)))))))</f>
        <v>Block, Thick Skull</v>
      </c>
      <c r="K54" s="31">
        <v>80000</v>
      </c>
      <c r="L54" s="31">
        <f t="shared" si="20"/>
        <v>80</v>
      </c>
      <c r="M54" s="31">
        <v>2</v>
      </c>
      <c r="N54" s="31">
        <v>0</v>
      </c>
      <c r="O54" s="31" t="s">
        <v>250</v>
      </c>
      <c r="P54" s="31" t="s">
        <v>249</v>
      </c>
      <c r="Q54" s="31" t="s">
        <v>250</v>
      </c>
      <c r="R54" s="31" t="s">
        <v>249</v>
      </c>
      <c r="S54" s="31">
        <v>0</v>
      </c>
      <c r="T54" s="91" t="str">
        <f t="shared" si="21"/>
        <v>M</v>
      </c>
      <c r="U54" s="91" t="s">
        <v>490</v>
      </c>
      <c r="V54" s="91" t="s">
        <v>491</v>
      </c>
      <c r="W54" s="91" t="s">
        <v>492</v>
      </c>
      <c r="X54" s="91" t="s">
        <v>493</v>
      </c>
      <c r="Y54" s="91"/>
      <c r="Z54" s="91"/>
    </row>
    <row r="55" spans="1:26" ht="12.75" customHeight="1">
      <c r="A55" s="32" t="s">
        <v>127</v>
      </c>
      <c r="B55" s="32" t="str">
        <f t="shared" si="0"/>
        <v>Dwarf5</v>
      </c>
      <c r="C55" s="32" t="s">
        <v>494</v>
      </c>
      <c r="D55" s="32" t="str">
        <f t="shared" si="1"/>
        <v>DwarfTroll Slayer</v>
      </c>
      <c r="E55" s="32">
        <v>5</v>
      </c>
      <c r="F55" s="32">
        <v>3</v>
      </c>
      <c r="G55" s="32">
        <v>4</v>
      </c>
      <c r="H55" s="32">
        <v>0</v>
      </c>
      <c r="I55" s="32">
        <v>9</v>
      </c>
      <c r="J55" s="32" t="str">
        <f>IF(Roster!$J$24="English",U55,(IF(Roster!$J$24="Español",V55,(IF(Roster!$J$24="Deutsch",W55,(IF(Roster!$J$24="Français",X55)))))))</f>
        <v>Block, Frenzy, Dauntless, Thick Skull</v>
      </c>
      <c r="K55" s="31">
        <v>95000</v>
      </c>
      <c r="L55" s="31">
        <f t="shared" si="20"/>
        <v>95</v>
      </c>
      <c r="M55" s="31">
        <v>2</v>
      </c>
      <c r="N55" s="31">
        <v>0</v>
      </c>
      <c r="O55" s="31" t="s">
        <v>250</v>
      </c>
      <c r="P55" s="31" t="s">
        <v>249</v>
      </c>
      <c r="Q55" s="31" t="s">
        <v>250</v>
      </c>
      <c r="R55" s="225">
        <v>0</v>
      </c>
      <c r="S55" s="31">
        <v>0</v>
      </c>
      <c r="T55" s="91" t="str">
        <f t="shared" si="21"/>
        <v>PM</v>
      </c>
      <c r="U55" s="91" t="s">
        <v>495</v>
      </c>
      <c r="V55" s="91" t="s">
        <v>496</v>
      </c>
      <c r="W55" s="91" t="s">
        <v>497</v>
      </c>
      <c r="X55" s="91" t="s">
        <v>498</v>
      </c>
      <c r="Y55" s="91"/>
      <c r="Z55" s="91"/>
    </row>
    <row r="56" spans="1:26" ht="12.75" customHeight="1">
      <c r="A56" s="32" t="s">
        <v>127</v>
      </c>
      <c r="B56" s="32" t="str">
        <f t="shared" si="0"/>
        <v>Dwarf6</v>
      </c>
      <c r="C56" s="32" t="s">
        <v>499</v>
      </c>
      <c r="D56" s="32" t="str">
        <f t="shared" si="1"/>
        <v>DwarfDeathroller</v>
      </c>
      <c r="E56" s="32">
        <v>4</v>
      </c>
      <c r="F56" s="32">
        <v>7</v>
      </c>
      <c r="G56" s="32">
        <v>5</v>
      </c>
      <c r="H56" s="32">
        <v>0</v>
      </c>
      <c r="I56" s="32">
        <v>11</v>
      </c>
      <c r="J56" s="32" t="str">
        <f>IF(Roster!$J$24="English",U56,(IF(Roster!$J$24="Español",V56,(IF(Roster!$J$24="Deutsch",W56,(IF(Roster!$J$24="Français",X56)))))))</f>
        <v>Break Tackle, Dirty Player (+2), Juggernaut, Loner (5+), Mighty Blow (+1), No Hands, Secret Weapon, Stand Firm</v>
      </c>
      <c r="K56" s="31">
        <v>170000</v>
      </c>
      <c r="L56" s="31">
        <f t="shared" si="20"/>
        <v>170</v>
      </c>
      <c r="M56" s="32">
        <v>1</v>
      </c>
      <c r="N56" s="32">
        <v>1</v>
      </c>
      <c r="O56" s="31" t="s">
        <v>249</v>
      </c>
      <c r="P56" s="31" t="s">
        <v>249</v>
      </c>
      <c r="Q56" s="31" t="s">
        <v>250</v>
      </c>
      <c r="R56" s="225">
        <v>0</v>
      </c>
      <c r="S56" s="31">
        <v>0</v>
      </c>
      <c r="T56" s="91" t="str">
        <f t="shared" si="21"/>
        <v>PM</v>
      </c>
      <c r="U56" s="91" t="s">
        <v>500</v>
      </c>
      <c r="V56" s="91" t="s">
        <v>501</v>
      </c>
      <c r="W56" s="91" t="s">
        <v>502</v>
      </c>
      <c r="X56" s="91" t="s">
        <v>503</v>
      </c>
      <c r="Y56" s="91"/>
      <c r="Z56" s="91"/>
    </row>
    <row r="57" spans="1:26" ht="12.75" customHeight="1">
      <c r="A57" s="32" t="s">
        <v>127</v>
      </c>
      <c r="B57" s="32" t="str">
        <f t="shared" si="0"/>
        <v>Dwarf7</v>
      </c>
      <c r="C57" s="32" t="s">
        <v>504</v>
      </c>
      <c r="D57" s="32" t="str">
        <f t="shared" si="1"/>
        <v>DwarfJourney Dwarf</v>
      </c>
      <c r="E57" s="32">
        <v>4</v>
      </c>
      <c r="F57" s="32">
        <v>3</v>
      </c>
      <c r="G57" s="32">
        <v>4</v>
      </c>
      <c r="H57" s="32">
        <v>5</v>
      </c>
      <c r="I57" s="32">
        <v>10</v>
      </c>
      <c r="J57" s="32" t="str">
        <f>IF(Roster!$J$24="English",U57,(IF(Roster!$J$24="Español",V57,(IF(Roster!$J$24="Deutsch",W57,(IF(Roster!$J$24="Français",X57)))))))</f>
        <v>Loner (4+), Block, Tackle, Thick Skull</v>
      </c>
      <c r="K57" s="31">
        <v>0</v>
      </c>
      <c r="L57" s="31">
        <v>70</v>
      </c>
      <c r="M57" s="32">
        <v>11</v>
      </c>
      <c r="N57" s="32">
        <v>0</v>
      </c>
      <c r="O57" s="31" t="s">
        <v>250</v>
      </c>
      <c r="P57" s="31" t="s">
        <v>249</v>
      </c>
      <c r="Q57" s="31" t="s">
        <v>250</v>
      </c>
      <c r="R57" s="31" t="s">
        <v>249</v>
      </c>
      <c r="S57" s="31">
        <v>0</v>
      </c>
      <c r="T57" s="91" t="str">
        <f t="shared" si="21"/>
        <v>M</v>
      </c>
      <c r="U57" s="91" t="s">
        <v>505</v>
      </c>
      <c r="V57" s="91" t="s">
        <v>506</v>
      </c>
      <c r="W57" s="91" t="s">
        <v>507</v>
      </c>
      <c r="X57" s="91" t="s">
        <v>508</v>
      </c>
      <c r="Y57" s="91"/>
      <c r="Z57" s="91"/>
    </row>
    <row r="58" spans="1:26" ht="12.75" customHeight="1">
      <c r="A58" s="32" t="s">
        <v>133</v>
      </c>
      <c r="B58" s="32" t="str">
        <f t="shared" si="0"/>
        <v>Elven Union1</v>
      </c>
      <c r="C58" s="32" t="str">
        <f>""</f>
        <v/>
      </c>
      <c r="D58" s="32" t="str">
        <f t="shared" si="1"/>
        <v>Elven Union</v>
      </c>
      <c r="E58" s="32">
        <v>0</v>
      </c>
      <c r="F58" s="32">
        <v>0</v>
      </c>
      <c r="G58" s="32">
        <v>0</v>
      </c>
      <c r="H58" s="32">
        <v>0</v>
      </c>
      <c r="I58" s="32">
        <v>0</v>
      </c>
      <c r="J58" s="32">
        <f>IF(Roster!$J$24="English",U58,(IF(Roster!$J$24="Español",V58,(IF(Roster!$J$24="Deutsch",W58,(IF(Roster!$J$24="Français",X58)))))))</f>
        <v>0</v>
      </c>
      <c r="K58" s="31">
        <v>0</v>
      </c>
      <c r="L58" s="31">
        <f t="shared" ref="L58:L62" si="22">K58/1000</f>
        <v>0</v>
      </c>
      <c r="M58" s="31">
        <v>0</v>
      </c>
      <c r="N58" s="31">
        <v>0</v>
      </c>
      <c r="O58" s="31"/>
      <c r="P58" s="31"/>
      <c r="Q58" s="31"/>
      <c r="R58" s="31"/>
      <c r="S58" s="31"/>
      <c r="T58" s="91"/>
      <c r="U58" s="91">
        <v>0</v>
      </c>
      <c r="V58" s="91">
        <v>0</v>
      </c>
      <c r="W58" s="91">
        <v>0</v>
      </c>
      <c r="X58" s="91">
        <v>0</v>
      </c>
      <c r="Y58" s="91">
        <v>0</v>
      </c>
      <c r="Z58" s="91"/>
    </row>
    <row r="59" spans="1:26" ht="12.75" customHeight="1">
      <c r="A59" s="32" t="s">
        <v>133</v>
      </c>
      <c r="B59" s="32" t="str">
        <f t="shared" si="0"/>
        <v>Elven Union2</v>
      </c>
      <c r="C59" s="32" t="s">
        <v>466</v>
      </c>
      <c r="D59" s="32" t="str">
        <f t="shared" si="1"/>
        <v>Elven UnionLineman</v>
      </c>
      <c r="E59" s="32">
        <v>6</v>
      </c>
      <c r="F59" s="32">
        <v>3</v>
      </c>
      <c r="G59" s="32">
        <v>2</v>
      </c>
      <c r="H59" s="32">
        <v>4</v>
      </c>
      <c r="I59" s="32">
        <v>8</v>
      </c>
      <c r="J59" s="32" t="str">
        <f>IF(Roster!$J$24="English",U59,(IF(Roster!$J$24="Español",V59,(IF(Roster!$J$24="Deutsch",W59,(IF(Roster!$J$24="Français",X59)))))))</f>
        <v/>
      </c>
      <c r="K59" s="31">
        <v>60000</v>
      </c>
      <c r="L59" s="31">
        <f t="shared" si="22"/>
        <v>60</v>
      </c>
      <c r="M59" s="31">
        <v>16</v>
      </c>
      <c r="N59" s="31">
        <v>0</v>
      </c>
      <c r="O59" s="31" t="s">
        <v>250</v>
      </c>
      <c r="P59" s="31" t="s">
        <v>250</v>
      </c>
      <c r="Q59" s="31" t="s">
        <v>249</v>
      </c>
      <c r="R59" s="31" t="s">
        <v>249</v>
      </c>
      <c r="S59" s="31">
        <v>0</v>
      </c>
      <c r="T59" s="91" t="str">
        <f t="shared" ref="T59:T63" si="23">IF(AND(R59&lt;&gt;0,S59&lt;&gt;0),"FULL",(IF(AND(R59=0,S59=0),"PM",IF(R59=0,"P",(IF(S59=0,"M"))))))</f>
        <v>M</v>
      </c>
      <c r="U59" s="91" t="str">
        <f t="shared" ref="U59:Y59" si="24">""</f>
        <v/>
      </c>
      <c r="V59" s="91" t="str">
        <f t="shared" si="24"/>
        <v/>
      </c>
      <c r="W59" s="91" t="str">
        <f t="shared" si="24"/>
        <v/>
      </c>
      <c r="X59" s="91" t="str">
        <f t="shared" si="24"/>
        <v/>
      </c>
      <c r="Y59" s="91" t="str">
        <f t="shared" si="24"/>
        <v/>
      </c>
      <c r="Z59" s="91"/>
    </row>
    <row r="60" spans="1:26" ht="12.75" customHeight="1">
      <c r="A60" s="32" t="s">
        <v>133</v>
      </c>
      <c r="B60" s="32" t="str">
        <f t="shared" si="0"/>
        <v>Elven Union3</v>
      </c>
      <c r="C60" s="32" t="s">
        <v>328</v>
      </c>
      <c r="D60" s="32" t="str">
        <f t="shared" si="1"/>
        <v>Elven UnionThrower</v>
      </c>
      <c r="E60" s="32">
        <v>6</v>
      </c>
      <c r="F60" s="32">
        <v>3</v>
      </c>
      <c r="G60" s="32">
        <v>2</v>
      </c>
      <c r="H60" s="32">
        <v>2</v>
      </c>
      <c r="I60" s="32">
        <v>8</v>
      </c>
      <c r="J60" s="32" t="str">
        <f>IF(Roster!$J$24="English",U60,(IF(Roster!$J$24="Español",V60,(IF(Roster!$J$24="Deutsch",W60,(IF(Roster!$J$24="Français",X60)))))))</f>
        <v>Pass</v>
      </c>
      <c r="K60" s="31">
        <v>75000</v>
      </c>
      <c r="L60" s="31">
        <f t="shared" si="22"/>
        <v>75</v>
      </c>
      <c r="M60" s="224">
        <v>2</v>
      </c>
      <c r="N60" s="224">
        <v>0</v>
      </c>
      <c r="O60" s="31" t="s">
        <v>250</v>
      </c>
      <c r="P60" s="31" t="s">
        <v>250</v>
      </c>
      <c r="Q60" s="31" t="s">
        <v>249</v>
      </c>
      <c r="R60" s="31" t="s">
        <v>250</v>
      </c>
      <c r="S60" s="31">
        <v>0</v>
      </c>
      <c r="T60" s="91" t="str">
        <f t="shared" si="23"/>
        <v>M</v>
      </c>
      <c r="U60" s="91" t="s">
        <v>509</v>
      </c>
      <c r="V60" s="91" t="s">
        <v>510</v>
      </c>
      <c r="W60" s="91" t="s">
        <v>511</v>
      </c>
      <c r="X60" s="91" t="s">
        <v>512</v>
      </c>
      <c r="Y60" s="91"/>
      <c r="Z60" s="91"/>
    </row>
    <row r="61" spans="1:26" ht="12.75" customHeight="1">
      <c r="A61" s="32" t="s">
        <v>133</v>
      </c>
      <c r="B61" s="32" t="str">
        <f t="shared" si="0"/>
        <v>Elven Union4</v>
      </c>
      <c r="C61" s="32" t="s">
        <v>333</v>
      </c>
      <c r="D61" s="32" t="str">
        <f t="shared" si="1"/>
        <v>Elven UnionCatcher</v>
      </c>
      <c r="E61" s="32">
        <v>8</v>
      </c>
      <c r="F61" s="32">
        <v>3</v>
      </c>
      <c r="G61" s="32">
        <v>2</v>
      </c>
      <c r="H61" s="32">
        <v>4</v>
      </c>
      <c r="I61" s="32">
        <v>8</v>
      </c>
      <c r="J61" s="32" t="str">
        <f>IF(Roster!$J$24="English",U61,(IF(Roster!$J$24="Español",V61,(IF(Roster!$J$24="Deutsch",W61,(IF(Roster!$J$24="Français",X61)))))))</f>
        <v>Catch, Nerves of Steel</v>
      </c>
      <c r="K61" s="31">
        <v>100000</v>
      </c>
      <c r="L61" s="31">
        <f t="shared" si="22"/>
        <v>100</v>
      </c>
      <c r="M61" s="32">
        <v>4</v>
      </c>
      <c r="N61" s="32">
        <v>0</v>
      </c>
      <c r="O61" s="31" t="s">
        <v>250</v>
      </c>
      <c r="P61" s="31" t="s">
        <v>250</v>
      </c>
      <c r="Q61" s="31" t="s">
        <v>249</v>
      </c>
      <c r="R61" s="31" t="s">
        <v>249</v>
      </c>
      <c r="S61" s="31">
        <v>0</v>
      </c>
      <c r="T61" s="91" t="str">
        <f t="shared" si="23"/>
        <v>M</v>
      </c>
      <c r="U61" s="91" t="s">
        <v>513</v>
      </c>
      <c r="V61" s="91" t="s">
        <v>514</v>
      </c>
      <c r="W61" s="91" t="s">
        <v>515</v>
      </c>
      <c r="X61" s="91" t="s">
        <v>516</v>
      </c>
      <c r="Y61" s="91"/>
      <c r="Z61" s="91"/>
    </row>
    <row r="62" spans="1:26" ht="12.75" customHeight="1">
      <c r="A62" s="32" t="s">
        <v>133</v>
      </c>
      <c r="B62" s="32" t="str">
        <f t="shared" si="0"/>
        <v>Elven Union5</v>
      </c>
      <c r="C62" s="32" t="s">
        <v>338</v>
      </c>
      <c r="D62" s="32" t="str">
        <f t="shared" si="1"/>
        <v>Elven UnionBlitzer</v>
      </c>
      <c r="E62" s="32">
        <v>7</v>
      </c>
      <c r="F62" s="32">
        <v>3</v>
      </c>
      <c r="G62" s="32">
        <v>2</v>
      </c>
      <c r="H62" s="32">
        <v>3</v>
      </c>
      <c r="I62" s="32">
        <v>9</v>
      </c>
      <c r="J62" s="32" t="str">
        <f>IF(Roster!$J$24="English",U62,(IF(Roster!$J$24="Español",V62,(IF(Roster!$J$24="Deutsch",W62,(IF(Roster!$J$24="Français",X62)))))))</f>
        <v>Block, Side Step</v>
      </c>
      <c r="K62" s="31">
        <v>115000</v>
      </c>
      <c r="L62" s="31">
        <f t="shared" si="22"/>
        <v>115</v>
      </c>
      <c r="M62" s="32">
        <v>2</v>
      </c>
      <c r="N62" s="32">
        <v>0</v>
      </c>
      <c r="O62" s="31" t="s">
        <v>250</v>
      </c>
      <c r="P62" s="31" t="s">
        <v>250</v>
      </c>
      <c r="Q62" s="31" t="s">
        <v>249</v>
      </c>
      <c r="R62" s="31" t="s">
        <v>249</v>
      </c>
      <c r="S62" s="31">
        <v>0</v>
      </c>
      <c r="T62" s="91" t="str">
        <f t="shared" si="23"/>
        <v>M</v>
      </c>
      <c r="U62" s="91" t="s">
        <v>517</v>
      </c>
      <c r="V62" s="91" t="s">
        <v>518</v>
      </c>
      <c r="W62" s="91" t="s">
        <v>519</v>
      </c>
      <c r="X62" s="91" t="s">
        <v>520</v>
      </c>
      <c r="Y62" s="91"/>
      <c r="Z62" s="91"/>
    </row>
    <row r="63" spans="1:26" ht="12.75" customHeight="1">
      <c r="A63" s="32" t="s">
        <v>133</v>
      </c>
      <c r="B63" s="32" t="str">
        <f t="shared" si="0"/>
        <v>Elven Union6</v>
      </c>
      <c r="C63" s="32" t="s">
        <v>485</v>
      </c>
      <c r="D63" s="32" t="str">
        <f t="shared" si="1"/>
        <v>Elven UnionJourney Elf</v>
      </c>
      <c r="E63" s="32">
        <v>6</v>
      </c>
      <c r="F63" s="32">
        <v>3</v>
      </c>
      <c r="G63" s="32">
        <v>2</v>
      </c>
      <c r="H63" s="32">
        <v>4</v>
      </c>
      <c r="I63" s="32">
        <v>8</v>
      </c>
      <c r="J63" s="32" t="str">
        <f>IF(Roster!$J$24="English",U63,(IF(Roster!$J$24="Español",V63,(IF(Roster!$J$24="Deutsch",W63,(IF(Roster!$J$24="Français",X63)))))))</f>
        <v>Loner (4+)</v>
      </c>
      <c r="K63" s="31">
        <v>0</v>
      </c>
      <c r="L63" s="31">
        <v>60</v>
      </c>
      <c r="M63" s="32">
        <v>11</v>
      </c>
      <c r="N63" s="32">
        <v>0</v>
      </c>
      <c r="O63" s="31" t="s">
        <v>250</v>
      </c>
      <c r="P63" s="31" t="s">
        <v>250</v>
      </c>
      <c r="Q63" s="31" t="s">
        <v>249</v>
      </c>
      <c r="R63" s="31" t="s">
        <v>249</v>
      </c>
      <c r="S63" s="31">
        <v>0</v>
      </c>
      <c r="T63" s="91" t="str">
        <f t="shared" si="23"/>
        <v>M</v>
      </c>
      <c r="U63" s="91" t="s">
        <v>410</v>
      </c>
      <c r="V63" s="91" t="s">
        <v>411</v>
      </c>
      <c r="W63" s="91" t="s">
        <v>412</v>
      </c>
      <c r="X63" s="91" t="s">
        <v>413</v>
      </c>
      <c r="Y63" s="91"/>
      <c r="Z63" s="91"/>
    </row>
    <row r="64" spans="1:26" ht="12.75" customHeight="1">
      <c r="A64" s="32" t="s">
        <v>139</v>
      </c>
      <c r="B64" s="32" t="str">
        <f t="shared" si="0"/>
        <v>Goblin1</v>
      </c>
      <c r="C64" s="32" t="str">
        <f>""</f>
        <v/>
      </c>
      <c r="D64" s="32" t="str">
        <f t="shared" si="1"/>
        <v>Goblin</v>
      </c>
      <c r="E64" s="32">
        <v>0</v>
      </c>
      <c r="F64" s="32">
        <v>0</v>
      </c>
      <c r="G64" s="32">
        <v>0</v>
      </c>
      <c r="H64" s="32">
        <v>0</v>
      </c>
      <c r="I64" s="32">
        <v>0</v>
      </c>
      <c r="J64" s="32">
        <f>IF(Roster!$J$24="English",U64,(IF(Roster!$J$24="Español",V64,(IF(Roster!$J$24="Deutsch",W64,(IF(Roster!$J$24="Français",X64)))))))</f>
        <v>0</v>
      </c>
      <c r="K64" s="31">
        <v>0</v>
      </c>
      <c r="L64" s="31">
        <f t="shared" ref="L64:L72" si="25">K64/1000</f>
        <v>0</v>
      </c>
      <c r="M64" s="31">
        <v>0</v>
      </c>
      <c r="N64" s="31">
        <v>0</v>
      </c>
      <c r="O64" s="31"/>
      <c r="P64" s="31"/>
      <c r="Q64" s="31"/>
      <c r="R64" s="31"/>
      <c r="S64" s="31"/>
      <c r="T64" s="91"/>
      <c r="U64" s="91">
        <v>0</v>
      </c>
      <c r="V64" s="91">
        <v>0</v>
      </c>
      <c r="W64" s="91">
        <v>0</v>
      </c>
      <c r="X64" s="91">
        <v>0</v>
      </c>
      <c r="Y64" s="91">
        <v>0</v>
      </c>
      <c r="Z64" s="91"/>
    </row>
    <row r="65" spans="1:26" ht="12.75" customHeight="1">
      <c r="A65" s="32" t="s">
        <v>139</v>
      </c>
      <c r="B65" s="32" t="str">
        <f t="shared" si="0"/>
        <v>Goblin2</v>
      </c>
      <c r="C65" s="32" t="s">
        <v>139</v>
      </c>
      <c r="D65" s="32" t="str">
        <f t="shared" si="1"/>
        <v>GoblinGoblin</v>
      </c>
      <c r="E65" s="32">
        <v>6</v>
      </c>
      <c r="F65" s="32">
        <v>2</v>
      </c>
      <c r="G65" s="32">
        <v>3</v>
      </c>
      <c r="H65" s="32">
        <v>4</v>
      </c>
      <c r="I65" s="32">
        <v>8</v>
      </c>
      <c r="J65" s="32" t="str">
        <f>IF(Roster!$J$24="English",U65,(IF(Roster!$J$24="Español",V65,(IF(Roster!$J$24="Deutsch",W65,(IF(Roster!$J$24="Français",X65)))))))</f>
        <v>Dodge, Right Stuff, Stunty</v>
      </c>
      <c r="K65" s="31">
        <v>40000</v>
      </c>
      <c r="L65" s="31">
        <f t="shared" si="25"/>
        <v>40</v>
      </c>
      <c r="M65" s="31">
        <v>16</v>
      </c>
      <c r="N65" s="31">
        <v>0</v>
      </c>
      <c r="O65" s="31" t="s">
        <v>249</v>
      </c>
      <c r="P65" s="31" t="s">
        <v>250</v>
      </c>
      <c r="Q65" s="31" t="s">
        <v>249</v>
      </c>
      <c r="R65" s="31" t="s">
        <v>249</v>
      </c>
      <c r="S65" s="31">
        <v>0</v>
      </c>
      <c r="T65" s="91" t="str">
        <f t="shared" ref="T65:T73" si="26">IF(AND(R65&lt;&gt;0,S65&lt;&gt;0),"FULL",(IF(AND(R65=0,S65=0),"PM",IF(R65=0,"P",(IF(S65=0,"M"))))))</f>
        <v>M</v>
      </c>
      <c r="U65" s="91" t="s">
        <v>521</v>
      </c>
      <c r="V65" s="91" t="s">
        <v>522</v>
      </c>
      <c r="W65" s="91" t="s">
        <v>523</v>
      </c>
      <c r="X65" s="91" t="s">
        <v>524</v>
      </c>
      <c r="Y65" s="91"/>
      <c r="Z65" s="91"/>
    </row>
    <row r="66" spans="1:26" ht="12.75" customHeight="1">
      <c r="A66" s="32" t="s">
        <v>139</v>
      </c>
      <c r="B66" s="32" t="str">
        <f t="shared" si="0"/>
        <v>Goblin3</v>
      </c>
      <c r="C66" s="32" t="s">
        <v>525</v>
      </c>
      <c r="D66" s="32" t="str">
        <f t="shared" si="1"/>
        <v>GoblinBombardier</v>
      </c>
      <c r="E66" s="32">
        <v>6</v>
      </c>
      <c r="F66" s="32">
        <v>2</v>
      </c>
      <c r="G66" s="32">
        <v>3</v>
      </c>
      <c r="H66" s="32">
        <v>4</v>
      </c>
      <c r="I66" s="32">
        <v>8</v>
      </c>
      <c r="J66" s="32" t="str">
        <f>IF(Roster!$J$24="English",U66,(IF(Roster!$J$24="Español",V66,(IF(Roster!$J$24="Deutsch",W66,(IF(Roster!$J$24="Français",X66)))))))</f>
        <v>Bombardier, Dodge, Secret Weapon, Stunty</v>
      </c>
      <c r="K66" s="31">
        <v>45000</v>
      </c>
      <c r="L66" s="31">
        <f t="shared" si="25"/>
        <v>45</v>
      </c>
      <c r="M66" s="31">
        <v>1</v>
      </c>
      <c r="N66" s="31">
        <v>0</v>
      </c>
      <c r="O66" s="31" t="s">
        <v>249</v>
      </c>
      <c r="P66" s="31" t="s">
        <v>250</v>
      </c>
      <c r="Q66" s="31" t="s">
        <v>249</v>
      </c>
      <c r="R66" s="31" t="s">
        <v>249</v>
      </c>
      <c r="S66" s="31">
        <v>0</v>
      </c>
      <c r="T66" s="91" t="str">
        <f t="shared" si="26"/>
        <v>M</v>
      </c>
      <c r="U66" s="91" t="s">
        <v>526</v>
      </c>
      <c r="V66" s="91" t="s">
        <v>527</v>
      </c>
      <c r="W66" s="91" t="s">
        <v>528</v>
      </c>
      <c r="X66" s="91" t="s">
        <v>529</v>
      </c>
      <c r="Y66" s="91"/>
      <c r="Z66" s="91"/>
    </row>
    <row r="67" spans="1:26" ht="12.75" customHeight="1">
      <c r="A67" s="32" t="s">
        <v>139</v>
      </c>
      <c r="B67" s="32" t="str">
        <f t="shared" si="0"/>
        <v>Goblin4</v>
      </c>
      <c r="C67" s="32" t="s">
        <v>530</v>
      </c>
      <c r="D67" s="32" t="str">
        <f t="shared" si="1"/>
        <v>GoblinLooney</v>
      </c>
      <c r="E67" s="32">
        <v>6</v>
      </c>
      <c r="F67" s="32">
        <v>2</v>
      </c>
      <c r="G67" s="32">
        <v>3</v>
      </c>
      <c r="H67" s="32">
        <v>0</v>
      </c>
      <c r="I67" s="32">
        <v>8</v>
      </c>
      <c r="J67" s="32" t="str">
        <f>IF(Roster!$J$24="English",U67,(IF(Roster!$J$24="Español",V67,(IF(Roster!$J$24="Deutsch",W67,(IF(Roster!$J$24="Français",X67)))))))</f>
        <v>Chainsaw, Secret Weapon, Stunty</v>
      </c>
      <c r="K67" s="31">
        <v>40000</v>
      </c>
      <c r="L67" s="31">
        <f t="shared" si="25"/>
        <v>40</v>
      </c>
      <c r="M67" s="31">
        <v>1</v>
      </c>
      <c r="N67" s="31">
        <v>0</v>
      </c>
      <c r="O67" s="31" t="s">
        <v>249</v>
      </c>
      <c r="P67" s="31" t="s">
        <v>250</v>
      </c>
      <c r="Q67" s="31" t="s">
        <v>249</v>
      </c>
      <c r="R67" s="225">
        <v>0</v>
      </c>
      <c r="S67" s="31">
        <v>0</v>
      </c>
      <c r="T67" s="91" t="str">
        <f t="shared" si="26"/>
        <v>PM</v>
      </c>
      <c r="U67" s="91" t="s">
        <v>531</v>
      </c>
      <c r="V67" s="91" t="s">
        <v>532</v>
      </c>
      <c r="W67" s="91" t="s">
        <v>533</v>
      </c>
      <c r="X67" s="91" t="s">
        <v>534</v>
      </c>
      <c r="Y67" s="91"/>
      <c r="Z67" s="91"/>
    </row>
    <row r="68" spans="1:26" ht="12.75" customHeight="1">
      <c r="A68" s="32" t="s">
        <v>139</v>
      </c>
      <c r="B68" s="32" t="str">
        <f t="shared" si="0"/>
        <v>Goblin5</v>
      </c>
      <c r="C68" s="32" t="s">
        <v>535</v>
      </c>
      <c r="D68" s="32" t="str">
        <f t="shared" si="1"/>
        <v>GoblinDoom Diver</v>
      </c>
      <c r="E68" s="32">
        <v>6</v>
      </c>
      <c r="F68" s="32">
        <v>2</v>
      </c>
      <c r="G68" s="32">
        <v>3</v>
      </c>
      <c r="H68" s="32">
        <v>6</v>
      </c>
      <c r="I68" s="32">
        <v>8</v>
      </c>
      <c r="J68" s="32" t="str">
        <f>IF(Roster!$J$24="English",U68,(IF(Roster!$J$24="Español",V68,(IF(Roster!$J$24="Deutsch",W68,(IF(Roster!$J$24="Français",X68)))))))</f>
        <v>Right Stuff, Stunty, Swoop</v>
      </c>
      <c r="K68" s="31">
        <v>60000</v>
      </c>
      <c r="L68" s="31">
        <f t="shared" si="25"/>
        <v>60</v>
      </c>
      <c r="M68" s="224">
        <v>1</v>
      </c>
      <c r="N68" s="224">
        <v>0</v>
      </c>
      <c r="O68" s="31" t="s">
        <v>249</v>
      </c>
      <c r="P68" s="31" t="s">
        <v>250</v>
      </c>
      <c r="Q68" s="31" t="s">
        <v>249</v>
      </c>
      <c r="R68" s="31" t="s">
        <v>249</v>
      </c>
      <c r="S68" s="31">
        <v>0</v>
      </c>
      <c r="T68" s="91" t="str">
        <f t="shared" si="26"/>
        <v>M</v>
      </c>
      <c r="U68" s="91" t="s">
        <v>536</v>
      </c>
      <c r="V68" s="91" t="s">
        <v>537</v>
      </c>
      <c r="W68" s="91" t="s">
        <v>538</v>
      </c>
      <c r="X68" s="91" t="s">
        <v>539</v>
      </c>
      <c r="Y68" s="91"/>
      <c r="Z68" s="91"/>
    </row>
    <row r="69" spans="1:26" ht="12.75" customHeight="1">
      <c r="A69" s="32" t="s">
        <v>139</v>
      </c>
      <c r="B69" s="32" t="str">
        <f t="shared" si="0"/>
        <v>Goblin6</v>
      </c>
      <c r="C69" s="32" t="s">
        <v>540</v>
      </c>
      <c r="D69" s="32" t="str">
        <f t="shared" si="1"/>
        <v>GoblinOoligan</v>
      </c>
      <c r="E69" s="32">
        <v>6</v>
      </c>
      <c r="F69" s="32">
        <v>2</v>
      </c>
      <c r="G69" s="32">
        <v>3</v>
      </c>
      <c r="H69" s="32">
        <v>6</v>
      </c>
      <c r="I69" s="32">
        <v>8</v>
      </c>
      <c r="J69" s="32" t="str">
        <f>IF(Roster!$J$24="English",U69,(IF(Roster!$J$24="Español",V69,(IF(Roster!$J$24="Deutsch",W69,(IF(Roster!$J$24="Français",X69)))))))</f>
        <v>Dirty Player (+1), Disturbing Presence, Dodge, Right Stuff, Stunty</v>
      </c>
      <c r="K69" s="31">
        <v>65000</v>
      </c>
      <c r="L69" s="31">
        <f t="shared" si="25"/>
        <v>65</v>
      </c>
      <c r="M69" s="32">
        <v>1</v>
      </c>
      <c r="N69" s="32">
        <v>0</v>
      </c>
      <c r="O69" s="31" t="s">
        <v>249</v>
      </c>
      <c r="P69" s="31" t="s">
        <v>250</v>
      </c>
      <c r="Q69" s="31" t="s">
        <v>249</v>
      </c>
      <c r="R69" s="31" t="s">
        <v>249</v>
      </c>
      <c r="S69" s="31">
        <v>0</v>
      </c>
      <c r="T69" s="91" t="str">
        <f t="shared" si="26"/>
        <v>M</v>
      </c>
      <c r="U69" s="91" t="s">
        <v>541</v>
      </c>
      <c r="V69" s="91" t="s">
        <v>542</v>
      </c>
      <c r="W69" s="91" t="s">
        <v>543</v>
      </c>
      <c r="X69" s="91" t="s">
        <v>544</v>
      </c>
      <c r="Y69" s="91"/>
      <c r="Z69" s="91"/>
    </row>
    <row r="70" spans="1:26" ht="12.75" customHeight="1">
      <c r="A70" s="32" t="s">
        <v>139</v>
      </c>
      <c r="B70" s="32" t="str">
        <f t="shared" si="0"/>
        <v>Goblin7</v>
      </c>
      <c r="C70" s="32" t="s">
        <v>545</v>
      </c>
      <c r="D70" s="32" t="str">
        <f t="shared" si="1"/>
        <v xml:space="preserve">GoblinFanatic </v>
      </c>
      <c r="E70" s="32">
        <v>3</v>
      </c>
      <c r="F70" s="32">
        <v>7</v>
      </c>
      <c r="G70" s="32">
        <v>3</v>
      </c>
      <c r="H70" s="32">
        <v>0</v>
      </c>
      <c r="I70" s="32">
        <v>8</v>
      </c>
      <c r="J70" s="32" t="str">
        <f>IF(Roster!$J$24="English",U70,(IF(Roster!$J$24="Español",V70,(IF(Roster!$J$24="Deutsch",W70,(IF(Roster!$J$24="Français",X70)))))))</f>
        <v>Ball &amp; Chain, No Hands, Secret Weapon, Stunty</v>
      </c>
      <c r="K70" s="31">
        <v>70000</v>
      </c>
      <c r="L70" s="31">
        <f t="shared" si="25"/>
        <v>70</v>
      </c>
      <c r="M70" s="32">
        <v>1</v>
      </c>
      <c r="N70" s="32">
        <v>0</v>
      </c>
      <c r="O70" s="31" t="s">
        <v>249</v>
      </c>
      <c r="P70" s="31" t="s">
        <v>249</v>
      </c>
      <c r="Q70" s="31" t="s">
        <v>250</v>
      </c>
      <c r="R70" s="225">
        <v>0</v>
      </c>
      <c r="S70" s="31">
        <v>0</v>
      </c>
      <c r="T70" s="91" t="str">
        <f t="shared" si="26"/>
        <v>PM</v>
      </c>
      <c r="U70" s="91" t="s">
        <v>546</v>
      </c>
      <c r="V70" s="91" t="s">
        <v>547</v>
      </c>
      <c r="W70" s="91" t="s">
        <v>548</v>
      </c>
      <c r="X70" s="91" t="s">
        <v>549</v>
      </c>
      <c r="Y70" s="91"/>
      <c r="Z70" s="91"/>
    </row>
    <row r="71" spans="1:26" ht="12.75" customHeight="1">
      <c r="A71" s="32" t="s">
        <v>139</v>
      </c>
      <c r="B71" s="32" t="str">
        <f t="shared" si="0"/>
        <v>Goblin8</v>
      </c>
      <c r="C71" s="32" t="s">
        <v>550</v>
      </c>
      <c r="D71" s="32" t="str">
        <f t="shared" si="1"/>
        <v>GoblinPogoer</v>
      </c>
      <c r="E71" s="32">
        <v>7</v>
      </c>
      <c r="F71" s="32">
        <v>2</v>
      </c>
      <c r="G71" s="32">
        <v>3</v>
      </c>
      <c r="H71" s="32">
        <v>5</v>
      </c>
      <c r="I71" s="32">
        <v>8</v>
      </c>
      <c r="J71" s="32" t="str">
        <f>IF(Roster!$J$24="English",U71,(IF(Roster!$J$24="Español",V71,(IF(Roster!$J$24="Deutsch",W71,(IF(Roster!$J$24="Français",X71)))))))</f>
        <v>Dodge, Pogo Stick, Stunty</v>
      </c>
      <c r="K71" s="31">
        <v>75000</v>
      </c>
      <c r="L71" s="31">
        <f t="shared" si="25"/>
        <v>75</v>
      </c>
      <c r="M71" s="32">
        <v>1</v>
      </c>
      <c r="N71" s="32">
        <v>0</v>
      </c>
      <c r="O71" s="31" t="s">
        <v>249</v>
      </c>
      <c r="P71" s="31" t="s">
        <v>250</v>
      </c>
      <c r="Q71" s="31" t="s">
        <v>249</v>
      </c>
      <c r="R71" s="31" t="s">
        <v>249</v>
      </c>
      <c r="S71" s="31">
        <v>0</v>
      </c>
      <c r="T71" s="91" t="str">
        <f t="shared" si="26"/>
        <v>M</v>
      </c>
      <c r="U71" s="91" t="s">
        <v>551</v>
      </c>
      <c r="V71" s="91" t="s">
        <v>552</v>
      </c>
      <c r="W71" s="91" t="s">
        <v>553</v>
      </c>
      <c r="X71" s="91" t="s">
        <v>554</v>
      </c>
      <c r="Y71" s="91"/>
      <c r="Z71" s="91"/>
    </row>
    <row r="72" spans="1:26" ht="12.75" customHeight="1">
      <c r="A72" s="32" t="s">
        <v>139</v>
      </c>
      <c r="B72" s="32" t="str">
        <f t="shared" si="0"/>
        <v>Goblin9</v>
      </c>
      <c r="C72" s="32" t="s">
        <v>555</v>
      </c>
      <c r="D72" s="32" t="str">
        <f t="shared" si="1"/>
        <v xml:space="preserve">GoblinTroll </v>
      </c>
      <c r="E72" s="32">
        <v>4</v>
      </c>
      <c r="F72" s="32">
        <v>5</v>
      </c>
      <c r="G72" s="32">
        <v>5</v>
      </c>
      <c r="H72" s="32">
        <v>5</v>
      </c>
      <c r="I72" s="32">
        <v>10</v>
      </c>
      <c r="J72" s="32" t="str">
        <f>IF(Roster!$J$24="English",U72,(IF(Roster!$J$24="Español",V72,(IF(Roster!$J$24="Deutsch",W72,(IF(Roster!$J$24="Français",X72)))))))</f>
        <v>Always Hungry, Loner (3+), Mighty Blow (+1), Projectile Vomit, Really Stupid, Regeneration, Throw Team-mate</v>
      </c>
      <c r="K72" s="31">
        <v>115000</v>
      </c>
      <c r="L72" s="31">
        <f t="shared" si="25"/>
        <v>115</v>
      </c>
      <c r="M72" s="32">
        <v>2</v>
      </c>
      <c r="N72" s="32">
        <v>1</v>
      </c>
      <c r="O72" s="31" t="s">
        <v>249</v>
      </c>
      <c r="P72" s="31" t="s">
        <v>249</v>
      </c>
      <c r="Q72" s="31" t="s">
        <v>250</v>
      </c>
      <c r="R72" s="31" t="s">
        <v>249</v>
      </c>
      <c r="S72" s="31">
        <v>0</v>
      </c>
      <c r="T72" s="91" t="str">
        <f t="shared" si="26"/>
        <v>M</v>
      </c>
      <c r="U72" s="91" t="s">
        <v>358</v>
      </c>
      <c r="V72" s="91" t="s">
        <v>359</v>
      </c>
      <c r="W72" s="91" t="s">
        <v>360</v>
      </c>
      <c r="X72" s="91" t="s">
        <v>361</v>
      </c>
      <c r="Y72" s="91"/>
      <c r="Z72" s="91"/>
    </row>
    <row r="73" spans="1:26" ht="12.75" customHeight="1">
      <c r="A73" s="32" t="s">
        <v>139</v>
      </c>
      <c r="B73" s="32" t="str">
        <f t="shared" si="0"/>
        <v>Goblin10</v>
      </c>
      <c r="C73" s="32" t="s">
        <v>362</v>
      </c>
      <c r="D73" s="32" t="str">
        <f t="shared" si="1"/>
        <v>GoblinJourney Goblin</v>
      </c>
      <c r="E73" s="32">
        <v>6</v>
      </c>
      <c r="F73" s="32">
        <v>2</v>
      </c>
      <c r="G73" s="32">
        <v>3</v>
      </c>
      <c r="H73" s="32">
        <v>4</v>
      </c>
      <c r="I73" s="32">
        <v>8</v>
      </c>
      <c r="J73" s="32" t="str">
        <f>IF(Roster!$J$24="English",U73,(IF(Roster!$J$24="Español",V73,(IF(Roster!$J$24="Deutsch",W73,(IF(Roster!$J$24="Français",X73)))))))</f>
        <v>Loner (4+), Dodge, Right Stuff, Stunty</v>
      </c>
      <c r="K73" s="31">
        <v>0</v>
      </c>
      <c r="L73" s="31">
        <v>40</v>
      </c>
      <c r="M73" s="32">
        <v>11</v>
      </c>
      <c r="N73" s="32">
        <v>0</v>
      </c>
      <c r="O73" s="31" t="s">
        <v>249</v>
      </c>
      <c r="P73" s="31" t="s">
        <v>250</v>
      </c>
      <c r="Q73" s="31" t="s">
        <v>249</v>
      </c>
      <c r="R73" s="31" t="s">
        <v>249</v>
      </c>
      <c r="S73" s="31">
        <v>0</v>
      </c>
      <c r="T73" s="91" t="str">
        <f t="shared" si="26"/>
        <v>M</v>
      </c>
      <c r="U73" s="91" t="s">
        <v>556</v>
      </c>
      <c r="V73" s="91" t="s">
        <v>557</v>
      </c>
      <c r="W73" s="91" t="s">
        <v>558</v>
      </c>
      <c r="X73" s="91" t="s">
        <v>559</v>
      </c>
      <c r="Y73" s="91"/>
      <c r="Z73" s="91"/>
    </row>
    <row r="74" spans="1:26" ht="12.75" customHeight="1">
      <c r="A74" s="32" t="s">
        <v>144</v>
      </c>
      <c r="B74" s="32" t="str">
        <f t="shared" si="0"/>
        <v>Halfling1</v>
      </c>
      <c r="C74" s="32" t="str">
        <f>""</f>
        <v/>
      </c>
      <c r="D74" s="32" t="str">
        <f t="shared" si="1"/>
        <v>Halfling</v>
      </c>
      <c r="E74" s="32">
        <v>0</v>
      </c>
      <c r="F74" s="32">
        <v>0</v>
      </c>
      <c r="G74" s="32">
        <v>0</v>
      </c>
      <c r="H74" s="32">
        <v>0</v>
      </c>
      <c r="I74" s="32">
        <v>0</v>
      </c>
      <c r="J74" s="32">
        <f>IF(Roster!$J$24="English",U74,(IF(Roster!$J$24="Español",V74,(IF(Roster!$J$24="Deutsch",W74,(IF(Roster!$J$24="Français",X74)))))))</f>
        <v>0</v>
      </c>
      <c r="K74" s="31">
        <v>0</v>
      </c>
      <c r="L74" s="31">
        <f t="shared" ref="L74:L78" si="27">K74/1000</f>
        <v>0</v>
      </c>
      <c r="M74" s="31">
        <v>0</v>
      </c>
      <c r="N74" s="31">
        <v>0</v>
      </c>
      <c r="O74" s="31"/>
      <c r="P74" s="31"/>
      <c r="Q74" s="31"/>
      <c r="R74" s="31"/>
      <c r="S74" s="31"/>
      <c r="T74" s="91"/>
      <c r="U74" s="91">
        <v>0</v>
      </c>
      <c r="V74" s="91">
        <v>0</v>
      </c>
      <c r="W74" s="91">
        <v>0</v>
      </c>
      <c r="X74" s="91">
        <v>0</v>
      </c>
      <c r="Y74" s="91">
        <v>0</v>
      </c>
      <c r="Z74" s="91"/>
    </row>
    <row r="75" spans="1:26" ht="12.75" customHeight="1">
      <c r="A75" s="32" t="s">
        <v>144</v>
      </c>
      <c r="B75" s="32" t="str">
        <f t="shared" si="0"/>
        <v>Halfling2</v>
      </c>
      <c r="C75" s="32" t="s">
        <v>560</v>
      </c>
      <c r="D75" s="32" t="str">
        <f t="shared" si="1"/>
        <v>HalflingHalfling Hopeful</v>
      </c>
      <c r="E75" s="32">
        <v>5</v>
      </c>
      <c r="F75" s="32">
        <v>2</v>
      </c>
      <c r="G75" s="32">
        <v>3</v>
      </c>
      <c r="H75" s="32">
        <v>4</v>
      </c>
      <c r="I75" s="32">
        <v>7</v>
      </c>
      <c r="J75" s="32" t="str">
        <f>IF(Roster!$J$24="English",U75,(IF(Roster!$J$24="Español",V75,(IF(Roster!$J$24="Deutsch",W75,(IF(Roster!$J$24="Français",X75)))))))</f>
        <v>Dodge, Right Stuff, Stunty</v>
      </c>
      <c r="K75" s="31">
        <v>30000</v>
      </c>
      <c r="L75" s="31">
        <f t="shared" si="27"/>
        <v>30</v>
      </c>
      <c r="M75" s="32">
        <v>16</v>
      </c>
      <c r="N75" s="32">
        <v>0</v>
      </c>
      <c r="O75" s="31" t="s">
        <v>249</v>
      </c>
      <c r="P75" s="31" t="s">
        <v>250</v>
      </c>
      <c r="Q75" s="31" t="s">
        <v>249</v>
      </c>
      <c r="R75" s="31" t="s">
        <v>249</v>
      </c>
      <c r="S75" s="31">
        <v>0</v>
      </c>
      <c r="T75" s="91" t="str">
        <f t="shared" ref="T75:T79" si="28">IF(AND(R75&lt;&gt;0,S75&lt;&gt;0),"FULL",(IF(AND(R75=0,S75=0),"PM",IF(R75=0,"P",(IF(S75=0,"M"))))))</f>
        <v>M</v>
      </c>
      <c r="U75" s="91" t="s">
        <v>521</v>
      </c>
      <c r="V75" s="91" t="s">
        <v>522</v>
      </c>
      <c r="W75" s="91" t="s">
        <v>523</v>
      </c>
      <c r="X75" s="91" t="s">
        <v>524</v>
      </c>
      <c r="Y75" s="91"/>
      <c r="Z75" s="91"/>
    </row>
    <row r="76" spans="1:26" ht="12.75" customHeight="1">
      <c r="A76" s="32" t="s">
        <v>144</v>
      </c>
      <c r="B76" s="32" t="str">
        <f t="shared" si="0"/>
        <v>Halfling3</v>
      </c>
      <c r="C76" s="32" t="s">
        <v>561</v>
      </c>
      <c r="D76" s="32" t="str">
        <f t="shared" si="1"/>
        <v>HalflingHalfling Catcher</v>
      </c>
      <c r="E76" s="32">
        <v>5</v>
      </c>
      <c r="F76" s="32">
        <v>2</v>
      </c>
      <c r="G76" s="32">
        <v>3</v>
      </c>
      <c r="H76" s="32">
        <v>5</v>
      </c>
      <c r="I76" s="32">
        <v>7</v>
      </c>
      <c r="J76" s="32" t="str">
        <f>IF(Roster!$J$24="English",U76,(IF(Roster!$J$24="Español",V76,(IF(Roster!$J$24="Deutsch",W76,(IF(Roster!$J$24="Français",X76)))))))</f>
        <v>Catch, Dodge, Right Stuff, Sprint, Stunty</v>
      </c>
      <c r="K76" s="31">
        <v>55000</v>
      </c>
      <c r="L76" s="31">
        <f t="shared" si="27"/>
        <v>55</v>
      </c>
      <c r="M76" s="32">
        <v>2</v>
      </c>
      <c r="N76" s="32">
        <v>0</v>
      </c>
      <c r="O76" s="31" t="s">
        <v>249</v>
      </c>
      <c r="P76" s="31" t="s">
        <v>250</v>
      </c>
      <c r="Q76" s="31" t="s">
        <v>249</v>
      </c>
      <c r="R76" s="31" t="s">
        <v>249</v>
      </c>
      <c r="S76" s="31">
        <v>0</v>
      </c>
      <c r="T76" s="91" t="str">
        <f t="shared" si="28"/>
        <v>M</v>
      </c>
      <c r="U76" s="91" t="s">
        <v>562</v>
      </c>
      <c r="V76" s="91" t="s">
        <v>563</v>
      </c>
      <c r="W76" s="91" t="s">
        <v>564</v>
      </c>
      <c r="X76" s="91" t="s">
        <v>565</v>
      </c>
      <c r="Y76" s="91"/>
      <c r="Z76" s="91"/>
    </row>
    <row r="77" spans="1:26" ht="12.75" customHeight="1">
      <c r="A77" s="32" t="s">
        <v>144</v>
      </c>
      <c r="B77" s="32" t="str">
        <f t="shared" si="0"/>
        <v>Halfling4</v>
      </c>
      <c r="C77" s="32" t="s">
        <v>566</v>
      </c>
      <c r="D77" s="32" t="str">
        <f t="shared" si="1"/>
        <v>HalflingHalfling Hefty</v>
      </c>
      <c r="E77" s="32">
        <v>5</v>
      </c>
      <c r="F77" s="32">
        <v>2</v>
      </c>
      <c r="G77" s="32">
        <v>3</v>
      </c>
      <c r="H77" s="32">
        <v>3</v>
      </c>
      <c r="I77" s="32">
        <v>8</v>
      </c>
      <c r="J77" s="32" t="str">
        <f>IF(Roster!$J$24="English",U77,(IF(Roster!$J$24="Español",V77,(IF(Roster!$J$24="Deutsch",W77,(IF(Roster!$J$24="Français",X77)))))))</f>
        <v>Dodge, Fend, Stunty</v>
      </c>
      <c r="K77" s="31">
        <v>50000</v>
      </c>
      <c r="L77" s="31">
        <f t="shared" si="27"/>
        <v>50</v>
      </c>
      <c r="M77" s="31">
        <v>2</v>
      </c>
      <c r="N77" s="31">
        <v>0</v>
      </c>
      <c r="O77" s="31" t="s">
        <v>249</v>
      </c>
      <c r="P77" s="31" t="s">
        <v>250</v>
      </c>
      <c r="Q77" s="31" t="s">
        <v>249</v>
      </c>
      <c r="R77" s="31" t="s">
        <v>250</v>
      </c>
      <c r="S77" s="31">
        <v>0</v>
      </c>
      <c r="T77" s="91" t="str">
        <f t="shared" si="28"/>
        <v>M</v>
      </c>
      <c r="U77" s="91" t="s">
        <v>567</v>
      </c>
      <c r="V77" s="91" t="s">
        <v>568</v>
      </c>
      <c r="W77" s="91" t="s">
        <v>569</v>
      </c>
      <c r="X77" s="91" t="s">
        <v>570</v>
      </c>
      <c r="Y77" s="91"/>
      <c r="Z77" s="91"/>
    </row>
    <row r="78" spans="1:26" ht="12.75" customHeight="1">
      <c r="A78" s="32" t="s">
        <v>144</v>
      </c>
      <c r="B78" s="32" t="str">
        <f t="shared" si="0"/>
        <v>Halfling5</v>
      </c>
      <c r="C78" s="32" t="s">
        <v>571</v>
      </c>
      <c r="D78" s="32" t="str">
        <f t="shared" si="1"/>
        <v>HalflingForest Treeman</v>
      </c>
      <c r="E78" s="32">
        <v>2</v>
      </c>
      <c r="F78" s="32">
        <v>6</v>
      </c>
      <c r="G78" s="32">
        <v>5</v>
      </c>
      <c r="H78" s="32">
        <v>5</v>
      </c>
      <c r="I78" s="32">
        <v>11</v>
      </c>
      <c r="J78" s="32" t="str">
        <f>IF(Roster!$J$24="English",U78,(IF(Roster!$J$24="Español",V78,(IF(Roster!$J$24="Deutsch",W78,(IF(Roster!$J$24="Français",X78)))))))</f>
        <v>Mighty Blow (+1), Stand Firm, Strong Arm, Take Root, Thick Skull, Throw Team-mate, Timmm-ber!</v>
      </c>
      <c r="K78" s="31">
        <v>120000</v>
      </c>
      <c r="L78" s="31">
        <f t="shared" si="27"/>
        <v>120</v>
      </c>
      <c r="M78" s="31">
        <v>2</v>
      </c>
      <c r="N78" s="31">
        <v>1</v>
      </c>
      <c r="O78" s="31" t="s">
        <v>249</v>
      </c>
      <c r="P78" s="31" t="s">
        <v>249</v>
      </c>
      <c r="Q78" s="31" t="s">
        <v>250</v>
      </c>
      <c r="R78" s="31" t="s">
        <v>249</v>
      </c>
      <c r="S78" s="31">
        <v>0</v>
      </c>
      <c r="T78" s="91" t="str">
        <f t="shared" si="28"/>
        <v>M</v>
      </c>
      <c r="U78" s="91" t="s">
        <v>572</v>
      </c>
      <c r="V78" s="91" t="s">
        <v>573</v>
      </c>
      <c r="W78" s="91" t="s">
        <v>574</v>
      </c>
      <c r="X78" s="91" t="s">
        <v>575</v>
      </c>
      <c r="Y78" s="91"/>
      <c r="Z78" s="91"/>
    </row>
    <row r="79" spans="1:26" ht="12.75" customHeight="1">
      <c r="A79" s="32" t="s">
        <v>144</v>
      </c>
      <c r="B79" s="32" t="str">
        <f t="shared" si="0"/>
        <v>Halfling6</v>
      </c>
      <c r="C79" s="32" t="s">
        <v>576</v>
      </c>
      <c r="D79" s="32" t="str">
        <f t="shared" si="1"/>
        <v>HalflingJourney Halfling</v>
      </c>
      <c r="E79" s="32">
        <v>5</v>
      </c>
      <c r="F79" s="32">
        <v>2</v>
      </c>
      <c r="G79" s="32">
        <v>3</v>
      </c>
      <c r="H79" s="32">
        <v>4</v>
      </c>
      <c r="I79" s="32">
        <v>7</v>
      </c>
      <c r="J79" s="32" t="str">
        <f>IF(Roster!$J$24="English",U79,(IF(Roster!$J$24="Español",V79,(IF(Roster!$J$24="Deutsch",W79,(IF(Roster!$J$24="Français",X79)))))))</f>
        <v>Loner (4+), Dodge, Right Stuff, Stunty</v>
      </c>
      <c r="K79" s="31">
        <v>0</v>
      </c>
      <c r="L79" s="31">
        <v>30</v>
      </c>
      <c r="M79" s="31">
        <v>11</v>
      </c>
      <c r="N79" s="31">
        <v>0</v>
      </c>
      <c r="O79" s="31" t="s">
        <v>249</v>
      </c>
      <c r="P79" s="31" t="s">
        <v>250</v>
      </c>
      <c r="Q79" s="31" t="s">
        <v>249</v>
      </c>
      <c r="R79" s="31" t="s">
        <v>249</v>
      </c>
      <c r="S79" s="31">
        <v>0</v>
      </c>
      <c r="T79" s="91" t="str">
        <f t="shared" si="28"/>
        <v>M</v>
      </c>
      <c r="U79" s="91" t="s">
        <v>556</v>
      </c>
      <c r="V79" s="91" t="s">
        <v>557</v>
      </c>
      <c r="W79" s="91" t="s">
        <v>558</v>
      </c>
      <c r="X79" s="91" t="s">
        <v>559</v>
      </c>
      <c r="Y79" s="91"/>
      <c r="Z79" s="91"/>
    </row>
    <row r="80" spans="1:26" ht="12.75" customHeight="1">
      <c r="A80" s="32" t="s">
        <v>149</v>
      </c>
      <c r="B80" s="32" t="str">
        <f t="shared" si="0"/>
        <v>High Elf1</v>
      </c>
      <c r="C80" s="32" t="str">
        <f>""</f>
        <v/>
      </c>
      <c r="D80" s="32" t="str">
        <f t="shared" si="1"/>
        <v>High Elf</v>
      </c>
      <c r="E80" s="32">
        <v>0</v>
      </c>
      <c r="F80" s="32">
        <v>0</v>
      </c>
      <c r="G80" s="32">
        <v>0</v>
      </c>
      <c r="H80" s="32">
        <v>0</v>
      </c>
      <c r="I80" s="32">
        <v>0</v>
      </c>
      <c r="J80" s="32">
        <f>IF(Roster!$J$24="English",U80,(IF(Roster!$J$24="Español",V80,(IF(Roster!$J$24="Deutsch",W80,(IF(Roster!$J$24="Français",X80)))))))</f>
        <v>0</v>
      </c>
      <c r="K80" s="31">
        <v>0</v>
      </c>
      <c r="L80" s="31">
        <f t="shared" ref="L80:L84" si="29">K80/1000</f>
        <v>0</v>
      </c>
      <c r="M80" s="31">
        <v>0</v>
      </c>
      <c r="N80" s="31">
        <v>0</v>
      </c>
      <c r="O80" s="31"/>
      <c r="P80" s="31"/>
      <c r="Q80" s="31"/>
      <c r="R80" s="31"/>
      <c r="S80" s="31"/>
      <c r="T80" s="91"/>
      <c r="U80" s="91">
        <v>0</v>
      </c>
      <c r="V80" s="91">
        <v>0</v>
      </c>
      <c r="W80" s="91">
        <v>0</v>
      </c>
      <c r="X80" s="91">
        <v>0</v>
      </c>
      <c r="Y80" s="91">
        <v>0</v>
      </c>
      <c r="Z80" s="91"/>
    </row>
    <row r="81" spans="1:26" ht="12.75" customHeight="1">
      <c r="A81" s="32" t="s">
        <v>149</v>
      </c>
      <c r="B81" s="32" t="str">
        <f t="shared" si="0"/>
        <v>High Elf2</v>
      </c>
      <c r="C81" s="32" t="s">
        <v>466</v>
      </c>
      <c r="D81" s="32" t="str">
        <f t="shared" si="1"/>
        <v>High ElfLineman</v>
      </c>
      <c r="E81" s="32">
        <v>6</v>
      </c>
      <c r="F81" s="32">
        <v>3</v>
      </c>
      <c r="G81" s="32">
        <v>2</v>
      </c>
      <c r="H81" s="32">
        <v>4</v>
      </c>
      <c r="I81" s="32">
        <v>9</v>
      </c>
      <c r="J81" s="32" t="str">
        <f>IF(Roster!$J$24="English",U81,(IF(Roster!$J$24="Español",V81,(IF(Roster!$J$24="Deutsch",W81,(IF(Roster!$J$24="Français",X81)))))))</f>
        <v/>
      </c>
      <c r="K81" s="31">
        <v>70000</v>
      </c>
      <c r="L81" s="31">
        <f t="shared" si="29"/>
        <v>70</v>
      </c>
      <c r="M81" s="32">
        <v>16</v>
      </c>
      <c r="N81" s="32">
        <v>0</v>
      </c>
      <c r="O81" s="31" t="s">
        <v>250</v>
      </c>
      <c r="P81" s="31" t="s">
        <v>250</v>
      </c>
      <c r="Q81" s="31" t="s">
        <v>249</v>
      </c>
      <c r="R81" s="31" t="s">
        <v>249</v>
      </c>
      <c r="S81" s="31">
        <v>0</v>
      </c>
      <c r="T81" s="91" t="str">
        <f t="shared" ref="T81:T85" si="30">IF(AND(R81&lt;&gt;0,S81&lt;&gt;0),"FULL",(IF(AND(R81=0,S81=0),"PM",IF(R81=0,"P",(IF(S81=0,"M"))))))</f>
        <v>M</v>
      </c>
      <c r="U81" s="91" t="str">
        <f t="shared" ref="U81:Y81" si="31">""</f>
        <v/>
      </c>
      <c r="V81" s="91" t="str">
        <f t="shared" si="31"/>
        <v/>
      </c>
      <c r="W81" s="91" t="str">
        <f t="shared" si="31"/>
        <v/>
      </c>
      <c r="X81" s="91" t="str">
        <f t="shared" si="31"/>
        <v/>
      </c>
      <c r="Y81" s="91" t="str">
        <f t="shared" si="31"/>
        <v/>
      </c>
      <c r="Z81" s="91"/>
    </row>
    <row r="82" spans="1:26" ht="12.75" customHeight="1">
      <c r="A82" s="32" t="s">
        <v>149</v>
      </c>
      <c r="B82" s="32" t="str">
        <f t="shared" si="0"/>
        <v>High Elf3</v>
      </c>
      <c r="C82" s="32" t="s">
        <v>328</v>
      </c>
      <c r="D82" s="32" t="str">
        <f t="shared" si="1"/>
        <v>High ElfThrower</v>
      </c>
      <c r="E82" s="32">
        <v>6</v>
      </c>
      <c r="F82" s="32">
        <v>3</v>
      </c>
      <c r="G82" s="32">
        <v>2</v>
      </c>
      <c r="H82" s="32">
        <v>2</v>
      </c>
      <c r="I82" s="32">
        <v>9</v>
      </c>
      <c r="J82" s="32" t="str">
        <f>IF(Roster!$J$24="English",U82,(IF(Roster!$J$24="Español",V82,(IF(Roster!$J$24="Deutsch",W82,(IF(Roster!$J$24="Français",X82)))))))</f>
        <v>Cloud Burster, Pass, Safe Pass</v>
      </c>
      <c r="K82" s="31">
        <v>100000</v>
      </c>
      <c r="L82" s="31">
        <f t="shared" si="29"/>
        <v>100</v>
      </c>
      <c r="M82" s="32">
        <v>2</v>
      </c>
      <c r="N82" s="32">
        <v>0</v>
      </c>
      <c r="O82" s="31" t="s">
        <v>250</v>
      </c>
      <c r="P82" s="31" t="s">
        <v>250</v>
      </c>
      <c r="Q82" s="31" t="s">
        <v>249</v>
      </c>
      <c r="R82" s="31" t="s">
        <v>250</v>
      </c>
      <c r="S82" s="31">
        <v>0</v>
      </c>
      <c r="T82" s="91" t="str">
        <f t="shared" si="30"/>
        <v>M</v>
      </c>
      <c r="U82" s="91" t="s">
        <v>577</v>
      </c>
      <c r="V82" s="91" t="s">
        <v>578</v>
      </c>
      <c r="W82" s="91" t="s">
        <v>579</v>
      </c>
      <c r="X82" s="91" t="s">
        <v>580</v>
      </c>
      <c r="Y82" s="91"/>
      <c r="Z82" s="91"/>
    </row>
    <row r="83" spans="1:26" ht="12.75" customHeight="1">
      <c r="A83" s="32" t="s">
        <v>149</v>
      </c>
      <c r="B83" s="32" t="str">
        <f t="shared" si="0"/>
        <v>High Elf4</v>
      </c>
      <c r="C83" s="32" t="s">
        <v>333</v>
      </c>
      <c r="D83" s="32" t="str">
        <f t="shared" si="1"/>
        <v>High ElfCatcher</v>
      </c>
      <c r="E83" s="32">
        <v>8</v>
      </c>
      <c r="F83" s="32">
        <v>3</v>
      </c>
      <c r="G83" s="32">
        <v>2</v>
      </c>
      <c r="H83" s="32">
        <v>5</v>
      </c>
      <c r="I83" s="32">
        <v>8</v>
      </c>
      <c r="J83" s="32" t="str">
        <f>IF(Roster!$J$24="English",U83,(IF(Roster!$J$24="Español",V83,(IF(Roster!$J$24="Deutsch",W83,(IF(Roster!$J$24="Français",X83)))))))</f>
        <v>Catch</v>
      </c>
      <c r="K83" s="31">
        <v>90000</v>
      </c>
      <c r="L83" s="31">
        <f t="shared" si="29"/>
        <v>90</v>
      </c>
      <c r="M83" s="32">
        <v>4</v>
      </c>
      <c r="N83" s="32">
        <v>0</v>
      </c>
      <c r="O83" s="31" t="s">
        <v>250</v>
      </c>
      <c r="P83" s="31" t="s">
        <v>250</v>
      </c>
      <c r="Q83" s="31" t="s">
        <v>249</v>
      </c>
      <c r="R83" s="31" t="s">
        <v>249</v>
      </c>
      <c r="S83" s="31">
        <v>0</v>
      </c>
      <c r="T83" s="91" t="str">
        <f t="shared" si="30"/>
        <v>M</v>
      </c>
      <c r="U83" s="91" t="s">
        <v>581</v>
      </c>
      <c r="V83" s="91" t="s">
        <v>582</v>
      </c>
      <c r="W83" s="91" t="s">
        <v>583</v>
      </c>
      <c r="X83" s="91" t="s">
        <v>584</v>
      </c>
      <c r="Y83" s="91"/>
      <c r="Z83" s="91"/>
    </row>
    <row r="84" spans="1:26" ht="12.75" customHeight="1">
      <c r="A84" s="32" t="s">
        <v>149</v>
      </c>
      <c r="B84" s="32" t="str">
        <f t="shared" si="0"/>
        <v>High Elf5</v>
      </c>
      <c r="C84" s="32" t="s">
        <v>338</v>
      </c>
      <c r="D84" s="32" t="str">
        <f t="shared" si="1"/>
        <v>High ElfBlitzer</v>
      </c>
      <c r="E84" s="32">
        <v>7</v>
      </c>
      <c r="F84" s="32">
        <v>3</v>
      </c>
      <c r="G84" s="32">
        <v>2</v>
      </c>
      <c r="H84" s="32">
        <v>4</v>
      </c>
      <c r="I84" s="32">
        <v>9</v>
      </c>
      <c r="J84" s="32" t="str">
        <f>IF(Roster!$J$24="English",U84,(IF(Roster!$J$24="Español",V84,(IF(Roster!$J$24="Deutsch",W84,(IF(Roster!$J$24="Français",X84)))))))</f>
        <v>Block</v>
      </c>
      <c r="K84" s="31">
        <v>100000</v>
      </c>
      <c r="L84" s="31">
        <f t="shared" si="29"/>
        <v>100</v>
      </c>
      <c r="M84" s="32">
        <v>2</v>
      </c>
      <c r="N84" s="32">
        <v>0</v>
      </c>
      <c r="O84" s="31" t="s">
        <v>250</v>
      </c>
      <c r="P84" s="31" t="s">
        <v>250</v>
      </c>
      <c r="Q84" s="31" t="s">
        <v>249</v>
      </c>
      <c r="R84" s="31" t="s">
        <v>249</v>
      </c>
      <c r="S84" s="31">
        <v>0</v>
      </c>
      <c r="T84" s="91" t="str">
        <f t="shared" si="30"/>
        <v>M</v>
      </c>
      <c r="U84" s="91" t="s">
        <v>477</v>
      </c>
      <c r="V84" s="91" t="s">
        <v>478</v>
      </c>
      <c r="W84" s="91" t="s">
        <v>477</v>
      </c>
      <c r="X84" s="91" t="s">
        <v>479</v>
      </c>
      <c r="Y84" s="91"/>
      <c r="Z84" s="91"/>
    </row>
    <row r="85" spans="1:26" ht="12.75" customHeight="1">
      <c r="A85" s="32" t="s">
        <v>149</v>
      </c>
      <c r="B85" s="32" t="str">
        <f t="shared" si="0"/>
        <v>High Elf6</v>
      </c>
      <c r="C85" s="32" t="s">
        <v>485</v>
      </c>
      <c r="D85" s="32" t="str">
        <f t="shared" si="1"/>
        <v>High ElfJourney Elf</v>
      </c>
      <c r="E85" s="32">
        <v>6</v>
      </c>
      <c r="F85" s="32">
        <v>3</v>
      </c>
      <c r="G85" s="32">
        <v>2</v>
      </c>
      <c r="H85" s="32">
        <v>4</v>
      </c>
      <c r="I85" s="32">
        <v>9</v>
      </c>
      <c r="J85" s="32" t="str">
        <f>IF(Roster!$J$24="English",U85,(IF(Roster!$J$24="Español",V85,(IF(Roster!$J$24="Deutsch",W85,(IF(Roster!$J$24="Français",X85)))))))</f>
        <v>Loner (4+)</v>
      </c>
      <c r="K85" s="31">
        <v>0</v>
      </c>
      <c r="L85" s="31">
        <v>70</v>
      </c>
      <c r="M85" s="31">
        <v>11</v>
      </c>
      <c r="N85" s="31">
        <v>0</v>
      </c>
      <c r="O85" s="31" t="s">
        <v>250</v>
      </c>
      <c r="P85" s="31" t="s">
        <v>250</v>
      </c>
      <c r="Q85" s="31" t="s">
        <v>249</v>
      </c>
      <c r="R85" s="31" t="s">
        <v>249</v>
      </c>
      <c r="S85" s="31">
        <v>0</v>
      </c>
      <c r="T85" s="91" t="str">
        <f t="shared" si="30"/>
        <v>M</v>
      </c>
      <c r="U85" s="91" t="s">
        <v>410</v>
      </c>
      <c r="V85" s="91" t="s">
        <v>411</v>
      </c>
      <c r="W85" s="91" t="s">
        <v>412</v>
      </c>
      <c r="X85" s="91" t="s">
        <v>413</v>
      </c>
      <c r="Y85" s="91"/>
      <c r="Z85" s="91"/>
    </row>
    <row r="86" spans="1:26" ht="12.75" customHeight="1">
      <c r="A86" s="32" t="s">
        <v>154</v>
      </c>
      <c r="B86" s="32" t="str">
        <f t="shared" si="0"/>
        <v>Human1</v>
      </c>
      <c r="C86" s="32" t="str">
        <f>""</f>
        <v/>
      </c>
      <c r="D86" s="32" t="str">
        <f t="shared" si="1"/>
        <v>Human</v>
      </c>
      <c r="E86" s="32">
        <v>0</v>
      </c>
      <c r="F86" s="32">
        <v>0</v>
      </c>
      <c r="G86" s="32">
        <v>0</v>
      </c>
      <c r="H86" s="32">
        <v>0</v>
      </c>
      <c r="I86" s="32">
        <v>0</v>
      </c>
      <c r="J86" s="32">
        <f>IF(Roster!$J$24="English",U86,(IF(Roster!$J$24="Español",V86,(IF(Roster!$J$24="Deutsch",W86,(IF(Roster!$J$24="Français",X86)))))))</f>
        <v>0</v>
      </c>
      <c r="K86" s="31">
        <v>0</v>
      </c>
      <c r="L86" s="31">
        <f t="shared" ref="L86:L92" si="32">K86/1000</f>
        <v>0</v>
      </c>
      <c r="M86" s="31">
        <v>0</v>
      </c>
      <c r="N86" s="31">
        <v>0</v>
      </c>
      <c r="O86" s="31"/>
      <c r="P86" s="31"/>
      <c r="Q86" s="31"/>
      <c r="R86" s="31"/>
      <c r="S86" s="31"/>
      <c r="T86" s="91"/>
      <c r="U86" s="91">
        <v>0</v>
      </c>
      <c r="V86" s="91">
        <v>0</v>
      </c>
      <c r="W86" s="91">
        <v>0</v>
      </c>
      <c r="X86" s="91">
        <v>0</v>
      </c>
      <c r="Y86" s="91">
        <v>0</v>
      </c>
      <c r="Z86" s="91"/>
    </row>
    <row r="87" spans="1:26" ht="12.75" customHeight="1">
      <c r="A87" s="32" t="s">
        <v>154</v>
      </c>
      <c r="B87" s="32" t="str">
        <f t="shared" si="0"/>
        <v>Human2</v>
      </c>
      <c r="C87" s="32" t="s">
        <v>466</v>
      </c>
      <c r="D87" s="32" t="str">
        <f t="shared" si="1"/>
        <v>HumanLineman</v>
      </c>
      <c r="E87" s="32">
        <v>6</v>
      </c>
      <c r="F87" s="32">
        <v>3</v>
      </c>
      <c r="G87" s="32">
        <v>3</v>
      </c>
      <c r="H87" s="32">
        <v>4</v>
      </c>
      <c r="I87" s="32">
        <v>9</v>
      </c>
      <c r="J87" s="32" t="str">
        <f>IF(Roster!$J$24="English",U87,(IF(Roster!$J$24="Español",V87,(IF(Roster!$J$24="Deutsch",W87,(IF(Roster!$J$24="Français",X87)))))))</f>
        <v/>
      </c>
      <c r="K87" s="31">
        <v>50000</v>
      </c>
      <c r="L87" s="31">
        <f t="shared" si="32"/>
        <v>50</v>
      </c>
      <c r="M87" s="32">
        <v>16</v>
      </c>
      <c r="N87" s="32">
        <v>0</v>
      </c>
      <c r="O87" s="31" t="s">
        <v>250</v>
      </c>
      <c r="P87" s="31" t="s">
        <v>249</v>
      </c>
      <c r="Q87" s="31" t="s">
        <v>249</v>
      </c>
      <c r="R87" s="31" t="s">
        <v>249</v>
      </c>
      <c r="S87" s="31">
        <v>0</v>
      </c>
      <c r="T87" s="91" t="str">
        <f t="shared" ref="T87:T93" si="33">IF(AND(R87&lt;&gt;0,S87&lt;&gt;0),"FULL",(IF(AND(R87=0,S87=0),"PM",IF(R87=0,"P",(IF(S87=0,"M"))))))</f>
        <v>M</v>
      </c>
      <c r="U87" s="91" t="str">
        <f t="shared" ref="U87:Y87" si="34">""</f>
        <v/>
      </c>
      <c r="V87" s="91" t="str">
        <f t="shared" si="34"/>
        <v/>
      </c>
      <c r="W87" s="91" t="str">
        <f t="shared" si="34"/>
        <v/>
      </c>
      <c r="X87" s="91" t="str">
        <f t="shared" si="34"/>
        <v/>
      </c>
      <c r="Y87" s="91" t="str">
        <f t="shared" si="34"/>
        <v/>
      </c>
      <c r="Z87" s="91"/>
    </row>
    <row r="88" spans="1:26" ht="12.75" customHeight="1">
      <c r="A88" s="32" t="s">
        <v>154</v>
      </c>
      <c r="B88" s="32" t="str">
        <f t="shared" si="0"/>
        <v>Human3</v>
      </c>
      <c r="C88" s="32" t="s">
        <v>333</v>
      </c>
      <c r="D88" s="32" t="str">
        <f t="shared" si="1"/>
        <v>HumanCatcher</v>
      </c>
      <c r="E88" s="32">
        <v>8</v>
      </c>
      <c r="F88" s="32">
        <v>2</v>
      </c>
      <c r="G88" s="32">
        <v>3</v>
      </c>
      <c r="H88" s="32">
        <v>5</v>
      </c>
      <c r="I88" s="32">
        <v>8</v>
      </c>
      <c r="J88" s="32" t="str">
        <f>IF(Roster!$J$24="English",U88,(IF(Roster!$J$24="Español",V88,(IF(Roster!$J$24="Deutsch",W88,(IF(Roster!$J$24="Français",X88)))))))</f>
        <v>Catch, Dodge</v>
      </c>
      <c r="K88" s="31">
        <v>65000</v>
      </c>
      <c r="L88" s="31">
        <f t="shared" si="32"/>
        <v>65</v>
      </c>
      <c r="M88" s="32">
        <v>4</v>
      </c>
      <c r="N88" s="32">
        <v>0</v>
      </c>
      <c r="O88" s="31" t="s">
        <v>250</v>
      </c>
      <c r="P88" s="31" t="s">
        <v>250</v>
      </c>
      <c r="Q88" s="31" t="s">
        <v>249</v>
      </c>
      <c r="R88" s="31" t="s">
        <v>249</v>
      </c>
      <c r="S88" s="31">
        <v>0</v>
      </c>
      <c r="T88" s="91" t="str">
        <f t="shared" si="33"/>
        <v>M</v>
      </c>
      <c r="U88" s="91" t="s">
        <v>585</v>
      </c>
      <c r="V88" s="91" t="s">
        <v>586</v>
      </c>
      <c r="W88" s="91" t="s">
        <v>587</v>
      </c>
      <c r="X88" s="91" t="s">
        <v>588</v>
      </c>
      <c r="Y88" s="91"/>
      <c r="Z88" s="91"/>
    </row>
    <row r="89" spans="1:26" ht="12.75" customHeight="1">
      <c r="A89" s="32" t="s">
        <v>154</v>
      </c>
      <c r="B89" s="32" t="str">
        <f t="shared" si="0"/>
        <v>Human4</v>
      </c>
      <c r="C89" s="32" t="s">
        <v>328</v>
      </c>
      <c r="D89" s="32" t="str">
        <f t="shared" si="1"/>
        <v>HumanThrower</v>
      </c>
      <c r="E89" s="32">
        <v>6</v>
      </c>
      <c r="F89" s="32">
        <v>3</v>
      </c>
      <c r="G89" s="32">
        <v>3</v>
      </c>
      <c r="H89" s="32">
        <v>2</v>
      </c>
      <c r="I89" s="32">
        <v>9</v>
      </c>
      <c r="J89" s="32" t="str">
        <f>IF(Roster!$J$24="English",U89,(IF(Roster!$J$24="Español",V89,(IF(Roster!$J$24="Deutsch",W89,(IF(Roster!$J$24="Français",X89)))))))</f>
        <v>Pass, Sure Hands</v>
      </c>
      <c r="K89" s="31">
        <v>80000</v>
      </c>
      <c r="L89" s="31">
        <f t="shared" si="32"/>
        <v>80</v>
      </c>
      <c r="M89" s="32">
        <v>2</v>
      </c>
      <c r="N89" s="32">
        <v>0</v>
      </c>
      <c r="O89" s="31" t="s">
        <v>250</v>
      </c>
      <c r="P89" s="31" t="s">
        <v>249</v>
      </c>
      <c r="Q89" s="31" t="s">
        <v>249</v>
      </c>
      <c r="R89" s="31" t="s">
        <v>250</v>
      </c>
      <c r="S89" s="31">
        <v>0</v>
      </c>
      <c r="T89" s="91" t="str">
        <f t="shared" si="33"/>
        <v>M</v>
      </c>
      <c r="U89" s="91" t="s">
        <v>589</v>
      </c>
      <c r="V89" s="32" t="s">
        <v>590</v>
      </c>
      <c r="W89" s="91" t="s">
        <v>591</v>
      </c>
      <c r="X89" s="91" t="s">
        <v>592</v>
      </c>
      <c r="Y89" s="91"/>
      <c r="Z89" s="91"/>
    </row>
    <row r="90" spans="1:26" ht="12.75" customHeight="1">
      <c r="A90" s="32" t="s">
        <v>154</v>
      </c>
      <c r="B90" s="32" t="str">
        <f t="shared" si="0"/>
        <v>Human5</v>
      </c>
      <c r="C90" s="32" t="s">
        <v>338</v>
      </c>
      <c r="D90" s="32" t="str">
        <f t="shared" si="1"/>
        <v>HumanBlitzer</v>
      </c>
      <c r="E90" s="32">
        <v>7</v>
      </c>
      <c r="F90" s="32">
        <v>3</v>
      </c>
      <c r="G90" s="32">
        <v>3</v>
      </c>
      <c r="H90" s="32">
        <v>4</v>
      </c>
      <c r="I90" s="32">
        <v>9</v>
      </c>
      <c r="J90" s="32" t="str">
        <f>IF(Roster!$J$24="English",U90,(IF(Roster!$J$24="Español",V90,(IF(Roster!$J$24="Deutsch",W90,(IF(Roster!$J$24="Français",X90)))))))</f>
        <v>Block</v>
      </c>
      <c r="K90" s="31">
        <v>85000</v>
      </c>
      <c r="L90" s="31">
        <f t="shared" si="32"/>
        <v>85</v>
      </c>
      <c r="M90" s="32">
        <v>4</v>
      </c>
      <c r="N90" s="32">
        <v>0</v>
      </c>
      <c r="O90" s="31" t="s">
        <v>250</v>
      </c>
      <c r="P90" s="31" t="s">
        <v>249</v>
      </c>
      <c r="Q90" s="31" t="s">
        <v>250</v>
      </c>
      <c r="R90" s="31" t="s">
        <v>249</v>
      </c>
      <c r="S90" s="31">
        <v>0</v>
      </c>
      <c r="T90" s="91" t="str">
        <f t="shared" si="33"/>
        <v>M</v>
      </c>
      <c r="U90" s="91" t="s">
        <v>477</v>
      </c>
      <c r="V90" s="32" t="s">
        <v>478</v>
      </c>
      <c r="W90" s="91" t="s">
        <v>477</v>
      </c>
      <c r="X90" s="91" t="s">
        <v>479</v>
      </c>
      <c r="Y90" s="91"/>
      <c r="Z90" s="91"/>
    </row>
    <row r="91" spans="1:26" ht="12.75" customHeight="1">
      <c r="A91" s="32" t="s">
        <v>154</v>
      </c>
      <c r="B91" s="32" t="str">
        <f t="shared" si="0"/>
        <v>Human6</v>
      </c>
      <c r="C91" s="32" t="s">
        <v>560</v>
      </c>
      <c r="D91" s="32" t="str">
        <f t="shared" si="1"/>
        <v>HumanHalfling Hopeful</v>
      </c>
      <c r="E91" s="32">
        <v>5</v>
      </c>
      <c r="F91" s="32">
        <v>2</v>
      </c>
      <c r="G91" s="32">
        <v>3</v>
      </c>
      <c r="H91" s="32">
        <v>4</v>
      </c>
      <c r="I91" s="90">
        <v>7</v>
      </c>
      <c r="J91" s="32" t="str">
        <f>IF(Roster!$J$24="English",U91,(IF(Roster!$J$24="Español",V91,(IF(Roster!$J$24="Deutsch",W91,(IF(Roster!$J$24="Français",X91)))))))</f>
        <v>Dodge, Right Stuff, Stunty</v>
      </c>
      <c r="K91" s="31">
        <v>30000</v>
      </c>
      <c r="L91" s="31">
        <f t="shared" si="32"/>
        <v>30</v>
      </c>
      <c r="M91" s="32">
        <v>3</v>
      </c>
      <c r="N91" s="32">
        <v>0</v>
      </c>
      <c r="O91" s="31" t="s">
        <v>249</v>
      </c>
      <c r="P91" s="31" t="s">
        <v>250</v>
      </c>
      <c r="Q91" s="31" t="s">
        <v>249</v>
      </c>
      <c r="R91" s="31" t="s">
        <v>249</v>
      </c>
      <c r="S91" s="31">
        <v>0</v>
      </c>
      <c r="T91" s="91" t="str">
        <f t="shared" si="33"/>
        <v>M</v>
      </c>
      <c r="U91" s="91" t="s">
        <v>521</v>
      </c>
      <c r="V91" s="32" t="s">
        <v>522</v>
      </c>
      <c r="W91" s="91" t="s">
        <v>523</v>
      </c>
      <c r="X91" s="91" t="s">
        <v>524</v>
      </c>
      <c r="Y91" s="91"/>
      <c r="Z91" s="91"/>
    </row>
    <row r="92" spans="1:26" ht="12.75" customHeight="1">
      <c r="A92" s="32" t="s">
        <v>154</v>
      </c>
      <c r="B92" s="32" t="str">
        <f t="shared" si="0"/>
        <v>Human7</v>
      </c>
      <c r="C92" s="32" t="s">
        <v>187</v>
      </c>
      <c r="D92" s="32" t="str">
        <f t="shared" si="1"/>
        <v>HumanOgre</v>
      </c>
      <c r="E92" s="32">
        <v>5</v>
      </c>
      <c r="F92" s="32">
        <v>5</v>
      </c>
      <c r="G92" s="32">
        <v>4</v>
      </c>
      <c r="H92" s="32">
        <v>5</v>
      </c>
      <c r="I92" s="32">
        <v>10</v>
      </c>
      <c r="J92" s="32" t="str">
        <f>IF(Roster!$J$24="English",U92,(IF(Roster!$J$24="Español",V92,(IF(Roster!$J$24="Deutsch",W92,(IF(Roster!$J$24="Français",X92)))))))</f>
        <v>Bone Head, Loner (4+), Mighty Blow (+1), Thick Skull, Throw Team-mate</v>
      </c>
      <c r="K92" s="31">
        <v>140000</v>
      </c>
      <c r="L92" s="31">
        <f t="shared" si="32"/>
        <v>140</v>
      </c>
      <c r="M92" s="32">
        <v>1</v>
      </c>
      <c r="N92" s="32">
        <v>1</v>
      </c>
      <c r="O92" s="31" t="s">
        <v>249</v>
      </c>
      <c r="P92" s="31" t="s">
        <v>249</v>
      </c>
      <c r="Q92" s="31" t="s">
        <v>250</v>
      </c>
      <c r="R92" s="31" t="s">
        <v>249</v>
      </c>
      <c r="S92" s="31">
        <v>0</v>
      </c>
      <c r="T92" s="91" t="str">
        <f t="shared" si="33"/>
        <v>M</v>
      </c>
      <c r="U92" s="91" t="s">
        <v>379</v>
      </c>
      <c r="V92" s="32" t="s">
        <v>380</v>
      </c>
      <c r="W92" s="91" t="s">
        <v>381</v>
      </c>
      <c r="X92" s="91" t="s">
        <v>382</v>
      </c>
      <c r="Y92" s="91"/>
      <c r="Z92" s="91"/>
    </row>
    <row r="93" spans="1:26" ht="12.75" customHeight="1">
      <c r="A93" s="32" t="s">
        <v>154</v>
      </c>
      <c r="B93" s="32" t="str">
        <f t="shared" si="0"/>
        <v>Human8</v>
      </c>
      <c r="C93" s="32" t="s">
        <v>593</v>
      </c>
      <c r="D93" s="32" t="str">
        <f t="shared" si="1"/>
        <v>HumanJourneyman</v>
      </c>
      <c r="E93" s="32">
        <v>6</v>
      </c>
      <c r="F93" s="32">
        <v>3</v>
      </c>
      <c r="G93" s="32">
        <v>3</v>
      </c>
      <c r="H93" s="32">
        <v>4</v>
      </c>
      <c r="I93" s="32">
        <v>9</v>
      </c>
      <c r="J93" s="32" t="str">
        <f>IF(Roster!$J$24="English",U93,(IF(Roster!$J$24="Español",V93,(IF(Roster!$J$24="Deutsch",W93,(IF(Roster!$J$24="Français",X93)))))))</f>
        <v>Loner (4+)</v>
      </c>
      <c r="K93" s="31">
        <v>0</v>
      </c>
      <c r="L93" s="31">
        <v>50</v>
      </c>
      <c r="M93" s="32">
        <v>11</v>
      </c>
      <c r="N93" s="32">
        <v>0</v>
      </c>
      <c r="O93" s="31" t="s">
        <v>250</v>
      </c>
      <c r="P93" s="31" t="s">
        <v>249</v>
      </c>
      <c r="Q93" s="31" t="s">
        <v>249</v>
      </c>
      <c r="R93" s="31" t="s">
        <v>249</v>
      </c>
      <c r="S93" s="31">
        <v>0</v>
      </c>
      <c r="T93" s="91" t="str">
        <f t="shared" si="33"/>
        <v>M</v>
      </c>
      <c r="U93" s="91" t="s">
        <v>410</v>
      </c>
      <c r="V93" s="91" t="s">
        <v>411</v>
      </c>
      <c r="W93" s="91" t="s">
        <v>412</v>
      </c>
      <c r="X93" s="91" t="s">
        <v>413</v>
      </c>
      <c r="Y93" s="91"/>
      <c r="Z93" s="91"/>
    </row>
    <row r="94" spans="1:26" ht="12.75" customHeight="1">
      <c r="A94" s="32" t="s">
        <v>159</v>
      </c>
      <c r="B94" s="32" t="str">
        <f t="shared" si="0"/>
        <v>Imperial Nobility1</v>
      </c>
      <c r="C94" s="32" t="str">
        <f>""</f>
        <v/>
      </c>
      <c r="D94" s="32" t="str">
        <f t="shared" si="1"/>
        <v>Imperial Nobility</v>
      </c>
      <c r="E94" s="32">
        <v>0</v>
      </c>
      <c r="F94" s="32">
        <v>0</v>
      </c>
      <c r="G94" s="32">
        <v>0</v>
      </c>
      <c r="H94" s="32">
        <v>0</v>
      </c>
      <c r="I94" s="32">
        <v>0</v>
      </c>
      <c r="J94" s="32">
        <f>IF(Roster!$J$24="English",U94,(IF(Roster!$J$24="Español",V94,(IF(Roster!$J$24="Deutsch",W94,(IF(Roster!$J$24="Français",X94)))))))</f>
        <v>0</v>
      </c>
      <c r="K94" s="31">
        <v>0</v>
      </c>
      <c r="L94" s="31">
        <f t="shared" ref="L94:L99" si="35">K94/1000</f>
        <v>0</v>
      </c>
      <c r="M94" s="31">
        <v>0</v>
      </c>
      <c r="N94" s="31">
        <v>0</v>
      </c>
      <c r="O94" s="31"/>
      <c r="P94" s="31"/>
      <c r="Q94" s="31"/>
      <c r="R94" s="31"/>
      <c r="S94" s="31"/>
      <c r="T94" s="91"/>
      <c r="U94" s="91">
        <v>0</v>
      </c>
      <c r="V94" s="91">
        <v>0</v>
      </c>
      <c r="W94" s="91">
        <v>0</v>
      </c>
      <c r="X94" s="91">
        <v>0</v>
      </c>
      <c r="Y94" s="91">
        <v>0</v>
      </c>
      <c r="Z94" s="91"/>
    </row>
    <row r="95" spans="1:26" ht="12.75" customHeight="1">
      <c r="A95" s="32" t="s">
        <v>159</v>
      </c>
      <c r="B95" s="32" t="str">
        <f t="shared" si="0"/>
        <v>Imperial Nobility2</v>
      </c>
      <c r="C95" s="32" t="s">
        <v>466</v>
      </c>
      <c r="D95" s="32" t="str">
        <f t="shared" si="1"/>
        <v>Imperial NobilityLineman</v>
      </c>
      <c r="E95" s="32">
        <v>6</v>
      </c>
      <c r="F95" s="32">
        <v>3</v>
      </c>
      <c r="G95" s="32">
        <v>4</v>
      </c>
      <c r="H95" s="32">
        <v>4</v>
      </c>
      <c r="I95" s="32">
        <v>8</v>
      </c>
      <c r="J95" s="32" t="str">
        <f>IF(Roster!$J$24="English",U95,(IF(Roster!$J$24="Español",V95,(IF(Roster!$J$24="Deutsch",W95,(IF(Roster!$J$24="Français",X95)))))))</f>
        <v>Fend</v>
      </c>
      <c r="K95" s="31">
        <v>45000</v>
      </c>
      <c r="L95" s="31">
        <f t="shared" si="35"/>
        <v>45</v>
      </c>
      <c r="M95" s="32">
        <v>16</v>
      </c>
      <c r="N95" s="32">
        <v>0</v>
      </c>
      <c r="O95" s="31" t="s">
        <v>250</v>
      </c>
      <c r="P95" s="31" t="s">
        <v>249</v>
      </c>
      <c r="Q95" s="31" t="s">
        <v>249</v>
      </c>
      <c r="R95" s="31" t="s">
        <v>249</v>
      </c>
      <c r="S95" s="32">
        <v>0</v>
      </c>
      <c r="T95" s="91" t="str">
        <f t="shared" ref="T95:T100" si="36">IF(AND(R95&lt;&gt;0,S95&lt;&gt;0),"FULL",(IF(AND(R95=0,S95=0),"PM",IF(R95=0,"P",(IF(S95=0,"M"))))))</f>
        <v>M</v>
      </c>
      <c r="U95" s="91" t="s">
        <v>594</v>
      </c>
      <c r="V95" s="32" t="s">
        <v>595</v>
      </c>
      <c r="W95" s="91" t="s">
        <v>596</v>
      </c>
      <c r="X95" s="91" t="s">
        <v>597</v>
      </c>
      <c r="Y95" s="91"/>
      <c r="Z95" s="91"/>
    </row>
    <row r="96" spans="1:26" ht="12.75" customHeight="1">
      <c r="A96" s="32" t="s">
        <v>159</v>
      </c>
      <c r="B96" s="32" t="str">
        <f t="shared" si="0"/>
        <v>Imperial Nobility3</v>
      </c>
      <c r="C96" s="32" t="s">
        <v>328</v>
      </c>
      <c r="D96" s="32" t="str">
        <f t="shared" si="1"/>
        <v>Imperial NobilityThrower</v>
      </c>
      <c r="E96" s="32">
        <v>6</v>
      </c>
      <c r="F96" s="32">
        <v>3</v>
      </c>
      <c r="G96" s="32">
        <v>3</v>
      </c>
      <c r="H96" s="32">
        <v>3</v>
      </c>
      <c r="I96" s="32">
        <v>9</v>
      </c>
      <c r="J96" s="32" t="str">
        <f>IF(Roster!$J$24="English",U96,(IF(Roster!$J$24="Español",V96,(IF(Roster!$J$24="Deutsch",W96,(IF(Roster!$J$24="Français",X96)))))))</f>
        <v>Pass, Running Pass</v>
      </c>
      <c r="K96" s="31">
        <v>75000</v>
      </c>
      <c r="L96" s="31">
        <f t="shared" si="35"/>
        <v>75</v>
      </c>
      <c r="M96" s="32">
        <v>2</v>
      </c>
      <c r="N96" s="32">
        <v>0</v>
      </c>
      <c r="O96" s="31" t="s">
        <v>250</v>
      </c>
      <c r="P96" s="31" t="s">
        <v>249</v>
      </c>
      <c r="Q96" s="31" t="s">
        <v>249</v>
      </c>
      <c r="R96" s="31" t="s">
        <v>250</v>
      </c>
      <c r="S96" s="32">
        <v>0</v>
      </c>
      <c r="T96" s="91" t="str">
        <f t="shared" si="36"/>
        <v>M</v>
      </c>
      <c r="U96" s="91" t="s">
        <v>598</v>
      </c>
      <c r="V96" s="32" t="s">
        <v>599</v>
      </c>
      <c r="W96" s="91" t="s">
        <v>600</v>
      </c>
      <c r="X96" s="91" t="s">
        <v>601</v>
      </c>
      <c r="Y96" s="91"/>
      <c r="Z96" s="91"/>
    </row>
    <row r="97" spans="1:26" ht="12.75" customHeight="1">
      <c r="A97" s="32" t="s">
        <v>159</v>
      </c>
      <c r="B97" s="32" t="str">
        <f t="shared" si="0"/>
        <v>Imperial Nobility4</v>
      </c>
      <c r="C97" s="32" t="s">
        <v>338</v>
      </c>
      <c r="D97" s="32" t="str">
        <f t="shared" si="1"/>
        <v>Imperial NobilityBlitzer</v>
      </c>
      <c r="E97" s="32">
        <v>7</v>
      </c>
      <c r="F97" s="32">
        <v>3</v>
      </c>
      <c r="G97" s="32">
        <v>3</v>
      </c>
      <c r="H97" s="32">
        <v>4</v>
      </c>
      <c r="I97" s="32">
        <v>9</v>
      </c>
      <c r="J97" s="32" t="str">
        <f>IF(Roster!$J$24="English",U97,(IF(Roster!$J$24="Español",V97,(IF(Roster!$J$24="Deutsch",W97,(IF(Roster!$J$24="Français",X97)))))))</f>
        <v>Block, Catch</v>
      </c>
      <c r="K97" s="31">
        <v>105000</v>
      </c>
      <c r="L97" s="31">
        <f t="shared" si="35"/>
        <v>105</v>
      </c>
      <c r="M97" s="32">
        <v>2</v>
      </c>
      <c r="N97" s="32">
        <v>0</v>
      </c>
      <c r="O97" s="31" t="s">
        <v>250</v>
      </c>
      <c r="P97" s="31" t="s">
        <v>250</v>
      </c>
      <c r="Q97" s="31" t="s">
        <v>249</v>
      </c>
      <c r="R97" s="31" t="s">
        <v>249</v>
      </c>
      <c r="S97" s="32">
        <v>0</v>
      </c>
      <c r="T97" s="91" t="str">
        <f t="shared" si="36"/>
        <v>M</v>
      </c>
      <c r="U97" s="91" t="s">
        <v>602</v>
      </c>
      <c r="V97" s="91" t="s">
        <v>603</v>
      </c>
      <c r="W97" s="91" t="s">
        <v>604</v>
      </c>
      <c r="X97" s="91" t="s">
        <v>605</v>
      </c>
      <c r="Y97" s="91"/>
      <c r="Z97" s="91"/>
    </row>
    <row r="98" spans="1:26" ht="12.75" customHeight="1">
      <c r="A98" s="32" t="s">
        <v>159</v>
      </c>
      <c r="B98" s="32" t="str">
        <f t="shared" si="0"/>
        <v>Imperial Nobility5</v>
      </c>
      <c r="C98" s="32" t="s">
        <v>606</v>
      </c>
      <c r="D98" s="32" t="str">
        <f t="shared" si="1"/>
        <v>Imperial NobilityBodyguard</v>
      </c>
      <c r="E98" s="32">
        <v>6</v>
      </c>
      <c r="F98" s="32">
        <v>3</v>
      </c>
      <c r="G98" s="32">
        <v>3</v>
      </c>
      <c r="H98" s="32">
        <v>5</v>
      </c>
      <c r="I98" s="32">
        <v>9</v>
      </c>
      <c r="J98" s="32" t="str">
        <f>IF(Roster!$J$24="English",U98,(IF(Roster!$J$24="Español",V98,(IF(Roster!$J$24="Deutsch",W98,(IF(Roster!$J$24="Français",X98)))))))</f>
        <v>Stand Firm, Wrestle</v>
      </c>
      <c r="K98" s="31">
        <v>90000</v>
      </c>
      <c r="L98" s="31">
        <f t="shared" si="35"/>
        <v>90</v>
      </c>
      <c r="M98" s="32">
        <v>4</v>
      </c>
      <c r="N98" s="32">
        <v>0</v>
      </c>
      <c r="O98" s="31" t="s">
        <v>250</v>
      </c>
      <c r="P98" s="31" t="s">
        <v>249</v>
      </c>
      <c r="Q98" s="31" t="s">
        <v>250</v>
      </c>
      <c r="R98" s="31" t="s">
        <v>249</v>
      </c>
      <c r="S98" s="32">
        <v>0</v>
      </c>
      <c r="T98" s="91" t="str">
        <f t="shared" si="36"/>
        <v>M</v>
      </c>
      <c r="U98" s="91" t="s">
        <v>607</v>
      </c>
      <c r="V98" s="91" t="s">
        <v>608</v>
      </c>
      <c r="W98" s="91" t="s">
        <v>609</v>
      </c>
      <c r="X98" s="91" t="s">
        <v>610</v>
      </c>
      <c r="Y98" s="91"/>
      <c r="Z98" s="91"/>
    </row>
    <row r="99" spans="1:26" ht="12.75" customHeight="1">
      <c r="A99" s="32" t="s">
        <v>159</v>
      </c>
      <c r="B99" s="32" t="str">
        <f t="shared" si="0"/>
        <v>Imperial Nobility6</v>
      </c>
      <c r="C99" s="32" t="s">
        <v>187</v>
      </c>
      <c r="D99" s="32" t="str">
        <f t="shared" si="1"/>
        <v>Imperial NobilityOgre</v>
      </c>
      <c r="E99" s="32">
        <v>5</v>
      </c>
      <c r="F99" s="32">
        <v>5</v>
      </c>
      <c r="G99" s="32">
        <v>4</v>
      </c>
      <c r="H99" s="32">
        <v>5</v>
      </c>
      <c r="I99" s="32">
        <v>10</v>
      </c>
      <c r="J99" s="32" t="str">
        <f>IF(Roster!$J$24="English",U99,(IF(Roster!$J$24="Español",V99,(IF(Roster!$J$24="Deutsch",W99,(IF(Roster!$J$24="Français",X99)))))))</f>
        <v>Bone Head, Loner (4+), Mighty Blow (+1), Thick Skull, Throw Team-mate</v>
      </c>
      <c r="K99" s="31">
        <v>140000</v>
      </c>
      <c r="L99" s="31">
        <f t="shared" si="35"/>
        <v>140</v>
      </c>
      <c r="M99" s="32">
        <v>1</v>
      </c>
      <c r="N99" s="32">
        <v>1</v>
      </c>
      <c r="O99" s="31" t="s">
        <v>249</v>
      </c>
      <c r="P99" s="31" t="s">
        <v>249</v>
      </c>
      <c r="Q99" s="31" t="s">
        <v>250</v>
      </c>
      <c r="R99" s="31" t="s">
        <v>249</v>
      </c>
      <c r="S99" s="32">
        <v>0</v>
      </c>
      <c r="T99" s="91" t="str">
        <f t="shared" si="36"/>
        <v>M</v>
      </c>
      <c r="U99" s="91" t="s">
        <v>379</v>
      </c>
      <c r="V99" s="91" t="s">
        <v>380</v>
      </c>
      <c r="W99" s="91" t="s">
        <v>381</v>
      </c>
      <c r="X99" s="91" t="s">
        <v>382</v>
      </c>
      <c r="Y99" s="91"/>
      <c r="Z99" s="91"/>
    </row>
    <row r="100" spans="1:26" ht="12.75" customHeight="1">
      <c r="A100" s="32" t="s">
        <v>159</v>
      </c>
      <c r="B100" s="32" t="str">
        <f t="shared" si="0"/>
        <v>Imperial Nobility7</v>
      </c>
      <c r="C100" s="32" t="s">
        <v>593</v>
      </c>
      <c r="D100" s="32" t="str">
        <f t="shared" si="1"/>
        <v>Imperial NobilityJourneyman</v>
      </c>
      <c r="E100" s="32">
        <v>6</v>
      </c>
      <c r="F100" s="32">
        <v>3</v>
      </c>
      <c r="G100" s="32">
        <v>4</v>
      </c>
      <c r="H100" s="32">
        <v>4</v>
      </c>
      <c r="I100" s="32">
        <v>8</v>
      </c>
      <c r="J100" s="32" t="str">
        <f>IF(Roster!$J$24="English",U100,(IF(Roster!$J$24="Español",V100,(IF(Roster!$J$24="Deutsch",W100,(IF(Roster!$J$24="Français",X100)))))))</f>
        <v>Loner (4+), Fend</v>
      </c>
      <c r="K100" s="31">
        <v>0</v>
      </c>
      <c r="L100" s="31">
        <v>45</v>
      </c>
      <c r="M100" s="32">
        <v>11</v>
      </c>
      <c r="N100" s="32">
        <v>0</v>
      </c>
      <c r="O100" s="31" t="s">
        <v>250</v>
      </c>
      <c r="P100" s="31" t="s">
        <v>249</v>
      </c>
      <c r="Q100" s="31" t="s">
        <v>249</v>
      </c>
      <c r="R100" s="31" t="s">
        <v>249</v>
      </c>
      <c r="S100" s="32">
        <v>0</v>
      </c>
      <c r="T100" s="91" t="str">
        <f t="shared" si="36"/>
        <v>M</v>
      </c>
      <c r="U100" s="91" t="s">
        <v>611</v>
      </c>
      <c r="V100" s="91" t="s">
        <v>612</v>
      </c>
      <c r="W100" s="91" t="s">
        <v>613</v>
      </c>
      <c r="X100" s="91" t="s">
        <v>614</v>
      </c>
      <c r="Y100" s="91"/>
      <c r="Z100" s="91"/>
    </row>
    <row r="101" spans="1:26" ht="12.75" customHeight="1">
      <c r="A101" s="32" t="s">
        <v>164</v>
      </c>
      <c r="B101" s="32" t="str">
        <f t="shared" si="0"/>
        <v>Lizardman1</v>
      </c>
      <c r="C101" s="32" t="str">
        <f>""</f>
        <v/>
      </c>
      <c r="D101" s="32" t="str">
        <f t="shared" si="1"/>
        <v>Lizardman</v>
      </c>
      <c r="E101" s="32">
        <v>0</v>
      </c>
      <c r="F101" s="32">
        <v>0</v>
      </c>
      <c r="G101" s="32">
        <v>0</v>
      </c>
      <c r="H101" s="32">
        <v>0</v>
      </c>
      <c r="I101" s="32">
        <v>0</v>
      </c>
      <c r="J101" s="32">
        <f>IF(Roster!$J$24="English",U101,(IF(Roster!$J$24="Español",V101,(IF(Roster!$J$24="Deutsch",W101,(IF(Roster!$J$24="Français",X101)))))))</f>
        <v>0</v>
      </c>
      <c r="K101" s="31">
        <v>0</v>
      </c>
      <c r="L101" s="31">
        <f t="shared" ref="L101:L105" si="37">K101/1000</f>
        <v>0</v>
      </c>
      <c r="M101" s="31">
        <v>0</v>
      </c>
      <c r="N101" s="31">
        <v>0</v>
      </c>
      <c r="O101" s="31"/>
      <c r="P101" s="31"/>
      <c r="Q101" s="31"/>
      <c r="R101" s="31"/>
      <c r="S101" s="31"/>
      <c r="T101" s="91"/>
      <c r="U101" s="91">
        <v>0</v>
      </c>
      <c r="V101" s="91">
        <v>0</v>
      </c>
      <c r="W101" s="91">
        <v>0</v>
      </c>
      <c r="X101" s="91">
        <v>0</v>
      </c>
      <c r="Y101" s="91">
        <v>0</v>
      </c>
      <c r="Z101" s="91"/>
    </row>
    <row r="102" spans="1:26" ht="12.75" customHeight="1">
      <c r="A102" s="32" t="s">
        <v>164</v>
      </c>
      <c r="B102" s="32" t="str">
        <f t="shared" si="0"/>
        <v>Lizardman2</v>
      </c>
      <c r="C102" s="32" t="s">
        <v>615</v>
      </c>
      <c r="D102" s="32" t="str">
        <f t="shared" si="1"/>
        <v>LizardmanSkink</v>
      </c>
      <c r="E102" s="32">
        <v>8</v>
      </c>
      <c r="F102" s="32">
        <v>2</v>
      </c>
      <c r="G102" s="32">
        <v>3</v>
      </c>
      <c r="H102" s="32">
        <v>4</v>
      </c>
      <c r="I102" s="32">
        <v>8</v>
      </c>
      <c r="J102" s="32" t="str">
        <f>IF(Roster!$J$24="English",U102,(IF(Roster!$J$24="Español",V102,(IF(Roster!$J$24="Deutsch",W102,(IF(Roster!$J$24="Français",X102)))))))</f>
        <v>Dodge, Stunty</v>
      </c>
      <c r="K102" s="31">
        <v>60000</v>
      </c>
      <c r="L102" s="31">
        <f t="shared" si="37"/>
        <v>60</v>
      </c>
      <c r="M102" s="31">
        <v>16</v>
      </c>
      <c r="N102" s="31">
        <v>0</v>
      </c>
      <c r="O102" s="31" t="s">
        <v>249</v>
      </c>
      <c r="P102" s="31" t="s">
        <v>250</v>
      </c>
      <c r="Q102" s="31" t="s">
        <v>249</v>
      </c>
      <c r="R102" s="31" t="s">
        <v>249</v>
      </c>
      <c r="S102" s="31">
        <v>0</v>
      </c>
      <c r="T102" s="91" t="str">
        <f t="shared" ref="T102:T106" si="38">IF(AND(R102&lt;&gt;0,S102&lt;&gt;0),"FULL",(IF(AND(R102=0,S102=0),"PM",IF(R102=0,"P",(IF(S102=0,"M"))))))</f>
        <v>M</v>
      </c>
      <c r="U102" s="91" t="s">
        <v>616</v>
      </c>
      <c r="V102" s="91" t="s">
        <v>617</v>
      </c>
      <c r="W102" s="91" t="s">
        <v>618</v>
      </c>
      <c r="X102" s="91" t="s">
        <v>619</v>
      </c>
      <c r="Y102" s="91"/>
      <c r="Z102" s="91"/>
    </row>
    <row r="103" spans="1:26" ht="12.75" customHeight="1">
      <c r="A103" s="32" t="s">
        <v>164</v>
      </c>
      <c r="B103" s="32" t="str">
        <f t="shared" si="0"/>
        <v>Lizardman3</v>
      </c>
      <c r="C103" s="32" t="s">
        <v>620</v>
      </c>
      <c r="D103" s="32" t="str">
        <f t="shared" si="1"/>
        <v>LizardmanChameleon Skink</v>
      </c>
      <c r="E103" s="32">
        <v>7</v>
      </c>
      <c r="F103" s="32">
        <v>2</v>
      </c>
      <c r="G103" s="32">
        <v>3</v>
      </c>
      <c r="H103" s="32">
        <v>3</v>
      </c>
      <c r="I103" s="32">
        <v>8</v>
      </c>
      <c r="J103" s="32" t="str">
        <f>IF(Roster!$J$24="English",U103,(IF(Roster!$J$24="Español",V103,(IF(Roster!$J$24="Deutsch",W103,(IF(Roster!$J$24="Français",X103)))))))</f>
        <v>Dodge, On the Ball, Shadowing, Stunty</v>
      </c>
      <c r="K103" s="31">
        <v>70000</v>
      </c>
      <c r="L103" s="31">
        <f t="shared" si="37"/>
        <v>70</v>
      </c>
      <c r="M103" s="32">
        <v>2</v>
      </c>
      <c r="N103" s="32">
        <v>0</v>
      </c>
      <c r="O103" s="31" t="s">
        <v>249</v>
      </c>
      <c r="P103" s="31" t="s">
        <v>250</v>
      </c>
      <c r="Q103" s="31" t="s">
        <v>249</v>
      </c>
      <c r="R103" s="31" t="s">
        <v>249</v>
      </c>
      <c r="S103" s="31">
        <v>0</v>
      </c>
      <c r="T103" s="91" t="str">
        <f t="shared" si="38"/>
        <v>M</v>
      </c>
      <c r="U103" s="91" t="s">
        <v>621</v>
      </c>
      <c r="V103" s="91" t="s">
        <v>622</v>
      </c>
      <c r="W103" s="91" t="s">
        <v>623</v>
      </c>
      <c r="X103" s="91" t="s">
        <v>624</v>
      </c>
      <c r="Y103" s="91"/>
      <c r="Z103" s="91"/>
    </row>
    <row r="104" spans="1:26" ht="12.75" customHeight="1">
      <c r="A104" s="32" t="s">
        <v>164</v>
      </c>
      <c r="B104" s="32" t="str">
        <f t="shared" si="0"/>
        <v>Lizardman4</v>
      </c>
      <c r="C104" s="32" t="s">
        <v>625</v>
      </c>
      <c r="D104" s="32" t="str">
        <f t="shared" si="1"/>
        <v>LizardmanSaurus</v>
      </c>
      <c r="E104" s="32">
        <v>6</v>
      </c>
      <c r="F104" s="32">
        <v>4</v>
      </c>
      <c r="G104" s="32">
        <v>5</v>
      </c>
      <c r="H104" s="32">
        <v>6</v>
      </c>
      <c r="I104" s="32">
        <v>10</v>
      </c>
      <c r="J104" s="32" t="str">
        <f>IF(Roster!$J$24="English",U104,(IF(Roster!$J$24="Español",V104,(IF(Roster!$J$24="Deutsch",W104,(IF(Roster!$J$24="Français",X104)))))))</f>
        <v/>
      </c>
      <c r="K104" s="31">
        <v>85000</v>
      </c>
      <c r="L104" s="31">
        <f t="shared" si="37"/>
        <v>85</v>
      </c>
      <c r="M104" s="32">
        <v>6</v>
      </c>
      <c r="N104" s="32">
        <v>0</v>
      </c>
      <c r="O104" s="31" t="s">
        <v>250</v>
      </c>
      <c r="P104" s="31" t="s">
        <v>249</v>
      </c>
      <c r="Q104" s="31" t="s">
        <v>250</v>
      </c>
      <c r="R104" s="31" t="s">
        <v>249</v>
      </c>
      <c r="S104" s="31">
        <v>0</v>
      </c>
      <c r="T104" s="91" t="str">
        <f t="shared" si="38"/>
        <v>M</v>
      </c>
      <c r="U104" s="91" t="str">
        <f t="shared" ref="U104:Y104" si="39">""</f>
        <v/>
      </c>
      <c r="V104" s="91" t="str">
        <f t="shared" si="39"/>
        <v/>
      </c>
      <c r="W104" s="91" t="str">
        <f t="shared" si="39"/>
        <v/>
      </c>
      <c r="X104" s="91" t="str">
        <f t="shared" si="39"/>
        <v/>
      </c>
      <c r="Y104" s="91" t="str">
        <f t="shared" si="39"/>
        <v/>
      </c>
      <c r="Z104" s="91"/>
    </row>
    <row r="105" spans="1:26" ht="12.75" customHeight="1">
      <c r="A105" s="32" t="s">
        <v>164</v>
      </c>
      <c r="B105" s="32" t="str">
        <f t="shared" si="0"/>
        <v>Lizardman5</v>
      </c>
      <c r="C105" s="32" t="s">
        <v>626</v>
      </c>
      <c r="D105" s="32" t="str">
        <f t="shared" si="1"/>
        <v>LizardmanKroxigor</v>
      </c>
      <c r="E105" s="32">
        <v>6</v>
      </c>
      <c r="F105" s="32">
        <v>5</v>
      </c>
      <c r="G105" s="32">
        <v>5</v>
      </c>
      <c r="H105" s="32">
        <v>0</v>
      </c>
      <c r="I105" s="32">
        <v>10</v>
      </c>
      <c r="J105" s="32" t="str">
        <f>IF(Roster!$J$24="English",U105,(IF(Roster!$J$24="Español",V105,(IF(Roster!$J$24="Deutsch",W105,(IF(Roster!$J$24="Français",X105)))))))</f>
        <v>Bone Head, Loner (4+), Mighty Blow (+1), Prehensile Tail, Thick Skull</v>
      </c>
      <c r="K105" s="31">
        <v>140000</v>
      </c>
      <c r="L105" s="31">
        <f t="shared" si="37"/>
        <v>140</v>
      </c>
      <c r="M105" s="32">
        <v>1</v>
      </c>
      <c r="N105" s="32">
        <v>1</v>
      </c>
      <c r="O105" s="31" t="s">
        <v>249</v>
      </c>
      <c r="P105" s="31" t="s">
        <v>249</v>
      </c>
      <c r="Q105" s="31" t="s">
        <v>250</v>
      </c>
      <c r="R105" s="225">
        <v>0</v>
      </c>
      <c r="S105" s="31">
        <v>0</v>
      </c>
      <c r="T105" s="91" t="str">
        <f t="shared" si="38"/>
        <v>PM</v>
      </c>
      <c r="U105" s="91" t="s">
        <v>627</v>
      </c>
      <c r="V105" s="91" t="s">
        <v>628</v>
      </c>
      <c r="W105" s="91" t="s">
        <v>629</v>
      </c>
      <c r="X105" s="91" t="s">
        <v>630</v>
      </c>
      <c r="Y105" s="91"/>
      <c r="Z105" s="91"/>
    </row>
    <row r="106" spans="1:26" ht="12.75" customHeight="1">
      <c r="A106" s="32" t="s">
        <v>164</v>
      </c>
      <c r="B106" s="32" t="str">
        <f t="shared" si="0"/>
        <v>Lizardman6</v>
      </c>
      <c r="C106" s="32" t="s">
        <v>631</v>
      </c>
      <c r="D106" s="32" t="str">
        <f t="shared" si="1"/>
        <v>LizardmanJourney Skink</v>
      </c>
      <c r="E106" s="32">
        <v>8</v>
      </c>
      <c r="F106" s="32">
        <v>2</v>
      </c>
      <c r="G106" s="32">
        <v>3</v>
      </c>
      <c r="H106" s="32">
        <v>4</v>
      </c>
      <c r="I106" s="32">
        <v>8</v>
      </c>
      <c r="J106" s="32" t="str">
        <f>IF(Roster!$J$24="English",U106,(IF(Roster!$J$24="Español",V106,(IF(Roster!$J$24="Deutsch",W106,(IF(Roster!$J$24="Français",X106)))))))</f>
        <v>Loner (4+), Dodge, Stunty</v>
      </c>
      <c r="K106" s="31">
        <v>0</v>
      </c>
      <c r="L106" s="31">
        <v>60</v>
      </c>
      <c r="M106" s="32">
        <v>11</v>
      </c>
      <c r="N106" s="32">
        <v>0</v>
      </c>
      <c r="O106" s="31" t="s">
        <v>249</v>
      </c>
      <c r="P106" s="31" t="s">
        <v>250</v>
      </c>
      <c r="Q106" s="31" t="s">
        <v>249</v>
      </c>
      <c r="R106" s="31" t="s">
        <v>249</v>
      </c>
      <c r="S106" s="31">
        <v>0</v>
      </c>
      <c r="T106" s="91" t="str">
        <f t="shared" si="38"/>
        <v>M</v>
      </c>
      <c r="U106" s="91" t="s">
        <v>632</v>
      </c>
      <c r="V106" s="91" t="s">
        <v>633</v>
      </c>
      <c r="W106" s="91" t="s">
        <v>634</v>
      </c>
      <c r="X106" s="91" t="s">
        <v>635</v>
      </c>
      <c r="Y106" s="91"/>
      <c r="Z106" s="91"/>
    </row>
    <row r="107" spans="1:26" ht="12.75" customHeight="1">
      <c r="A107" s="32" t="s">
        <v>169</v>
      </c>
      <c r="B107" s="32" t="str">
        <f t="shared" si="0"/>
        <v>Necromantic1</v>
      </c>
      <c r="C107" s="32" t="str">
        <f>""</f>
        <v/>
      </c>
      <c r="D107" s="32" t="str">
        <f t="shared" si="1"/>
        <v>Necromantic</v>
      </c>
      <c r="E107" s="32">
        <v>0</v>
      </c>
      <c r="F107" s="32">
        <v>0</v>
      </c>
      <c r="G107" s="32">
        <v>0</v>
      </c>
      <c r="H107" s="32">
        <v>0</v>
      </c>
      <c r="I107" s="32">
        <v>0</v>
      </c>
      <c r="J107" s="32">
        <f>IF(Roster!$J$24="English",U107,(IF(Roster!$J$24="Español",V107,(IF(Roster!$J$24="Deutsch",W107,(IF(Roster!$J$24="Français",X107)))))))</f>
        <v>0</v>
      </c>
      <c r="K107" s="31">
        <v>0</v>
      </c>
      <c r="L107" s="31">
        <f t="shared" ref="L107:L112" si="40">K107/1000</f>
        <v>0</v>
      </c>
      <c r="M107" s="31">
        <v>0</v>
      </c>
      <c r="N107" s="31">
        <v>0</v>
      </c>
      <c r="O107" s="31"/>
      <c r="P107" s="31"/>
      <c r="Q107" s="31"/>
      <c r="R107" s="31"/>
      <c r="S107" s="31"/>
      <c r="T107" s="91"/>
      <c r="U107" s="91">
        <v>0</v>
      </c>
      <c r="V107" s="91">
        <v>0</v>
      </c>
      <c r="W107" s="91">
        <v>0</v>
      </c>
      <c r="X107" s="91">
        <v>0</v>
      </c>
      <c r="Y107" s="91">
        <v>0</v>
      </c>
      <c r="Z107" s="91"/>
    </row>
    <row r="108" spans="1:26" ht="12.75" customHeight="1">
      <c r="A108" s="32" t="s">
        <v>169</v>
      </c>
      <c r="B108" s="32" t="str">
        <f t="shared" si="0"/>
        <v>Necromantic2</v>
      </c>
      <c r="C108" s="32" t="s">
        <v>113</v>
      </c>
      <c r="D108" s="32" t="str">
        <f t="shared" si="1"/>
        <v>NecromanticZombie</v>
      </c>
      <c r="E108" s="32">
        <v>4</v>
      </c>
      <c r="F108" s="32">
        <v>3</v>
      </c>
      <c r="G108" s="32">
        <v>4</v>
      </c>
      <c r="H108" s="32">
        <v>0</v>
      </c>
      <c r="I108" s="32">
        <v>9</v>
      </c>
      <c r="J108" s="32" t="str">
        <f>IF(Roster!$J$24="English",U108,(IF(Roster!$J$24="Español",V108,(IF(Roster!$J$24="Deutsch",W108,(IF(Roster!$J$24="Français",X108)))))))</f>
        <v>Regeneration</v>
      </c>
      <c r="K108" s="31">
        <v>40000</v>
      </c>
      <c r="L108" s="31">
        <f t="shared" si="40"/>
        <v>40</v>
      </c>
      <c r="M108" s="31">
        <v>16</v>
      </c>
      <c r="N108" s="31">
        <v>0</v>
      </c>
      <c r="O108" s="31" t="s">
        <v>250</v>
      </c>
      <c r="P108" s="31" t="s">
        <v>249</v>
      </c>
      <c r="Q108" s="31" t="s">
        <v>249</v>
      </c>
      <c r="R108" s="225">
        <v>0</v>
      </c>
      <c r="S108" s="31">
        <v>0</v>
      </c>
      <c r="T108" s="91" t="str">
        <f t="shared" ref="T108:T114" si="41">IF(AND(R108&lt;&gt;0,S108&lt;&gt;0),"FULL",(IF(AND(R108=0,S108=0),"PM",IF(R108=0,"P",(IF(S108=0,"M"))))))</f>
        <v>PM</v>
      </c>
      <c r="U108" s="91" t="s">
        <v>636</v>
      </c>
      <c r="V108" s="91" t="s">
        <v>637</v>
      </c>
      <c r="W108" s="91" t="s">
        <v>636</v>
      </c>
      <c r="X108" s="91" t="s">
        <v>638</v>
      </c>
      <c r="Y108" s="91"/>
      <c r="Z108" s="91"/>
    </row>
    <row r="109" spans="1:26" ht="12.75" customHeight="1">
      <c r="A109" s="32" t="s">
        <v>169</v>
      </c>
      <c r="B109" s="32" t="str">
        <f t="shared" si="0"/>
        <v>Necromantic3</v>
      </c>
      <c r="C109" s="32" t="s">
        <v>98</v>
      </c>
      <c r="D109" s="32" t="str">
        <f t="shared" si="1"/>
        <v>NecromanticGhoul</v>
      </c>
      <c r="E109" s="32">
        <v>7</v>
      </c>
      <c r="F109" s="32">
        <v>3</v>
      </c>
      <c r="G109" s="32">
        <v>3</v>
      </c>
      <c r="H109" s="32">
        <v>4</v>
      </c>
      <c r="I109" s="32">
        <v>8</v>
      </c>
      <c r="J109" s="32" t="str">
        <f>IF(Roster!$J$24="English",U109,(IF(Roster!$J$24="Español",V109,(IF(Roster!$J$24="Deutsch",W109,(IF(Roster!$J$24="Français",X109)))))))</f>
        <v>Dodge</v>
      </c>
      <c r="K109" s="31">
        <v>75000</v>
      </c>
      <c r="L109" s="31">
        <f t="shared" si="40"/>
        <v>75</v>
      </c>
      <c r="M109" s="31">
        <v>2</v>
      </c>
      <c r="N109" s="31">
        <v>0</v>
      </c>
      <c r="O109" s="31" t="s">
        <v>250</v>
      </c>
      <c r="P109" s="31" t="s">
        <v>250</v>
      </c>
      <c r="Q109" s="31" t="s">
        <v>249</v>
      </c>
      <c r="R109" s="31" t="s">
        <v>249</v>
      </c>
      <c r="S109" s="31">
        <v>0</v>
      </c>
      <c r="T109" s="91" t="str">
        <f t="shared" si="41"/>
        <v>M</v>
      </c>
      <c r="U109" s="91" t="s">
        <v>324</v>
      </c>
      <c r="V109" s="91" t="s">
        <v>325</v>
      </c>
      <c r="W109" s="91" t="s">
        <v>326</v>
      </c>
      <c r="X109" s="91" t="s">
        <v>327</v>
      </c>
      <c r="Y109" s="91"/>
      <c r="Z109" s="91"/>
    </row>
    <row r="110" spans="1:26" ht="12.75" customHeight="1">
      <c r="A110" s="32" t="s">
        <v>169</v>
      </c>
      <c r="B110" s="32" t="str">
        <f t="shared" si="0"/>
        <v>Necromantic4</v>
      </c>
      <c r="C110" s="32" t="s">
        <v>106</v>
      </c>
      <c r="D110" s="32" t="str">
        <f t="shared" si="1"/>
        <v>NecromanticWraiths</v>
      </c>
      <c r="E110" s="32">
        <v>6</v>
      </c>
      <c r="F110" s="32">
        <v>3</v>
      </c>
      <c r="G110" s="32">
        <v>3</v>
      </c>
      <c r="H110" s="32">
        <v>0</v>
      </c>
      <c r="I110" s="32">
        <v>9</v>
      </c>
      <c r="J110" s="32" t="str">
        <f>IF(Roster!$J$24="English",U110,(IF(Roster!$J$24="Español",V110,(IF(Roster!$J$24="Deutsch",W110,(IF(Roster!$J$24="Français",X110)))))))</f>
        <v>Block, Foul Appearance, No Hands, Regeneration, Side Step</v>
      </c>
      <c r="K110" s="31">
        <v>95000</v>
      </c>
      <c r="L110" s="31">
        <f t="shared" si="40"/>
        <v>95</v>
      </c>
      <c r="M110" s="31">
        <v>2</v>
      </c>
      <c r="N110" s="31">
        <v>0</v>
      </c>
      <c r="O110" s="31" t="s">
        <v>250</v>
      </c>
      <c r="P110" s="31" t="s">
        <v>249</v>
      </c>
      <c r="Q110" s="31" t="s">
        <v>250</v>
      </c>
      <c r="R110" s="225">
        <v>0</v>
      </c>
      <c r="S110" s="31">
        <v>0</v>
      </c>
      <c r="T110" s="91" t="str">
        <f t="shared" si="41"/>
        <v>PM</v>
      </c>
      <c r="U110" s="91" t="s">
        <v>639</v>
      </c>
      <c r="V110" s="91" t="s">
        <v>640</v>
      </c>
      <c r="W110" s="91" t="s">
        <v>641</v>
      </c>
      <c r="X110" s="91" t="s">
        <v>642</v>
      </c>
      <c r="Y110" s="91"/>
      <c r="Z110" s="91"/>
    </row>
    <row r="111" spans="1:26" ht="12.75" customHeight="1">
      <c r="A111" s="32" t="s">
        <v>169</v>
      </c>
      <c r="B111" s="32" t="str">
        <f t="shared" si="0"/>
        <v>Necromantic5</v>
      </c>
      <c r="C111" s="32" t="s">
        <v>67</v>
      </c>
      <c r="D111" s="32" t="str">
        <f t="shared" si="1"/>
        <v>NecromanticFlesh Golem</v>
      </c>
      <c r="E111" s="32">
        <v>4</v>
      </c>
      <c r="F111" s="32">
        <v>4</v>
      </c>
      <c r="G111" s="32">
        <v>4</v>
      </c>
      <c r="H111" s="32">
        <v>0</v>
      </c>
      <c r="I111" s="32">
        <v>10</v>
      </c>
      <c r="J111" s="32" t="str">
        <f>IF(Roster!$J$24="English",U111,(IF(Roster!$J$24="Español",V111,(IF(Roster!$J$24="Deutsch",W111,(IF(Roster!$J$24="Français",X111)))))))</f>
        <v>Regeneration, Stand Firm, Thick Skull</v>
      </c>
      <c r="K111" s="31">
        <v>115000</v>
      </c>
      <c r="L111" s="31">
        <f t="shared" si="40"/>
        <v>115</v>
      </c>
      <c r="M111" s="31">
        <v>2</v>
      </c>
      <c r="N111" s="31">
        <v>0</v>
      </c>
      <c r="O111" s="31" t="s">
        <v>250</v>
      </c>
      <c r="P111" s="31" t="s">
        <v>249</v>
      </c>
      <c r="Q111" s="31" t="s">
        <v>250</v>
      </c>
      <c r="R111" s="225">
        <v>0</v>
      </c>
      <c r="S111" s="31">
        <v>0</v>
      </c>
      <c r="T111" s="91" t="str">
        <f t="shared" si="41"/>
        <v>PM</v>
      </c>
      <c r="U111" s="91" t="s">
        <v>643</v>
      </c>
      <c r="V111" s="91" t="s">
        <v>644</v>
      </c>
      <c r="W111" s="91" t="s">
        <v>645</v>
      </c>
      <c r="X111" s="91" t="s">
        <v>646</v>
      </c>
      <c r="Y111" s="91"/>
      <c r="Z111" s="91"/>
    </row>
    <row r="112" spans="1:26" ht="12.75" customHeight="1">
      <c r="A112" s="32" t="s">
        <v>169</v>
      </c>
      <c r="B112" s="32" t="str">
        <f t="shared" si="0"/>
        <v>Necromantic6</v>
      </c>
      <c r="C112" s="32" t="s">
        <v>82</v>
      </c>
      <c r="D112" s="32" t="str">
        <f t="shared" si="1"/>
        <v>NecromanticWerewolf</v>
      </c>
      <c r="E112" s="32">
        <v>8</v>
      </c>
      <c r="F112" s="32">
        <v>3</v>
      </c>
      <c r="G112" s="32">
        <v>3</v>
      </c>
      <c r="H112" s="32">
        <v>4</v>
      </c>
      <c r="I112" s="32">
        <v>9</v>
      </c>
      <c r="J112" s="32" t="str">
        <f>IF(Roster!$J$24="English",U112,(IF(Roster!$J$24="Español",V112,(IF(Roster!$J$24="Deutsch",W112,(IF(Roster!$J$24="Français",X112)))))))</f>
        <v>Claws, Frenzy, Regeneration</v>
      </c>
      <c r="K112" s="31">
        <v>125000</v>
      </c>
      <c r="L112" s="31">
        <f t="shared" si="40"/>
        <v>125</v>
      </c>
      <c r="M112" s="32">
        <v>2</v>
      </c>
      <c r="N112" s="32">
        <v>0</v>
      </c>
      <c r="O112" s="31" t="s">
        <v>250</v>
      </c>
      <c r="P112" s="31" t="s">
        <v>250</v>
      </c>
      <c r="Q112" s="31" t="s">
        <v>249</v>
      </c>
      <c r="R112" s="31" t="s">
        <v>249</v>
      </c>
      <c r="S112" s="31">
        <v>0</v>
      </c>
      <c r="T112" s="91" t="str">
        <f t="shared" si="41"/>
        <v>M</v>
      </c>
      <c r="U112" s="91" t="s">
        <v>647</v>
      </c>
      <c r="V112" s="32" t="s">
        <v>648</v>
      </c>
      <c r="W112" s="91" t="s">
        <v>649</v>
      </c>
      <c r="X112" s="91" t="s">
        <v>650</v>
      </c>
      <c r="Y112" s="91"/>
      <c r="Z112" s="91"/>
    </row>
    <row r="113" spans="1:26" ht="12.75" customHeight="1">
      <c r="A113" s="32" t="s">
        <v>169</v>
      </c>
      <c r="B113" s="32" t="str">
        <f t="shared" si="0"/>
        <v>Necromantic7</v>
      </c>
      <c r="C113" s="32" t="s">
        <v>651</v>
      </c>
      <c r="D113" s="32" t="str">
        <f t="shared" si="1"/>
        <v>NecromanticRaised Zombie</v>
      </c>
      <c r="E113" s="32">
        <v>4</v>
      </c>
      <c r="F113" s="32">
        <v>3</v>
      </c>
      <c r="G113" s="32">
        <v>4</v>
      </c>
      <c r="H113" s="32">
        <v>0</v>
      </c>
      <c r="I113" s="32">
        <v>9</v>
      </c>
      <c r="J113" s="32" t="str">
        <f>IF(Roster!$J$24="English",U113,(IF(Roster!$J$24="Español",V113,(IF(Roster!$J$24="Deutsch",W113,(IF(Roster!$J$24="Français",X113)))))))</f>
        <v>Regeneration</v>
      </c>
      <c r="K113" s="31">
        <v>0</v>
      </c>
      <c r="L113" s="31">
        <v>40</v>
      </c>
      <c r="M113" s="31">
        <v>16</v>
      </c>
      <c r="N113" s="31">
        <v>0</v>
      </c>
      <c r="O113" s="31" t="s">
        <v>250</v>
      </c>
      <c r="P113" s="31" t="s">
        <v>249</v>
      </c>
      <c r="Q113" s="31" t="s">
        <v>249</v>
      </c>
      <c r="R113" s="225">
        <v>0</v>
      </c>
      <c r="S113" s="31">
        <v>0</v>
      </c>
      <c r="T113" s="91" t="str">
        <f t="shared" si="41"/>
        <v>PM</v>
      </c>
      <c r="U113" s="91" t="s">
        <v>636</v>
      </c>
      <c r="V113" s="91" t="s">
        <v>637</v>
      </c>
      <c r="W113" s="91" t="s">
        <v>636</v>
      </c>
      <c r="X113" s="91" t="s">
        <v>638</v>
      </c>
      <c r="Y113" s="91"/>
      <c r="Z113" s="91"/>
    </row>
    <row r="114" spans="1:26" ht="12.75" customHeight="1">
      <c r="A114" s="32" t="s">
        <v>169</v>
      </c>
      <c r="B114" s="32" t="str">
        <f t="shared" si="0"/>
        <v>Necromantic8</v>
      </c>
      <c r="C114" s="32" t="s">
        <v>652</v>
      </c>
      <c r="D114" s="32" t="str">
        <f t="shared" si="1"/>
        <v>NecromanticJourney Zombie</v>
      </c>
      <c r="E114" s="32">
        <v>4</v>
      </c>
      <c r="F114" s="32">
        <v>3</v>
      </c>
      <c r="G114" s="32">
        <v>4</v>
      </c>
      <c r="H114" s="32">
        <v>0</v>
      </c>
      <c r="I114" s="32">
        <v>9</v>
      </c>
      <c r="J114" s="32" t="str">
        <f>IF(Roster!$J$24="English",U114,(IF(Roster!$J$24="Español",V114,(IF(Roster!$J$24="Deutsch",W114,(IF(Roster!$J$24="Français",X114)))))))</f>
        <v>Loner (4+), Regeneration</v>
      </c>
      <c r="K114" s="31">
        <v>0</v>
      </c>
      <c r="L114" s="31">
        <v>40</v>
      </c>
      <c r="M114" s="32">
        <v>11</v>
      </c>
      <c r="N114" s="32">
        <v>0</v>
      </c>
      <c r="O114" s="31" t="s">
        <v>250</v>
      </c>
      <c r="P114" s="31" t="s">
        <v>249</v>
      </c>
      <c r="Q114" s="31" t="s">
        <v>249</v>
      </c>
      <c r="R114" s="225">
        <v>0</v>
      </c>
      <c r="S114" s="31">
        <v>0</v>
      </c>
      <c r="T114" s="91" t="str">
        <f t="shared" si="41"/>
        <v>PM</v>
      </c>
      <c r="U114" s="91" t="s">
        <v>653</v>
      </c>
      <c r="V114" s="32" t="s">
        <v>654</v>
      </c>
      <c r="W114" s="91" t="s">
        <v>655</v>
      </c>
      <c r="X114" s="91" t="s">
        <v>656</v>
      </c>
      <c r="Y114" s="91"/>
      <c r="Z114" s="91"/>
    </row>
    <row r="115" spans="1:26" ht="12.75" customHeight="1">
      <c r="A115" s="32" t="s">
        <v>175</v>
      </c>
      <c r="B115" s="32" t="str">
        <f t="shared" si="0"/>
        <v>Norse1</v>
      </c>
      <c r="C115" s="32" t="str">
        <f>""</f>
        <v/>
      </c>
      <c r="D115" s="32" t="str">
        <f t="shared" si="1"/>
        <v>Norse</v>
      </c>
      <c r="E115" s="32">
        <v>0</v>
      </c>
      <c r="F115" s="32">
        <v>0</v>
      </c>
      <c r="G115" s="32">
        <v>0</v>
      </c>
      <c r="H115" s="32">
        <v>0</v>
      </c>
      <c r="I115" s="32">
        <v>0</v>
      </c>
      <c r="J115" s="32">
        <f>IF(Roster!$J$24="English",U115,(IF(Roster!$J$24="Español",V115,(IF(Roster!$J$24="Deutsch",W115,(IF(Roster!$J$24="Français",X115)))))))</f>
        <v>0</v>
      </c>
      <c r="K115" s="31">
        <v>0</v>
      </c>
      <c r="L115" s="31">
        <f t="shared" ref="L115:L121" si="42">K115/1000</f>
        <v>0</v>
      </c>
      <c r="M115" s="31">
        <v>0</v>
      </c>
      <c r="N115" s="31">
        <v>0</v>
      </c>
      <c r="O115" s="31"/>
      <c r="P115" s="31"/>
      <c r="Q115" s="31"/>
      <c r="R115" s="31"/>
      <c r="S115" s="31"/>
      <c r="T115" s="91"/>
      <c r="U115" s="91">
        <v>0</v>
      </c>
      <c r="V115" s="91">
        <v>0</v>
      </c>
      <c r="W115" s="91">
        <v>0</v>
      </c>
      <c r="X115" s="91">
        <v>0</v>
      </c>
      <c r="Y115" s="91">
        <v>0</v>
      </c>
      <c r="Z115" s="91"/>
    </row>
    <row r="116" spans="1:26" ht="12.75" customHeight="1">
      <c r="A116" s="32" t="s">
        <v>175</v>
      </c>
      <c r="B116" s="32" t="str">
        <f t="shared" si="0"/>
        <v>Norse2</v>
      </c>
      <c r="C116" s="32" t="s">
        <v>466</v>
      </c>
      <c r="D116" s="32" t="str">
        <f t="shared" si="1"/>
        <v>NorseLineman</v>
      </c>
      <c r="E116" s="32">
        <v>6</v>
      </c>
      <c r="F116" s="32">
        <v>3</v>
      </c>
      <c r="G116" s="32">
        <v>3</v>
      </c>
      <c r="H116" s="32">
        <v>4</v>
      </c>
      <c r="I116" s="32">
        <v>8</v>
      </c>
      <c r="J116" s="32" t="str">
        <f>IF(Roster!$J$24="English",U116,(IF(Roster!$J$24="Español",V116,(IF(Roster!$J$24="Deutsch",W116,(IF(Roster!$J$24="Français",X116)))))))</f>
        <v>Block</v>
      </c>
      <c r="K116" s="31">
        <v>50000</v>
      </c>
      <c r="L116" s="31">
        <f t="shared" si="42"/>
        <v>50</v>
      </c>
      <c r="M116" s="32">
        <v>16</v>
      </c>
      <c r="N116" s="32">
        <v>0</v>
      </c>
      <c r="O116" s="31" t="s">
        <v>250</v>
      </c>
      <c r="P116" s="31" t="s">
        <v>249</v>
      </c>
      <c r="Q116" s="31" t="s">
        <v>249</v>
      </c>
      <c r="R116" s="31" t="s">
        <v>249</v>
      </c>
      <c r="S116" s="31">
        <v>0</v>
      </c>
      <c r="T116" s="91" t="str">
        <f t="shared" ref="T116:T122" si="43">IF(AND(R116&lt;&gt;0,S116&lt;&gt;0),"FULL",(IF(AND(R116=0,S116=0),"PM",IF(R116=0,"P",(IF(S116=0,"M"))))))</f>
        <v>M</v>
      </c>
      <c r="U116" s="91" t="s">
        <v>477</v>
      </c>
      <c r="V116" s="32" t="s">
        <v>478</v>
      </c>
      <c r="W116" s="91" t="s">
        <v>477</v>
      </c>
      <c r="X116" s="91" t="s">
        <v>479</v>
      </c>
      <c r="Y116" s="91"/>
      <c r="Z116" s="91"/>
    </row>
    <row r="117" spans="1:26" ht="12.75" customHeight="1">
      <c r="A117" s="32" t="s">
        <v>175</v>
      </c>
      <c r="B117" s="32" t="str">
        <f t="shared" si="0"/>
        <v>Norse3</v>
      </c>
      <c r="C117" s="32" t="s">
        <v>328</v>
      </c>
      <c r="D117" s="32" t="str">
        <f t="shared" si="1"/>
        <v>NorseThrower</v>
      </c>
      <c r="E117" s="32">
        <v>6</v>
      </c>
      <c r="F117" s="32">
        <v>3</v>
      </c>
      <c r="G117" s="32">
        <v>3</v>
      </c>
      <c r="H117" s="32">
        <v>3</v>
      </c>
      <c r="I117" s="32">
        <v>8</v>
      </c>
      <c r="J117" s="32" t="str">
        <f>IF(Roster!$J$24="English",U117,(IF(Roster!$J$24="Español",V117,(IF(Roster!$J$24="Deutsch",W117,(IF(Roster!$J$24="Français",X117)))))))</f>
        <v>Block, Pass</v>
      </c>
      <c r="K117" s="31">
        <v>70000</v>
      </c>
      <c r="L117" s="31">
        <f t="shared" si="42"/>
        <v>70</v>
      </c>
      <c r="M117" s="32">
        <v>2</v>
      </c>
      <c r="N117" s="32">
        <v>0</v>
      </c>
      <c r="O117" s="31" t="s">
        <v>250</v>
      </c>
      <c r="P117" s="31" t="s">
        <v>249</v>
      </c>
      <c r="Q117" s="31" t="s">
        <v>249</v>
      </c>
      <c r="R117" s="31" t="s">
        <v>250</v>
      </c>
      <c r="S117" s="31">
        <v>0</v>
      </c>
      <c r="T117" s="91" t="str">
        <f t="shared" si="43"/>
        <v>M</v>
      </c>
      <c r="U117" s="91" t="s">
        <v>657</v>
      </c>
      <c r="V117" s="32" t="s">
        <v>658</v>
      </c>
      <c r="W117" s="91" t="s">
        <v>659</v>
      </c>
      <c r="X117" s="91" t="s">
        <v>660</v>
      </c>
      <c r="Y117" s="91"/>
      <c r="Z117" s="91"/>
    </row>
    <row r="118" spans="1:26" ht="12.75" customHeight="1">
      <c r="A118" s="32" t="s">
        <v>175</v>
      </c>
      <c r="B118" s="32" t="str">
        <f t="shared" si="0"/>
        <v>Norse4</v>
      </c>
      <c r="C118" s="32" t="s">
        <v>333</v>
      </c>
      <c r="D118" s="32" t="str">
        <f t="shared" si="1"/>
        <v>NorseCatcher</v>
      </c>
      <c r="E118" s="32">
        <v>7</v>
      </c>
      <c r="F118" s="32">
        <v>3</v>
      </c>
      <c r="G118" s="32">
        <v>3</v>
      </c>
      <c r="H118" s="32">
        <v>5</v>
      </c>
      <c r="I118" s="32">
        <v>8</v>
      </c>
      <c r="J118" s="32" t="str">
        <f>IF(Roster!$J$24="English",U118,(IF(Roster!$J$24="Español",V118,(IF(Roster!$J$24="Deutsch",W118,(IF(Roster!$J$24="Français",X118)))))))</f>
        <v>Block, Dauntless</v>
      </c>
      <c r="K118" s="31">
        <v>90000</v>
      </c>
      <c r="L118" s="31">
        <f t="shared" si="42"/>
        <v>90</v>
      </c>
      <c r="M118" s="32">
        <v>2</v>
      </c>
      <c r="N118" s="32">
        <v>0</v>
      </c>
      <c r="O118" s="31" t="s">
        <v>250</v>
      </c>
      <c r="P118" s="31" t="s">
        <v>250</v>
      </c>
      <c r="Q118" s="31" t="s">
        <v>249</v>
      </c>
      <c r="R118" s="31" t="s">
        <v>249</v>
      </c>
      <c r="S118" s="31">
        <v>0</v>
      </c>
      <c r="T118" s="91" t="str">
        <f t="shared" si="43"/>
        <v>M</v>
      </c>
      <c r="U118" s="91" t="s">
        <v>661</v>
      </c>
      <c r="V118" s="32" t="s">
        <v>662</v>
      </c>
      <c r="W118" s="91" t="s">
        <v>663</v>
      </c>
      <c r="X118" s="91" t="s">
        <v>664</v>
      </c>
      <c r="Y118" s="91"/>
      <c r="Z118" s="91"/>
    </row>
    <row r="119" spans="1:26" ht="12.75" customHeight="1">
      <c r="A119" s="32" t="s">
        <v>175</v>
      </c>
      <c r="B119" s="32" t="str">
        <f t="shared" si="0"/>
        <v>Norse5</v>
      </c>
      <c r="C119" s="32" t="s">
        <v>665</v>
      </c>
      <c r="D119" s="32" t="str">
        <f t="shared" si="1"/>
        <v>NorseBerserker</v>
      </c>
      <c r="E119" s="32">
        <v>6</v>
      </c>
      <c r="F119" s="32">
        <v>3</v>
      </c>
      <c r="G119" s="32">
        <v>3</v>
      </c>
      <c r="H119" s="32">
        <v>5</v>
      </c>
      <c r="I119" s="32">
        <v>8</v>
      </c>
      <c r="J119" s="32" t="str">
        <f>IF(Roster!$J$24="English",U119,(IF(Roster!$J$24="Español",V119,(IF(Roster!$J$24="Deutsch",W119,(IF(Roster!$J$24="Français",X119)))))))</f>
        <v>Block, Frenzy, Jump Up</v>
      </c>
      <c r="K119" s="31">
        <v>90000</v>
      </c>
      <c r="L119" s="31">
        <f t="shared" si="42"/>
        <v>90</v>
      </c>
      <c r="M119" s="32">
        <v>2</v>
      </c>
      <c r="N119" s="32">
        <v>0</v>
      </c>
      <c r="O119" s="31" t="s">
        <v>250</v>
      </c>
      <c r="P119" s="31" t="s">
        <v>249</v>
      </c>
      <c r="Q119" s="31" t="s">
        <v>250</v>
      </c>
      <c r="R119" s="31" t="s">
        <v>249</v>
      </c>
      <c r="S119" s="31">
        <v>0</v>
      </c>
      <c r="T119" s="91" t="str">
        <f t="shared" si="43"/>
        <v>M</v>
      </c>
      <c r="U119" s="91" t="s">
        <v>666</v>
      </c>
      <c r="V119" s="91" t="s">
        <v>667</v>
      </c>
      <c r="W119" s="91" t="s">
        <v>668</v>
      </c>
      <c r="X119" s="91" t="s">
        <v>669</v>
      </c>
      <c r="Y119" s="91"/>
      <c r="Z119" s="91"/>
    </row>
    <row r="120" spans="1:26" ht="12.75" customHeight="1">
      <c r="A120" s="32" t="s">
        <v>175</v>
      </c>
      <c r="B120" s="32" t="str">
        <f t="shared" si="0"/>
        <v>Norse6</v>
      </c>
      <c r="C120" s="32" t="s">
        <v>670</v>
      </c>
      <c r="D120" s="32" t="str">
        <f t="shared" si="1"/>
        <v>NorseUlfwerener</v>
      </c>
      <c r="E120" s="32">
        <v>6</v>
      </c>
      <c r="F120" s="32">
        <v>4</v>
      </c>
      <c r="G120" s="32">
        <v>4</v>
      </c>
      <c r="H120" s="32">
        <v>0</v>
      </c>
      <c r="I120" s="32">
        <v>9</v>
      </c>
      <c r="J120" s="32" t="str">
        <f>IF(Roster!$J$24="English",U120,(IF(Roster!$J$24="Español",V120,(IF(Roster!$J$24="Deutsch",W120,(IF(Roster!$J$24="Français",X120)))))))</f>
        <v>Frenzy</v>
      </c>
      <c r="K120" s="31">
        <v>105000</v>
      </c>
      <c r="L120" s="31">
        <f t="shared" si="42"/>
        <v>105</v>
      </c>
      <c r="M120" s="32">
        <v>2</v>
      </c>
      <c r="N120" s="32">
        <v>0</v>
      </c>
      <c r="O120" s="31" t="s">
        <v>250</v>
      </c>
      <c r="P120" s="31" t="s">
        <v>249</v>
      </c>
      <c r="Q120" s="31" t="s">
        <v>250</v>
      </c>
      <c r="R120" s="225">
        <v>0</v>
      </c>
      <c r="S120" s="31">
        <v>0</v>
      </c>
      <c r="T120" s="91" t="str">
        <f t="shared" si="43"/>
        <v>PM</v>
      </c>
      <c r="U120" s="91" t="s">
        <v>442</v>
      </c>
      <c r="V120" s="91" t="s">
        <v>443</v>
      </c>
      <c r="W120" s="91" t="s">
        <v>444</v>
      </c>
      <c r="X120" s="91" t="s">
        <v>445</v>
      </c>
      <c r="Y120" s="91"/>
      <c r="Z120" s="91"/>
    </row>
    <row r="121" spans="1:26" ht="12.75" customHeight="1">
      <c r="A121" s="32" t="s">
        <v>175</v>
      </c>
      <c r="B121" s="32" t="str">
        <f t="shared" si="0"/>
        <v>Norse7</v>
      </c>
      <c r="C121" s="32" t="s">
        <v>671</v>
      </c>
      <c r="D121" s="32" t="str">
        <f t="shared" si="1"/>
        <v>NorseSnow Troll</v>
      </c>
      <c r="E121" s="32">
        <v>5</v>
      </c>
      <c r="F121" s="32">
        <v>5</v>
      </c>
      <c r="G121" s="32">
        <v>5</v>
      </c>
      <c r="H121" s="32">
        <v>0</v>
      </c>
      <c r="I121" s="32">
        <v>9</v>
      </c>
      <c r="J121" s="32" t="str">
        <f>IF(Roster!$J$24="English",U121,(IF(Roster!$J$24="Español",V121,(IF(Roster!$J$24="Deutsch",W121,(IF(Roster!$J$24="Français",X121)))))))</f>
        <v>Claws, Disturbing Presence, Frenzy, Loner (4+), Unchannelled Fury</v>
      </c>
      <c r="K121" s="31">
        <v>140000</v>
      </c>
      <c r="L121" s="31">
        <f t="shared" si="42"/>
        <v>140</v>
      </c>
      <c r="M121" s="32">
        <v>1</v>
      </c>
      <c r="N121" s="32">
        <v>1</v>
      </c>
      <c r="O121" s="31" t="s">
        <v>249</v>
      </c>
      <c r="P121" s="31" t="s">
        <v>249</v>
      </c>
      <c r="Q121" s="31" t="s">
        <v>250</v>
      </c>
      <c r="R121" s="225">
        <v>0</v>
      </c>
      <c r="S121" s="31">
        <v>0</v>
      </c>
      <c r="T121" s="91" t="str">
        <f t="shared" si="43"/>
        <v>PM</v>
      </c>
      <c r="U121" s="91" t="s">
        <v>672</v>
      </c>
      <c r="V121" s="91" t="s">
        <v>673</v>
      </c>
      <c r="W121" s="91" t="s">
        <v>674</v>
      </c>
      <c r="X121" s="91" t="s">
        <v>675</v>
      </c>
      <c r="Y121" s="91"/>
      <c r="Z121" s="91"/>
    </row>
    <row r="122" spans="1:26" ht="12.75" customHeight="1">
      <c r="A122" s="32" t="s">
        <v>175</v>
      </c>
      <c r="B122" s="32" t="str">
        <f t="shared" si="0"/>
        <v>Norse8</v>
      </c>
      <c r="C122" s="32" t="s">
        <v>593</v>
      </c>
      <c r="D122" s="32" t="str">
        <f t="shared" si="1"/>
        <v>NorseJourneyman</v>
      </c>
      <c r="E122" s="32">
        <v>6</v>
      </c>
      <c r="F122" s="32">
        <v>3</v>
      </c>
      <c r="G122" s="32">
        <v>3</v>
      </c>
      <c r="H122" s="32">
        <v>4</v>
      </c>
      <c r="I122" s="32">
        <v>8</v>
      </c>
      <c r="J122" s="32" t="str">
        <f>IF(Roster!$J$24="English",U122,(IF(Roster!$J$24="Español",V122,(IF(Roster!$J$24="Deutsch",W122,(IF(Roster!$J$24="Français",X122)))))))</f>
        <v>Loner (4+), Block</v>
      </c>
      <c r="K122" s="31">
        <v>0</v>
      </c>
      <c r="L122" s="31">
        <v>50</v>
      </c>
      <c r="M122" s="31">
        <v>11</v>
      </c>
      <c r="N122" s="31">
        <v>0</v>
      </c>
      <c r="O122" s="31" t="s">
        <v>250</v>
      </c>
      <c r="P122" s="31" t="s">
        <v>249</v>
      </c>
      <c r="Q122" s="31" t="s">
        <v>249</v>
      </c>
      <c r="R122" s="31" t="s">
        <v>249</v>
      </c>
      <c r="S122" s="31">
        <v>0</v>
      </c>
      <c r="T122" s="91" t="str">
        <f t="shared" si="43"/>
        <v>M</v>
      </c>
      <c r="U122" s="91" t="s">
        <v>676</v>
      </c>
      <c r="V122" s="91" t="s">
        <v>677</v>
      </c>
      <c r="W122" s="91" t="s">
        <v>678</v>
      </c>
      <c r="X122" s="91" t="s">
        <v>679</v>
      </c>
      <c r="Y122" s="91"/>
      <c r="Z122" s="91"/>
    </row>
    <row r="123" spans="1:26" ht="12.75" customHeight="1">
      <c r="A123" s="32" t="s">
        <v>182</v>
      </c>
      <c r="B123" s="32" t="str">
        <f t="shared" si="0"/>
        <v>Nurgle1</v>
      </c>
      <c r="C123" s="32" t="str">
        <f>""</f>
        <v/>
      </c>
      <c r="D123" s="32" t="str">
        <f t="shared" si="1"/>
        <v>Nurgle</v>
      </c>
      <c r="E123" s="32">
        <v>0</v>
      </c>
      <c r="F123" s="32">
        <v>0</v>
      </c>
      <c r="G123" s="32">
        <v>0</v>
      </c>
      <c r="H123" s="32">
        <v>0</v>
      </c>
      <c r="I123" s="32">
        <v>0</v>
      </c>
      <c r="J123" s="32">
        <f>IF(Roster!$J$24="English",U123,(IF(Roster!$J$24="Español",V123,(IF(Roster!$J$24="Deutsch",W123,(IF(Roster!$J$24="Français",X123)))))))</f>
        <v>0</v>
      </c>
      <c r="K123" s="31">
        <v>0</v>
      </c>
      <c r="L123" s="31">
        <f t="shared" ref="L123:L127" si="44">K123/1000</f>
        <v>0</v>
      </c>
      <c r="M123" s="31">
        <v>0</v>
      </c>
      <c r="N123" s="31">
        <v>0</v>
      </c>
      <c r="O123" s="31"/>
      <c r="P123" s="31"/>
      <c r="Q123" s="31"/>
      <c r="R123" s="31"/>
      <c r="S123" s="31"/>
      <c r="T123" s="91"/>
      <c r="U123" s="91">
        <v>0</v>
      </c>
      <c r="V123" s="91">
        <v>0</v>
      </c>
      <c r="W123" s="91">
        <v>0</v>
      </c>
      <c r="X123" s="91">
        <v>0</v>
      </c>
      <c r="Y123" s="91">
        <v>0</v>
      </c>
      <c r="Z123" s="91"/>
    </row>
    <row r="124" spans="1:26" ht="12.75" customHeight="1">
      <c r="A124" s="32" t="s">
        <v>182</v>
      </c>
      <c r="B124" s="32" t="str">
        <f t="shared" si="0"/>
        <v>Nurgle2</v>
      </c>
      <c r="C124" s="32" t="s">
        <v>680</v>
      </c>
      <c r="D124" s="32" t="str">
        <f t="shared" si="1"/>
        <v>NurgleRotter</v>
      </c>
      <c r="E124" s="32">
        <v>5</v>
      </c>
      <c r="F124" s="32">
        <v>3</v>
      </c>
      <c r="G124" s="32">
        <v>4</v>
      </c>
      <c r="H124" s="32">
        <v>6</v>
      </c>
      <c r="I124" s="32">
        <v>9</v>
      </c>
      <c r="J124" s="32" t="str">
        <f>IF(Roster!$J$24="English",U124,(IF(Roster!$J$24="Español",V124,(IF(Roster!$J$24="Deutsch",W124,(IF(Roster!$J$24="Français",X124)))))))</f>
        <v>Decay, Plague Ridden</v>
      </c>
      <c r="K124" s="31">
        <v>35000</v>
      </c>
      <c r="L124" s="31">
        <f t="shared" si="44"/>
        <v>35</v>
      </c>
      <c r="M124" s="31">
        <v>16</v>
      </c>
      <c r="N124" s="31">
        <v>0</v>
      </c>
      <c r="O124" s="31" t="s">
        <v>250</v>
      </c>
      <c r="P124" s="31" t="s">
        <v>249</v>
      </c>
      <c r="Q124" s="31" t="s">
        <v>249</v>
      </c>
      <c r="R124" s="31" t="s">
        <v>249</v>
      </c>
      <c r="S124" s="31" t="s">
        <v>250</v>
      </c>
      <c r="T124" s="91" t="str">
        <f t="shared" ref="T124:T128" si="45">IF(AND(R124&lt;&gt;0,S124&lt;&gt;0),"FULL",(IF(AND(R124=0,S124=0),"PM",IF(R124=0,"P",(IF(S124=0,"M"))))))</f>
        <v>FULL</v>
      </c>
      <c r="U124" s="91" t="s">
        <v>681</v>
      </c>
      <c r="V124" s="91" t="s">
        <v>682</v>
      </c>
      <c r="W124" s="91" t="s">
        <v>683</v>
      </c>
      <c r="X124" s="91" t="s">
        <v>684</v>
      </c>
      <c r="Y124" s="91"/>
      <c r="Z124" s="91"/>
    </row>
    <row r="125" spans="1:26" ht="12.75" customHeight="1">
      <c r="A125" s="32" t="s">
        <v>182</v>
      </c>
      <c r="B125" s="32" t="str">
        <f t="shared" si="0"/>
        <v>Nurgle3</v>
      </c>
      <c r="C125" s="32" t="s">
        <v>685</v>
      </c>
      <c r="D125" s="32" t="str">
        <f t="shared" si="1"/>
        <v>NurglePestigor</v>
      </c>
      <c r="E125" s="32">
        <v>6</v>
      </c>
      <c r="F125" s="32">
        <v>3</v>
      </c>
      <c r="G125" s="32">
        <v>3</v>
      </c>
      <c r="H125" s="32">
        <v>4</v>
      </c>
      <c r="I125" s="32">
        <v>9</v>
      </c>
      <c r="J125" s="32" t="str">
        <f>IF(Roster!$J$24="English",U125,(IF(Roster!$J$24="Español",V125,(IF(Roster!$J$24="Deutsch",W125,(IF(Roster!$J$24="Français",X125)))))))</f>
        <v>Horns, Plague Ridden, Regeneration</v>
      </c>
      <c r="K125" s="31">
        <v>75000</v>
      </c>
      <c r="L125" s="31">
        <f t="shared" si="44"/>
        <v>75</v>
      </c>
      <c r="M125" s="32">
        <v>4</v>
      </c>
      <c r="N125" s="32">
        <v>0</v>
      </c>
      <c r="O125" s="31" t="s">
        <v>250</v>
      </c>
      <c r="P125" s="31" t="s">
        <v>249</v>
      </c>
      <c r="Q125" s="31" t="s">
        <v>250</v>
      </c>
      <c r="R125" s="31" t="s">
        <v>249</v>
      </c>
      <c r="S125" s="31" t="s">
        <v>250</v>
      </c>
      <c r="T125" s="91" t="str">
        <f t="shared" si="45"/>
        <v>FULL</v>
      </c>
      <c r="U125" s="91" t="s">
        <v>686</v>
      </c>
      <c r="V125" s="91" t="s">
        <v>687</v>
      </c>
      <c r="W125" s="91" t="s">
        <v>688</v>
      </c>
      <c r="X125" s="91" t="s">
        <v>689</v>
      </c>
      <c r="Y125" s="91"/>
      <c r="Z125" s="91"/>
    </row>
    <row r="126" spans="1:26" ht="12.75" customHeight="1">
      <c r="A126" s="32" t="s">
        <v>182</v>
      </c>
      <c r="B126" s="32" t="str">
        <f t="shared" si="0"/>
        <v>Nurgle4</v>
      </c>
      <c r="C126" s="32" t="s">
        <v>690</v>
      </c>
      <c r="D126" s="32" t="str">
        <f t="shared" si="1"/>
        <v>NurgleBloater</v>
      </c>
      <c r="E126" s="32">
        <v>4</v>
      </c>
      <c r="F126" s="32">
        <v>4</v>
      </c>
      <c r="G126" s="32">
        <v>4</v>
      </c>
      <c r="H126" s="32">
        <v>6</v>
      </c>
      <c r="I126" s="32">
        <v>10</v>
      </c>
      <c r="J126" s="32" t="str">
        <f>IF(Roster!$J$24="English",U126,(IF(Roster!$J$24="Español",V126,(IF(Roster!$J$24="Deutsch",W126,(IF(Roster!$J$24="Français",X126)))))))</f>
        <v>Disturbing Presence, Foul Appearance, Plague Ridden, Regeneration</v>
      </c>
      <c r="K126" s="31">
        <v>115000</v>
      </c>
      <c r="L126" s="31">
        <f t="shared" si="44"/>
        <v>115</v>
      </c>
      <c r="M126" s="32">
        <v>4</v>
      </c>
      <c r="N126" s="32">
        <v>0</v>
      </c>
      <c r="O126" s="31" t="s">
        <v>250</v>
      </c>
      <c r="P126" s="31" t="s">
        <v>249</v>
      </c>
      <c r="Q126" s="31" t="s">
        <v>250</v>
      </c>
      <c r="R126" s="31" t="s">
        <v>249</v>
      </c>
      <c r="S126" s="31" t="s">
        <v>250</v>
      </c>
      <c r="T126" s="91" t="str">
        <f t="shared" si="45"/>
        <v>FULL</v>
      </c>
      <c r="U126" s="91" t="s">
        <v>691</v>
      </c>
      <c r="V126" s="91" t="s">
        <v>692</v>
      </c>
      <c r="W126" s="91" t="s">
        <v>693</v>
      </c>
      <c r="X126" s="91" t="s">
        <v>694</v>
      </c>
      <c r="Y126" s="91"/>
      <c r="Z126" s="91"/>
    </row>
    <row r="127" spans="1:26" ht="12.75" customHeight="1">
      <c r="A127" s="32" t="s">
        <v>182</v>
      </c>
      <c r="B127" s="32" t="str">
        <f t="shared" si="0"/>
        <v>Nurgle5</v>
      </c>
      <c r="C127" s="32" t="s">
        <v>695</v>
      </c>
      <c r="D127" s="32" t="str">
        <f t="shared" si="1"/>
        <v>NurgleRotspawn</v>
      </c>
      <c r="E127" s="32">
        <v>4</v>
      </c>
      <c r="F127" s="32">
        <v>5</v>
      </c>
      <c r="G127" s="32">
        <v>5</v>
      </c>
      <c r="H127" s="32">
        <v>0</v>
      </c>
      <c r="I127" s="32">
        <v>10</v>
      </c>
      <c r="J127" s="32" t="str">
        <f>IF(Roster!$J$24="English",U127,(IF(Roster!$J$24="Español",V127,(IF(Roster!$J$24="Deutsch",W127,(IF(Roster!$J$24="Français",X127)))))))</f>
        <v>Disturbing Presence, Foul Appearance, Loner (4+), Mighty Blow (+1), Plague Ridden, Really Stupid, Regeneration, Tentacles</v>
      </c>
      <c r="K127" s="31">
        <v>140000</v>
      </c>
      <c r="L127" s="31">
        <f t="shared" si="44"/>
        <v>140</v>
      </c>
      <c r="M127" s="32">
        <v>1</v>
      </c>
      <c r="N127" s="32">
        <v>1</v>
      </c>
      <c r="O127" s="31" t="s">
        <v>249</v>
      </c>
      <c r="P127" s="31" t="s">
        <v>249</v>
      </c>
      <c r="Q127" s="31" t="s">
        <v>250</v>
      </c>
      <c r="R127" s="225">
        <v>0</v>
      </c>
      <c r="S127" s="31" t="s">
        <v>249</v>
      </c>
      <c r="T127" s="91" t="str">
        <f t="shared" si="45"/>
        <v>P</v>
      </c>
      <c r="U127" s="91" t="s">
        <v>696</v>
      </c>
      <c r="V127" s="91" t="s">
        <v>697</v>
      </c>
      <c r="W127" s="91" t="s">
        <v>698</v>
      </c>
      <c r="X127" s="91" t="s">
        <v>699</v>
      </c>
      <c r="Y127" s="91"/>
      <c r="Z127" s="91"/>
    </row>
    <row r="128" spans="1:26" ht="12.75" customHeight="1">
      <c r="A128" s="32" t="s">
        <v>182</v>
      </c>
      <c r="B128" s="32" t="str">
        <f t="shared" si="0"/>
        <v>Nurgle6</v>
      </c>
      <c r="C128" s="32" t="s">
        <v>700</v>
      </c>
      <c r="D128" s="32" t="str">
        <f t="shared" si="1"/>
        <v>NurgleJourney Rotter</v>
      </c>
      <c r="E128" s="32">
        <v>5</v>
      </c>
      <c r="F128" s="32">
        <v>3</v>
      </c>
      <c r="G128" s="32">
        <v>3</v>
      </c>
      <c r="H128" s="32">
        <v>6</v>
      </c>
      <c r="I128" s="32">
        <v>9</v>
      </c>
      <c r="J128" s="32" t="str">
        <f>IF(Roster!$J$24="English",U128,(IF(Roster!$J$24="Español",V128,(IF(Roster!$J$24="Deutsch",W128,(IF(Roster!$J$24="Français",X128)))))))</f>
        <v>Loner (4+), Decay, Plague Ridden</v>
      </c>
      <c r="K128" s="31">
        <v>0</v>
      </c>
      <c r="L128" s="31">
        <v>35</v>
      </c>
      <c r="M128" s="32">
        <v>11</v>
      </c>
      <c r="N128" s="32">
        <v>0</v>
      </c>
      <c r="O128" s="31" t="s">
        <v>250</v>
      </c>
      <c r="P128" s="31" t="s">
        <v>249</v>
      </c>
      <c r="Q128" s="31" t="s">
        <v>249</v>
      </c>
      <c r="R128" s="31" t="s">
        <v>249</v>
      </c>
      <c r="S128" s="31" t="s">
        <v>250</v>
      </c>
      <c r="T128" s="91" t="str">
        <f t="shared" si="45"/>
        <v>FULL</v>
      </c>
      <c r="U128" s="91" t="s">
        <v>701</v>
      </c>
      <c r="V128" s="32" t="s">
        <v>702</v>
      </c>
      <c r="W128" s="91" t="s">
        <v>703</v>
      </c>
      <c r="X128" s="91" t="s">
        <v>704</v>
      </c>
      <c r="Y128" s="91"/>
      <c r="Z128" s="91"/>
    </row>
    <row r="129" spans="1:26" ht="12.75" customHeight="1">
      <c r="A129" s="32" t="s">
        <v>187</v>
      </c>
      <c r="B129" s="32" t="str">
        <f t="shared" si="0"/>
        <v>Ogre1</v>
      </c>
      <c r="C129" s="32" t="str">
        <f>""</f>
        <v/>
      </c>
      <c r="D129" s="32" t="str">
        <f t="shared" si="1"/>
        <v>Ogre</v>
      </c>
      <c r="E129" s="32">
        <v>0</v>
      </c>
      <c r="F129" s="32">
        <v>0</v>
      </c>
      <c r="G129" s="32">
        <v>0</v>
      </c>
      <c r="H129" s="32">
        <v>0</v>
      </c>
      <c r="I129" s="32">
        <v>0</v>
      </c>
      <c r="J129" s="32">
        <f>IF(Roster!$J$24="English",U129,(IF(Roster!$J$24="Español",V129,(IF(Roster!$J$24="Deutsch",W129,(IF(Roster!$J$24="Français",X129)))))))</f>
        <v>0</v>
      </c>
      <c r="K129" s="31">
        <v>0</v>
      </c>
      <c r="L129" s="31">
        <f>K129/1000</f>
        <v>0</v>
      </c>
      <c r="M129" s="31">
        <v>0</v>
      </c>
      <c r="N129" s="31">
        <v>0</v>
      </c>
      <c r="O129" s="31"/>
      <c r="P129" s="31"/>
      <c r="Q129" s="31"/>
      <c r="R129" s="31"/>
      <c r="S129" s="31"/>
      <c r="T129" s="91"/>
      <c r="U129" s="91">
        <v>0</v>
      </c>
      <c r="V129" s="91">
        <v>0</v>
      </c>
      <c r="W129" s="91">
        <v>0</v>
      </c>
      <c r="X129" s="91">
        <v>0</v>
      </c>
      <c r="Y129" s="91">
        <v>0</v>
      </c>
      <c r="Z129" s="91"/>
    </row>
    <row r="130" spans="1:26" ht="12.75" customHeight="1">
      <c r="A130" s="32" t="s">
        <v>187</v>
      </c>
      <c r="B130" s="32" t="str">
        <f t="shared" si="0"/>
        <v>Ogre2</v>
      </c>
      <c r="C130" s="32" t="s">
        <v>705</v>
      </c>
      <c r="D130" s="32" t="str">
        <f t="shared" si="1"/>
        <v>OgreGnoblar</v>
      </c>
      <c r="E130" s="32">
        <v>5</v>
      </c>
      <c r="F130" s="32">
        <v>1</v>
      </c>
      <c r="G130" s="32">
        <v>3</v>
      </c>
      <c r="H130" s="32">
        <v>5</v>
      </c>
      <c r="I130" s="32">
        <v>6</v>
      </c>
      <c r="J130" s="32" t="str">
        <f>IF(Roster!$J$24="English",U130,(IF(Roster!$J$24="Español",V130,(IF(Roster!$J$24="Deutsch",W130,(IF(Roster!$J$24="Français",X130)))))))</f>
        <v>Dodge, Right Stuff, Side Step, Stunty, Titchy</v>
      </c>
      <c r="K130" s="31">
        <v>15000</v>
      </c>
      <c r="L130" s="31">
        <f>IF(Roster!G55="NO",(K130/1000),0)</f>
        <v>0</v>
      </c>
      <c r="M130" s="32">
        <v>16</v>
      </c>
      <c r="N130" s="32">
        <v>0</v>
      </c>
      <c r="O130" s="31" t="s">
        <v>249</v>
      </c>
      <c r="P130" s="31" t="s">
        <v>250</v>
      </c>
      <c r="Q130" s="31" t="s">
        <v>249</v>
      </c>
      <c r="R130" s="31" t="s">
        <v>249</v>
      </c>
      <c r="S130" s="31">
        <v>0</v>
      </c>
      <c r="T130" s="91" t="str">
        <f t="shared" ref="T130:T133" si="46">IF(AND(R130&lt;&gt;0,S130&lt;&gt;0),"FULL",(IF(AND(R130=0,S130=0),"PM",IF(R130=0,"P",(IF(S130=0,"M"))))))</f>
        <v>M</v>
      </c>
      <c r="U130" s="91" t="s">
        <v>706</v>
      </c>
      <c r="V130" s="91" t="s">
        <v>707</v>
      </c>
      <c r="W130" s="91" t="s">
        <v>708</v>
      </c>
      <c r="X130" s="91" t="s">
        <v>709</v>
      </c>
      <c r="Y130" s="91"/>
      <c r="Z130" s="91"/>
    </row>
    <row r="131" spans="1:26" ht="12.75" customHeight="1">
      <c r="A131" s="32" t="s">
        <v>187</v>
      </c>
      <c r="B131" s="32" t="str">
        <f t="shared" si="0"/>
        <v>Ogre3</v>
      </c>
      <c r="C131" s="32" t="s">
        <v>710</v>
      </c>
      <c r="D131" s="32" t="str">
        <f t="shared" si="1"/>
        <v xml:space="preserve">OgreOgre </v>
      </c>
      <c r="E131" s="32">
        <v>5</v>
      </c>
      <c r="F131" s="32">
        <v>5</v>
      </c>
      <c r="G131" s="32">
        <v>4</v>
      </c>
      <c r="H131" s="32">
        <v>5</v>
      </c>
      <c r="I131" s="32">
        <v>10</v>
      </c>
      <c r="J131" s="32" t="str">
        <f>IF(Roster!$J$24="English",U131,(IF(Roster!$J$24="Español",V131,(IF(Roster!$J$24="Deutsch",W131,(IF(Roster!$J$24="Français",X131)))))))</f>
        <v>Bone Head, Mighty Blow (+1), Thick Skull, Throw Team-mate</v>
      </c>
      <c r="K131" s="31">
        <v>140000</v>
      </c>
      <c r="L131" s="31">
        <f t="shared" ref="L131:L132" si="47">K131/1000</f>
        <v>140</v>
      </c>
      <c r="M131" s="32">
        <v>5</v>
      </c>
      <c r="N131" s="32">
        <v>1</v>
      </c>
      <c r="O131" s="31" t="s">
        <v>249</v>
      </c>
      <c r="P131" s="31" t="s">
        <v>249</v>
      </c>
      <c r="Q131" s="31" t="s">
        <v>250</v>
      </c>
      <c r="R131" s="31" t="s">
        <v>249</v>
      </c>
      <c r="S131" s="31">
        <v>0</v>
      </c>
      <c r="T131" s="91" t="str">
        <f t="shared" si="46"/>
        <v>M</v>
      </c>
      <c r="U131" s="91" t="s">
        <v>711</v>
      </c>
      <c r="V131" s="32" t="s">
        <v>712</v>
      </c>
      <c r="W131" s="91" t="s">
        <v>713</v>
      </c>
      <c r="X131" s="91" t="s">
        <v>714</v>
      </c>
      <c r="Y131" s="91"/>
      <c r="Z131" s="91"/>
    </row>
    <row r="132" spans="1:26" ht="12.75" customHeight="1">
      <c r="A132" s="32" t="s">
        <v>187</v>
      </c>
      <c r="B132" s="32" t="str">
        <f t="shared" si="0"/>
        <v>Ogre4</v>
      </c>
      <c r="C132" s="32" t="s">
        <v>715</v>
      </c>
      <c r="D132" s="32" t="str">
        <f t="shared" si="1"/>
        <v>OgreRunt Punter</v>
      </c>
      <c r="E132" s="32">
        <v>5</v>
      </c>
      <c r="F132" s="32">
        <v>5</v>
      </c>
      <c r="G132" s="32">
        <v>4</v>
      </c>
      <c r="H132" s="32">
        <v>4</v>
      </c>
      <c r="I132" s="32">
        <v>10</v>
      </c>
      <c r="J132" s="32" t="str">
        <f>IF(Roster!$J$24="English",U132,(IF(Roster!$J$24="Español",V132,(IF(Roster!$J$24="Deutsch",W132,(IF(Roster!$J$24="Français",X132)))))))</f>
        <v>Bone Head, Kick Teammate, Mighty Blow (+1), Thick Skull</v>
      </c>
      <c r="K132" s="31">
        <v>145000</v>
      </c>
      <c r="L132" s="31">
        <f t="shared" si="47"/>
        <v>145</v>
      </c>
      <c r="M132" s="32">
        <v>1</v>
      </c>
      <c r="N132" s="32">
        <v>1</v>
      </c>
      <c r="O132" s="31" t="s">
        <v>249</v>
      </c>
      <c r="P132" s="31" t="s">
        <v>249</v>
      </c>
      <c r="Q132" s="31" t="s">
        <v>250</v>
      </c>
      <c r="R132" s="31" t="s">
        <v>250</v>
      </c>
      <c r="S132" s="31">
        <v>0</v>
      </c>
      <c r="T132" s="91" t="str">
        <f t="shared" si="46"/>
        <v>M</v>
      </c>
      <c r="U132" s="91" t="s">
        <v>716</v>
      </c>
      <c r="V132" s="32" t="s">
        <v>717</v>
      </c>
      <c r="W132" s="91" t="s">
        <v>718</v>
      </c>
      <c r="X132" s="91" t="s">
        <v>719</v>
      </c>
      <c r="Y132" s="91"/>
      <c r="Z132" s="91"/>
    </row>
    <row r="133" spans="1:26" ht="12.75" customHeight="1">
      <c r="A133" s="32" t="s">
        <v>187</v>
      </c>
      <c r="B133" s="32" t="str">
        <f t="shared" si="0"/>
        <v>Ogre5</v>
      </c>
      <c r="C133" s="32" t="s">
        <v>720</v>
      </c>
      <c r="D133" s="32" t="str">
        <f t="shared" si="1"/>
        <v>OgreJourney Gnoblar</v>
      </c>
      <c r="E133" s="32">
        <v>5</v>
      </c>
      <c r="F133" s="32">
        <v>1</v>
      </c>
      <c r="G133" s="32">
        <v>3</v>
      </c>
      <c r="H133" s="32">
        <v>5</v>
      </c>
      <c r="I133" s="32">
        <v>6</v>
      </c>
      <c r="J133" s="32" t="str">
        <f>IF(Roster!$J$24="English",U133,(IF(Roster!$J$24="Español",V133,(IF(Roster!$J$24="Deutsch",W133,(IF(Roster!$J$24="Français",X133)))))))</f>
        <v>Loner (4+), Dodge, Right Stuff, Side Step, Stunty, Titchy</v>
      </c>
      <c r="K133" s="31">
        <v>0</v>
      </c>
      <c r="L133" s="31">
        <f>IF(Roster!G55="NO",(K133/1000),0)</f>
        <v>0</v>
      </c>
      <c r="M133" s="32">
        <v>11</v>
      </c>
      <c r="N133" s="32">
        <v>0</v>
      </c>
      <c r="O133" s="31" t="s">
        <v>249</v>
      </c>
      <c r="P133" s="31" t="s">
        <v>250</v>
      </c>
      <c r="Q133" s="31" t="s">
        <v>249</v>
      </c>
      <c r="R133" s="31" t="s">
        <v>249</v>
      </c>
      <c r="S133" s="31">
        <v>0</v>
      </c>
      <c r="T133" s="91" t="str">
        <f t="shared" si="46"/>
        <v>M</v>
      </c>
      <c r="U133" s="91" t="s">
        <v>721</v>
      </c>
      <c r="V133" s="32" t="s">
        <v>722</v>
      </c>
      <c r="W133" s="91" t="s">
        <v>723</v>
      </c>
      <c r="X133" s="91" t="s">
        <v>724</v>
      </c>
      <c r="Y133" s="91"/>
      <c r="Z133" s="91"/>
    </row>
    <row r="134" spans="1:26" ht="12.75" customHeight="1">
      <c r="A134" s="32" t="s">
        <v>193</v>
      </c>
      <c r="B134" s="32" t="str">
        <f t="shared" si="0"/>
        <v>Old World Alliance1</v>
      </c>
      <c r="C134" s="32" t="str">
        <f>""</f>
        <v/>
      </c>
      <c r="D134" s="32" t="str">
        <f t="shared" si="1"/>
        <v>Old World Alliance</v>
      </c>
      <c r="E134" s="32">
        <v>0</v>
      </c>
      <c r="F134" s="32">
        <v>0</v>
      </c>
      <c r="G134" s="32">
        <v>0</v>
      </c>
      <c r="H134" s="32">
        <v>0</v>
      </c>
      <c r="I134" s="32">
        <v>0</v>
      </c>
      <c r="J134" s="32">
        <f>IF(Roster!$J$24="English",U134,(IF(Roster!$J$24="Español",V134,(IF(Roster!$J$24="Deutsch",W134,(IF(Roster!$J$24="Français",X134)))))))</f>
        <v>0</v>
      </c>
      <c r="K134" s="31">
        <v>0</v>
      </c>
      <c r="L134" s="31">
        <f t="shared" ref="L134:L145" si="48">K134/1000</f>
        <v>0</v>
      </c>
      <c r="M134" s="31">
        <v>0</v>
      </c>
      <c r="N134" s="31">
        <v>0</v>
      </c>
      <c r="O134" s="32"/>
      <c r="P134" s="32"/>
      <c r="Q134" s="32"/>
      <c r="R134" s="32"/>
      <c r="S134" s="32"/>
      <c r="T134" s="91"/>
      <c r="U134" s="91">
        <v>0</v>
      </c>
      <c r="V134" s="91">
        <v>0</v>
      </c>
      <c r="W134" s="91">
        <v>0</v>
      </c>
      <c r="X134" s="91">
        <v>0</v>
      </c>
      <c r="Y134" s="91">
        <v>0</v>
      </c>
      <c r="Z134" s="91"/>
    </row>
    <row r="135" spans="1:26" ht="12.75" customHeight="1">
      <c r="A135" s="32" t="s">
        <v>193</v>
      </c>
      <c r="B135" s="32" t="str">
        <f t="shared" si="0"/>
        <v>Old World Alliance2</v>
      </c>
      <c r="C135" s="32" t="s">
        <v>466</v>
      </c>
      <c r="D135" s="32" t="str">
        <f t="shared" si="1"/>
        <v>Old World AllianceLineman</v>
      </c>
      <c r="E135" s="32">
        <v>6</v>
      </c>
      <c r="F135" s="32">
        <v>3</v>
      </c>
      <c r="G135" s="32">
        <v>3</v>
      </c>
      <c r="H135" s="32">
        <v>4</v>
      </c>
      <c r="I135" s="32">
        <v>9</v>
      </c>
      <c r="J135" s="32" t="str">
        <f>IF(Roster!$J$24="English",U135,(IF(Roster!$J$24="Español",V135,(IF(Roster!$J$24="Deutsch",W135,(IF(Roster!$J$24="Français",X135)))))))</f>
        <v/>
      </c>
      <c r="K135" s="31">
        <v>50000</v>
      </c>
      <c r="L135" s="31">
        <f t="shared" si="48"/>
        <v>50</v>
      </c>
      <c r="M135" s="32">
        <v>12</v>
      </c>
      <c r="N135" s="32">
        <v>0</v>
      </c>
      <c r="O135" s="31" t="s">
        <v>250</v>
      </c>
      <c r="P135" s="31" t="s">
        <v>249</v>
      </c>
      <c r="Q135" s="31" t="s">
        <v>249</v>
      </c>
      <c r="R135" s="31" t="s">
        <v>249</v>
      </c>
      <c r="S135" s="31">
        <v>0</v>
      </c>
      <c r="T135" s="91" t="str">
        <f t="shared" ref="T135:T146" si="49">IF(AND(R135&lt;&gt;0,S135&lt;&gt;0),"FULL",(IF(AND(R135=0,S135=0),"PM",IF(R135=0,"P",(IF(S135=0,"M"))))))</f>
        <v>M</v>
      </c>
      <c r="U135" s="91" t="str">
        <f t="shared" ref="U135:Y135" si="50">""</f>
        <v/>
      </c>
      <c r="V135" s="91" t="str">
        <f t="shared" si="50"/>
        <v/>
      </c>
      <c r="W135" s="91" t="str">
        <f t="shared" si="50"/>
        <v/>
      </c>
      <c r="X135" s="91" t="str">
        <f t="shared" si="50"/>
        <v/>
      </c>
      <c r="Y135" s="91" t="str">
        <f t="shared" si="50"/>
        <v/>
      </c>
      <c r="Z135" s="91"/>
    </row>
    <row r="136" spans="1:26" ht="12.75" customHeight="1">
      <c r="A136" s="32" t="s">
        <v>193</v>
      </c>
      <c r="B136" s="32" t="str">
        <f t="shared" si="0"/>
        <v>Old World Alliance3</v>
      </c>
      <c r="C136" s="32" t="s">
        <v>333</v>
      </c>
      <c r="D136" s="32" t="str">
        <f t="shared" si="1"/>
        <v>Old World AllianceCatcher</v>
      </c>
      <c r="E136" s="32">
        <v>8</v>
      </c>
      <c r="F136" s="32">
        <v>2</v>
      </c>
      <c r="G136" s="32">
        <v>3</v>
      </c>
      <c r="H136" s="32">
        <v>5</v>
      </c>
      <c r="I136" s="32">
        <v>8</v>
      </c>
      <c r="J136" s="32" t="str">
        <f>IF(Roster!$J$24="English",U136,(IF(Roster!$J$24="Español",V136,(IF(Roster!$J$24="Deutsch",W136,(IF(Roster!$J$24="Français",X136)))))))</f>
        <v>Animosity (all Dwarf and Halfling team-mates), Catch, Dodge</v>
      </c>
      <c r="K136" s="31">
        <v>65000</v>
      </c>
      <c r="L136" s="31">
        <f t="shared" si="48"/>
        <v>65</v>
      </c>
      <c r="M136" s="32">
        <v>1</v>
      </c>
      <c r="N136" s="32">
        <v>0</v>
      </c>
      <c r="O136" s="31" t="s">
        <v>250</v>
      </c>
      <c r="P136" s="31" t="s">
        <v>250</v>
      </c>
      <c r="Q136" s="31" t="s">
        <v>249</v>
      </c>
      <c r="R136" s="31" t="s">
        <v>249</v>
      </c>
      <c r="S136" s="31">
        <v>0</v>
      </c>
      <c r="T136" s="91" t="str">
        <f t="shared" si="49"/>
        <v>M</v>
      </c>
      <c r="U136" s="91" t="s">
        <v>725</v>
      </c>
      <c r="V136" s="32" t="s">
        <v>726</v>
      </c>
      <c r="W136" s="91" t="s">
        <v>727</v>
      </c>
      <c r="X136" s="91" t="s">
        <v>728</v>
      </c>
      <c r="Y136" s="91"/>
      <c r="Z136" s="91"/>
    </row>
    <row r="137" spans="1:26" ht="12.75" customHeight="1">
      <c r="A137" s="32" t="s">
        <v>193</v>
      </c>
      <c r="B137" s="32" t="str">
        <f t="shared" si="0"/>
        <v>Old World Alliance4</v>
      </c>
      <c r="C137" s="32" t="s">
        <v>328</v>
      </c>
      <c r="D137" s="32" t="str">
        <f t="shared" si="1"/>
        <v>Old World AllianceThrower</v>
      </c>
      <c r="E137" s="32">
        <v>6</v>
      </c>
      <c r="F137" s="32">
        <v>3</v>
      </c>
      <c r="G137" s="32">
        <v>3</v>
      </c>
      <c r="H137" s="32">
        <v>3</v>
      </c>
      <c r="I137" s="32">
        <v>9</v>
      </c>
      <c r="J137" s="32" t="str">
        <f>IF(Roster!$J$24="English",U137,(IF(Roster!$J$24="Español",V137,(IF(Roster!$J$24="Deutsch",W137,(IF(Roster!$J$24="Français",X137)))))))</f>
        <v>Animosity (all Dwarf and Halfling team-mates), Pass, Sure Hands</v>
      </c>
      <c r="K137" s="31">
        <v>80000</v>
      </c>
      <c r="L137" s="31">
        <f t="shared" si="48"/>
        <v>80</v>
      </c>
      <c r="M137" s="32">
        <v>1</v>
      </c>
      <c r="N137" s="32">
        <v>0</v>
      </c>
      <c r="O137" s="31" t="s">
        <v>250</v>
      </c>
      <c r="P137" s="31" t="s">
        <v>249</v>
      </c>
      <c r="Q137" s="31" t="s">
        <v>249</v>
      </c>
      <c r="R137" s="31" t="s">
        <v>250</v>
      </c>
      <c r="S137" s="31">
        <v>0</v>
      </c>
      <c r="T137" s="91" t="str">
        <f t="shared" si="49"/>
        <v>M</v>
      </c>
      <c r="U137" s="91" t="s">
        <v>729</v>
      </c>
      <c r="V137" s="32" t="s">
        <v>730</v>
      </c>
      <c r="W137" s="91" t="s">
        <v>731</v>
      </c>
      <c r="X137" s="91" t="s">
        <v>732</v>
      </c>
      <c r="Y137" s="91"/>
      <c r="Z137" s="91"/>
    </row>
    <row r="138" spans="1:26" ht="12.75" customHeight="1">
      <c r="A138" s="32" t="s">
        <v>193</v>
      </c>
      <c r="B138" s="32" t="str">
        <f t="shared" si="0"/>
        <v>Old World Alliance5</v>
      </c>
      <c r="C138" s="32" t="s">
        <v>338</v>
      </c>
      <c r="D138" s="32" t="str">
        <f t="shared" si="1"/>
        <v>Old World AllianceBlitzer</v>
      </c>
      <c r="E138" s="32">
        <v>7</v>
      </c>
      <c r="F138" s="32">
        <v>3</v>
      </c>
      <c r="G138" s="32">
        <v>3</v>
      </c>
      <c r="H138" s="32">
        <v>4</v>
      </c>
      <c r="I138" s="32">
        <v>9</v>
      </c>
      <c r="J138" s="32" t="str">
        <f>IF(Roster!$J$24="English",U138,(IF(Roster!$J$24="Español",V138,(IF(Roster!$J$24="Deutsch",W138,(IF(Roster!$J$24="Français",X138)))))))</f>
        <v>Animosity (all Dwarf and Halfling team-mates), Block</v>
      </c>
      <c r="K138" s="31">
        <v>90000</v>
      </c>
      <c r="L138" s="31">
        <f t="shared" si="48"/>
        <v>90</v>
      </c>
      <c r="M138" s="32">
        <v>1</v>
      </c>
      <c r="N138" s="32">
        <v>0</v>
      </c>
      <c r="O138" s="31" t="s">
        <v>250</v>
      </c>
      <c r="P138" s="31" t="s">
        <v>249</v>
      </c>
      <c r="Q138" s="31" t="s">
        <v>250</v>
      </c>
      <c r="R138" s="31" t="s">
        <v>249</v>
      </c>
      <c r="S138" s="31">
        <v>0</v>
      </c>
      <c r="T138" s="91" t="str">
        <f t="shared" si="49"/>
        <v>M</v>
      </c>
      <c r="U138" s="91" t="s">
        <v>733</v>
      </c>
      <c r="V138" s="32" t="s">
        <v>734</v>
      </c>
      <c r="W138" s="91" t="s">
        <v>735</v>
      </c>
      <c r="X138" s="91" t="s">
        <v>736</v>
      </c>
      <c r="Y138" s="91"/>
      <c r="Z138" s="91"/>
    </row>
    <row r="139" spans="1:26" ht="12.75" customHeight="1">
      <c r="A139" s="32" t="s">
        <v>193</v>
      </c>
      <c r="B139" s="32" t="str">
        <f t="shared" si="0"/>
        <v>Old World Alliance6</v>
      </c>
      <c r="C139" s="32" t="s">
        <v>560</v>
      </c>
      <c r="D139" s="32" t="str">
        <f t="shared" si="1"/>
        <v>Old World AllianceHalfling Hopeful</v>
      </c>
      <c r="E139" s="32">
        <v>5</v>
      </c>
      <c r="F139" s="32">
        <v>2</v>
      </c>
      <c r="G139" s="32">
        <v>3</v>
      </c>
      <c r="H139" s="32">
        <v>4</v>
      </c>
      <c r="I139" s="32">
        <v>7</v>
      </c>
      <c r="J139" s="32" t="str">
        <f>IF(Roster!$J$24="English",U139,(IF(Roster!$J$24="Español",V139,(IF(Roster!$J$24="Deutsch",W139,(IF(Roster!$J$24="Français",X139)))))))</f>
        <v>Animosity (all Dwarf and Human team-mates), Dodge, Right Stuff, Stunty</v>
      </c>
      <c r="K139" s="31">
        <v>30000</v>
      </c>
      <c r="L139" s="31">
        <f t="shared" si="48"/>
        <v>30</v>
      </c>
      <c r="M139" s="32">
        <v>2</v>
      </c>
      <c r="N139" s="32">
        <v>0</v>
      </c>
      <c r="O139" s="31" t="s">
        <v>249</v>
      </c>
      <c r="P139" s="31" t="s">
        <v>250</v>
      </c>
      <c r="Q139" s="31" t="s">
        <v>249</v>
      </c>
      <c r="R139" s="31" t="s">
        <v>249</v>
      </c>
      <c r="S139" s="31">
        <v>0</v>
      </c>
      <c r="T139" s="91" t="str">
        <f t="shared" si="49"/>
        <v>M</v>
      </c>
      <c r="U139" s="91" t="s">
        <v>737</v>
      </c>
      <c r="V139" s="32" t="s">
        <v>738</v>
      </c>
      <c r="W139" s="91" t="s">
        <v>739</v>
      </c>
      <c r="X139" s="91" t="s">
        <v>740</v>
      </c>
      <c r="Y139" s="91"/>
      <c r="Z139" s="91"/>
    </row>
    <row r="140" spans="1:26" ht="12.75" customHeight="1">
      <c r="A140" s="32" t="s">
        <v>193</v>
      </c>
      <c r="B140" s="32" t="str">
        <f t="shared" si="0"/>
        <v>Old World Alliance7</v>
      </c>
      <c r="C140" s="32" t="s">
        <v>741</v>
      </c>
      <c r="D140" s="32" t="str">
        <f t="shared" si="1"/>
        <v>Old World AllianceDwarf Blocker</v>
      </c>
      <c r="E140" s="32">
        <v>4</v>
      </c>
      <c r="F140" s="32">
        <v>3</v>
      </c>
      <c r="G140" s="32">
        <v>4</v>
      </c>
      <c r="H140" s="32">
        <v>5</v>
      </c>
      <c r="I140" s="32">
        <v>10</v>
      </c>
      <c r="J140" s="32" t="str">
        <f>IF(Roster!$J$24="English",U140,(IF(Roster!$J$24="Español",V140,(IF(Roster!$J$24="Deutsch",W140,(IF(Roster!$J$24="Français",X140)))))))</f>
        <v>Arm Bar, Brawler, Loner (3+), Thick Skull</v>
      </c>
      <c r="K140" s="31">
        <v>75000</v>
      </c>
      <c r="L140" s="31">
        <f t="shared" si="48"/>
        <v>75</v>
      </c>
      <c r="M140" s="224">
        <v>2</v>
      </c>
      <c r="N140" s="224">
        <v>0</v>
      </c>
      <c r="O140" s="31" t="s">
        <v>250</v>
      </c>
      <c r="P140" s="31" t="s">
        <v>249</v>
      </c>
      <c r="Q140" s="31" t="s">
        <v>250</v>
      </c>
      <c r="R140" s="31" t="s">
        <v>249</v>
      </c>
      <c r="S140" s="31">
        <v>0</v>
      </c>
      <c r="T140" s="91" t="str">
        <f t="shared" si="49"/>
        <v>M</v>
      </c>
      <c r="U140" s="91" t="s">
        <v>742</v>
      </c>
      <c r="V140" s="32" t="s">
        <v>743</v>
      </c>
      <c r="W140" s="91" t="s">
        <v>744</v>
      </c>
      <c r="X140" s="91" t="s">
        <v>745</v>
      </c>
      <c r="Y140" s="91"/>
      <c r="Z140" s="91"/>
    </row>
    <row r="141" spans="1:26" ht="12.75" customHeight="1">
      <c r="A141" s="32" t="s">
        <v>193</v>
      </c>
      <c r="B141" s="32" t="str">
        <f t="shared" si="0"/>
        <v>Old World Alliance8</v>
      </c>
      <c r="C141" s="32" t="s">
        <v>746</v>
      </c>
      <c r="D141" s="32" t="str">
        <f t="shared" si="1"/>
        <v>Old World AllianceDwarf Runner</v>
      </c>
      <c r="E141" s="32">
        <v>6</v>
      </c>
      <c r="F141" s="32">
        <v>3</v>
      </c>
      <c r="G141" s="32">
        <v>3</v>
      </c>
      <c r="H141" s="32">
        <v>4</v>
      </c>
      <c r="I141" s="32">
        <v>9</v>
      </c>
      <c r="J141" s="32" t="str">
        <f>IF(Roster!$J$24="English",U141,(IF(Roster!$J$24="Español",V141,(IF(Roster!$J$24="Deutsch",W141,(IF(Roster!$J$24="Français",X141)))))))</f>
        <v>Loner (3+), Sure Hands, Thick Skull</v>
      </c>
      <c r="K141" s="31">
        <v>85000</v>
      </c>
      <c r="L141" s="31">
        <f t="shared" si="48"/>
        <v>85</v>
      </c>
      <c r="M141" s="31">
        <v>1</v>
      </c>
      <c r="N141" s="31">
        <v>0</v>
      </c>
      <c r="O141" s="31" t="s">
        <v>250</v>
      </c>
      <c r="P141" s="31" t="s">
        <v>249</v>
      </c>
      <c r="Q141" s="31" t="s">
        <v>249</v>
      </c>
      <c r="R141" s="31" t="s">
        <v>250</v>
      </c>
      <c r="S141" s="31">
        <v>0</v>
      </c>
      <c r="T141" s="91" t="str">
        <f t="shared" si="49"/>
        <v>M</v>
      </c>
      <c r="U141" s="91" t="s">
        <v>747</v>
      </c>
      <c r="V141" s="32" t="s">
        <v>748</v>
      </c>
      <c r="W141" s="91" t="s">
        <v>749</v>
      </c>
      <c r="X141" s="91" t="s">
        <v>750</v>
      </c>
      <c r="Y141" s="91"/>
      <c r="Z141" s="91"/>
    </row>
    <row r="142" spans="1:26" ht="12.75" customHeight="1">
      <c r="A142" s="32" t="s">
        <v>193</v>
      </c>
      <c r="B142" s="32" t="str">
        <f t="shared" si="0"/>
        <v>Old World Alliance9</v>
      </c>
      <c r="C142" s="32" t="s">
        <v>751</v>
      </c>
      <c r="D142" s="32" t="str">
        <f t="shared" si="1"/>
        <v>Old World AllianceDwarf Blitzer</v>
      </c>
      <c r="E142" s="32">
        <v>5</v>
      </c>
      <c r="F142" s="32">
        <v>3</v>
      </c>
      <c r="G142" s="32">
        <v>3</v>
      </c>
      <c r="H142" s="32">
        <v>4</v>
      </c>
      <c r="I142" s="32">
        <v>10</v>
      </c>
      <c r="J142" s="32" t="str">
        <f>IF(Roster!$J$24="English",U142,(IF(Roster!$J$24="Español",V142,(IF(Roster!$J$24="Deutsch",W142,(IF(Roster!$J$24="Français",X142)))))))</f>
        <v>Block, Loner (3+), Thick Skull</v>
      </c>
      <c r="K142" s="31">
        <v>80000</v>
      </c>
      <c r="L142" s="31">
        <f t="shared" si="48"/>
        <v>80</v>
      </c>
      <c r="M142" s="31">
        <v>1</v>
      </c>
      <c r="N142" s="31">
        <v>0</v>
      </c>
      <c r="O142" s="31" t="s">
        <v>250</v>
      </c>
      <c r="P142" s="31" t="s">
        <v>249</v>
      </c>
      <c r="Q142" s="31" t="s">
        <v>250</v>
      </c>
      <c r="R142" s="31" t="s">
        <v>249</v>
      </c>
      <c r="S142" s="31">
        <v>0</v>
      </c>
      <c r="T142" s="91" t="str">
        <f t="shared" si="49"/>
        <v>M</v>
      </c>
      <c r="U142" s="91" t="s">
        <v>752</v>
      </c>
      <c r="V142" s="32" t="s">
        <v>753</v>
      </c>
      <c r="W142" s="91" t="s">
        <v>754</v>
      </c>
      <c r="X142" s="91" t="s">
        <v>755</v>
      </c>
      <c r="Y142" s="91"/>
      <c r="Z142" s="91"/>
    </row>
    <row r="143" spans="1:26" ht="12.75" customHeight="1">
      <c r="A143" s="32" t="s">
        <v>193</v>
      </c>
      <c r="B143" s="32" t="str">
        <f t="shared" si="0"/>
        <v>Old World Alliance10</v>
      </c>
      <c r="C143" s="32" t="s">
        <v>756</v>
      </c>
      <c r="D143" s="32" t="str">
        <f t="shared" si="1"/>
        <v>Old World AllianceDwarf Troll Slayer</v>
      </c>
      <c r="E143" s="32">
        <v>5</v>
      </c>
      <c r="F143" s="32">
        <v>3</v>
      </c>
      <c r="G143" s="32">
        <v>4</v>
      </c>
      <c r="H143" s="32">
        <v>0</v>
      </c>
      <c r="I143" s="32">
        <v>9</v>
      </c>
      <c r="J143" s="32" t="str">
        <f>IF(Roster!$J$24="English",U143,(IF(Roster!$J$24="Español",V143,(IF(Roster!$J$24="Deutsch",W143,(IF(Roster!$J$24="Français",X143)))))))</f>
        <v>Block, Dauntless, Frenzy, Loner (3+), Thick Skull</v>
      </c>
      <c r="K143" s="31">
        <v>95000</v>
      </c>
      <c r="L143" s="31">
        <f t="shared" si="48"/>
        <v>95</v>
      </c>
      <c r="M143" s="31">
        <v>1</v>
      </c>
      <c r="N143" s="31">
        <v>0</v>
      </c>
      <c r="O143" s="31" t="s">
        <v>250</v>
      </c>
      <c r="P143" s="31" t="s">
        <v>249</v>
      </c>
      <c r="Q143" s="31" t="s">
        <v>250</v>
      </c>
      <c r="R143" s="225">
        <v>0</v>
      </c>
      <c r="S143" s="31">
        <v>0</v>
      </c>
      <c r="T143" s="91" t="str">
        <f t="shared" si="49"/>
        <v>PM</v>
      </c>
      <c r="U143" s="91" t="s">
        <v>757</v>
      </c>
      <c r="V143" s="91" t="s">
        <v>758</v>
      </c>
      <c r="W143" s="91" t="s">
        <v>759</v>
      </c>
      <c r="X143" s="91" t="s">
        <v>760</v>
      </c>
      <c r="Y143" s="91"/>
      <c r="Z143" s="91"/>
    </row>
    <row r="144" spans="1:26" ht="12.75" customHeight="1">
      <c r="A144" s="32" t="s">
        <v>193</v>
      </c>
      <c r="B144" s="32" t="str">
        <f t="shared" si="0"/>
        <v>Old World Alliance11</v>
      </c>
      <c r="C144" s="32" t="s">
        <v>187</v>
      </c>
      <c r="D144" s="32" t="str">
        <f t="shared" si="1"/>
        <v>Old World AllianceOgre</v>
      </c>
      <c r="E144" s="32">
        <v>5</v>
      </c>
      <c r="F144" s="32">
        <v>5</v>
      </c>
      <c r="G144" s="32">
        <v>4</v>
      </c>
      <c r="H144" s="32">
        <v>5</v>
      </c>
      <c r="I144" s="32">
        <v>10</v>
      </c>
      <c r="J144" s="32" t="str">
        <f>IF(Roster!$J$24="English",U144,(IF(Roster!$J$24="Español",V144,(IF(Roster!$J$24="Deutsch",W144,(IF(Roster!$J$24="Français",X144)))))))</f>
        <v>Bone Head, Loner (4+), Mighty Blow (+1), Thick Skull, Throw Team-mate</v>
      </c>
      <c r="K144" s="31">
        <v>140000</v>
      </c>
      <c r="L144" s="31">
        <f t="shared" si="48"/>
        <v>140</v>
      </c>
      <c r="M144" s="32">
        <v>1</v>
      </c>
      <c r="N144" s="32">
        <v>1</v>
      </c>
      <c r="O144" s="31" t="s">
        <v>249</v>
      </c>
      <c r="P144" s="31" t="s">
        <v>249</v>
      </c>
      <c r="Q144" s="31" t="s">
        <v>250</v>
      </c>
      <c r="R144" s="31" t="s">
        <v>249</v>
      </c>
      <c r="S144" s="31">
        <v>0</v>
      </c>
      <c r="T144" s="91" t="str">
        <f t="shared" si="49"/>
        <v>M</v>
      </c>
      <c r="U144" s="91" t="s">
        <v>379</v>
      </c>
      <c r="V144" s="91" t="s">
        <v>380</v>
      </c>
      <c r="W144" s="91" t="s">
        <v>381</v>
      </c>
      <c r="X144" s="91" t="s">
        <v>382</v>
      </c>
      <c r="Y144" s="91"/>
      <c r="Z144" s="91"/>
    </row>
    <row r="145" spans="1:26" ht="12.75" customHeight="1">
      <c r="A145" s="32" t="s">
        <v>193</v>
      </c>
      <c r="B145" s="32" t="str">
        <f t="shared" si="0"/>
        <v>Old World Alliance12</v>
      </c>
      <c r="C145" s="32" t="s">
        <v>571</v>
      </c>
      <c r="D145" s="32" t="str">
        <f t="shared" si="1"/>
        <v>Old World AllianceForest Treeman</v>
      </c>
      <c r="E145" s="32">
        <v>2</v>
      </c>
      <c r="F145" s="32">
        <v>6</v>
      </c>
      <c r="G145" s="32">
        <v>5</v>
      </c>
      <c r="H145" s="32">
        <v>5</v>
      </c>
      <c r="I145" s="32">
        <v>11</v>
      </c>
      <c r="J145" s="32" t="str">
        <f>IF(Roster!$J$24="English",U145,(IF(Roster!$J$24="Español",V145,(IF(Roster!$J$24="Deutsch",W145,(IF(Roster!$J$24="Français",X145)))))))</f>
        <v>Mighty Blow (+1), Loner (4+), Stand Firm, Strong Arm, Take Root, Thick Skull, Throw Team-mate, Timmm-ber!</v>
      </c>
      <c r="K145" s="31">
        <v>120000</v>
      </c>
      <c r="L145" s="31">
        <f t="shared" si="48"/>
        <v>120</v>
      </c>
      <c r="M145" s="31">
        <v>1</v>
      </c>
      <c r="N145" s="31">
        <v>1</v>
      </c>
      <c r="O145" s="31" t="s">
        <v>249</v>
      </c>
      <c r="P145" s="31" t="s">
        <v>249</v>
      </c>
      <c r="Q145" s="31" t="s">
        <v>250</v>
      </c>
      <c r="R145" s="31" t="s">
        <v>249</v>
      </c>
      <c r="S145" s="31">
        <v>0</v>
      </c>
      <c r="T145" s="91" t="str">
        <f t="shared" si="49"/>
        <v>M</v>
      </c>
      <c r="U145" s="91" t="s">
        <v>761</v>
      </c>
      <c r="V145" s="91" t="s">
        <v>762</v>
      </c>
      <c r="W145" s="91" t="s">
        <v>763</v>
      </c>
      <c r="X145" s="91" t="s">
        <v>764</v>
      </c>
      <c r="Y145" s="91"/>
      <c r="Z145" s="91"/>
    </row>
    <row r="146" spans="1:26" ht="12.75" customHeight="1">
      <c r="A146" s="32" t="s">
        <v>193</v>
      </c>
      <c r="B146" s="32" t="str">
        <f t="shared" si="0"/>
        <v>Old World Alliance13</v>
      </c>
      <c r="C146" s="32" t="s">
        <v>593</v>
      </c>
      <c r="D146" s="32" t="str">
        <f t="shared" si="1"/>
        <v>Old World AllianceJourneyman</v>
      </c>
      <c r="E146" s="32">
        <v>6</v>
      </c>
      <c r="F146" s="32">
        <v>3</v>
      </c>
      <c r="G146" s="32">
        <v>3</v>
      </c>
      <c r="H146" s="32">
        <v>4</v>
      </c>
      <c r="I146" s="32">
        <v>9</v>
      </c>
      <c r="J146" s="32" t="str">
        <f>IF(Roster!$J$24="English",U146,(IF(Roster!$J$24="Español",V146,(IF(Roster!$J$24="Deutsch",W146,(IF(Roster!$J$24="Français",X146)))))))</f>
        <v>Loner (4+)</v>
      </c>
      <c r="K146" s="31">
        <v>0</v>
      </c>
      <c r="L146" s="31">
        <v>50</v>
      </c>
      <c r="M146" s="32">
        <v>11</v>
      </c>
      <c r="N146" s="32">
        <v>0</v>
      </c>
      <c r="O146" s="31" t="s">
        <v>250</v>
      </c>
      <c r="P146" s="31" t="s">
        <v>249</v>
      </c>
      <c r="Q146" s="31" t="s">
        <v>249</v>
      </c>
      <c r="R146" s="31" t="s">
        <v>249</v>
      </c>
      <c r="S146" s="31">
        <v>0</v>
      </c>
      <c r="T146" s="91" t="str">
        <f t="shared" si="49"/>
        <v>M</v>
      </c>
      <c r="U146" s="91" t="s">
        <v>410</v>
      </c>
      <c r="V146" s="91" t="s">
        <v>411</v>
      </c>
      <c r="W146" s="91" t="s">
        <v>412</v>
      </c>
      <c r="X146" s="91" t="s">
        <v>413</v>
      </c>
      <c r="Y146" s="91"/>
      <c r="Z146" s="91"/>
    </row>
    <row r="147" spans="1:26" ht="12.75" customHeight="1">
      <c r="A147" s="32" t="s">
        <v>199</v>
      </c>
      <c r="B147" s="32" t="str">
        <f t="shared" si="0"/>
        <v>Orc1</v>
      </c>
      <c r="C147" s="32" t="str">
        <f>""</f>
        <v/>
      </c>
      <c r="D147" s="32" t="str">
        <f t="shared" si="1"/>
        <v>Orc</v>
      </c>
      <c r="E147" s="32">
        <v>0</v>
      </c>
      <c r="F147" s="32">
        <v>0</v>
      </c>
      <c r="G147" s="32">
        <v>0</v>
      </c>
      <c r="H147" s="32">
        <v>0</v>
      </c>
      <c r="I147" s="32">
        <v>0</v>
      </c>
      <c r="J147" s="32">
        <f>IF(Roster!$J$24="English",U147,(IF(Roster!$J$24="Español",V147,(IF(Roster!$J$24="Deutsch",W147,(IF(Roster!$J$24="Français",X147)))))))</f>
        <v>0</v>
      </c>
      <c r="K147" s="31">
        <v>0</v>
      </c>
      <c r="L147" s="31">
        <f t="shared" ref="L147:L153" si="51">K147/1000</f>
        <v>0</v>
      </c>
      <c r="M147" s="31">
        <v>0</v>
      </c>
      <c r="N147" s="31">
        <v>0</v>
      </c>
      <c r="O147" s="31"/>
      <c r="P147" s="31"/>
      <c r="Q147" s="31"/>
      <c r="R147" s="31"/>
      <c r="S147" s="31"/>
      <c r="T147" s="91"/>
      <c r="U147" s="91">
        <v>0</v>
      </c>
      <c r="V147" s="91">
        <v>0</v>
      </c>
      <c r="W147" s="91">
        <v>0</v>
      </c>
      <c r="X147" s="91">
        <v>0</v>
      </c>
      <c r="Y147" s="91">
        <v>0</v>
      </c>
      <c r="Z147" s="91"/>
    </row>
    <row r="148" spans="1:26" ht="12.75" customHeight="1">
      <c r="A148" s="32" t="s">
        <v>199</v>
      </c>
      <c r="B148" s="32" t="str">
        <f t="shared" si="0"/>
        <v>Orc2</v>
      </c>
      <c r="C148" s="32" t="s">
        <v>466</v>
      </c>
      <c r="D148" s="32" t="str">
        <f t="shared" si="1"/>
        <v>OrcLineman</v>
      </c>
      <c r="E148" s="32">
        <v>5</v>
      </c>
      <c r="F148" s="32">
        <v>3</v>
      </c>
      <c r="G148" s="32">
        <v>3</v>
      </c>
      <c r="H148" s="32">
        <v>4</v>
      </c>
      <c r="I148" s="32">
        <v>10</v>
      </c>
      <c r="J148" s="32" t="str">
        <f>IF(Roster!$J$24="English",U148,(IF(Roster!$J$24="Español",V148,(IF(Roster!$J$24="Deutsch",W148,(IF(Roster!$J$24="Français",X148)))))))</f>
        <v>Animosity (Orc Linemen)</v>
      </c>
      <c r="K148" s="31">
        <v>50000</v>
      </c>
      <c r="L148" s="31">
        <f t="shared" si="51"/>
        <v>50</v>
      </c>
      <c r="M148" s="32">
        <v>16</v>
      </c>
      <c r="N148" s="32">
        <v>0</v>
      </c>
      <c r="O148" s="31" t="s">
        <v>250</v>
      </c>
      <c r="P148" s="31" t="s">
        <v>249</v>
      </c>
      <c r="Q148" s="31" t="s">
        <v>249</v>
      </c>
      <c r="R148" s="31" t="s">
        <v>249</v>
      </c>
      <c r="S148" s="31">
        <v>0</v>
      </c>
      <c r="T148" s="91" t="str">
        <f t="shared" ref="T148:T154" si="52">IF(AND(R148&lt;&gt;0,S148&lt;&gt;0),"FULL",(IF(AND(R148=0,S148=0),"PM",IF(R148=0,"P",(IF(S148=0,"M"))))))</f>
        <v>M</v>
      </c>
      <c r="U148" s="91" t="s">
        <v>765</v>
      </c>
      <c r="V148" s="91" t="s">
        <v>766</v>
      </c>
      <c r="W148" s="91" t="s">
        <v>767</v>
      </c>
      <c r="X148" s="91" t="s">
        <v>768</v>
      </c>
      <c r="Y148" s="91"/>
      <c r="Z148" s="91"/>
    </row>
    <row r="149" spans="1:26" ht="12.75" customHeight="1">
      <c r="A149" s="32" t="s">
        <v>199</v>
      </c>
      <c r="B149" s="32" t="str">
        <f t="shared" si="0"/>
        <v>Orc3</v>
      </c>
      <c r="C149" s="32" t="s">
        <v>769</v>
      </c>
      <c r="D149" s="32" t="str">
        <f t="shared" si="1"/>
        <v xml:space="preserve">OrcGoblin </v>
      </c>
      <c r="E149" s="32">
        <v>6</v>
      </c>
      <c r="F149" s="32">
        <v>2</v>
      </c>
      <c r="G149" s="32">
        <v>3</v>
      </c>
      <c r="H149" s="32">
        <v>4</v>
      </c>
      <c r="I149" s="32">
        <v>8</v>
      </c>
      <c r="J149" s="32" t="str">
        <f>IF(Roster!$J$24="English",U149,(IF(Roster!$J$24="Español",V149,(IF(Roster!$J$24="Deutsch",W149,(IF(Roster!$J$24="Français",X149)))))))</f>
        <v>Dodge, Right Stuff, Stunty</v>
      </c>
      <c r="K149" s="31">
        <v>40000</v>
      </c>
      <c r="L149" s="31">
        <f t="shared" si="51"/>
        <v>40</v>
      </c>
      <c r="M149" s="32">
        <v>4</v>
      </c>
      <c r="N149" s="32">
        <v>0</v>
      </c>
      <c r="O149" s="31" t="s">
        <v>249</v>
      </c>
      <c r="P149" s="31" t="s">
        <v>250</v>
      </c>
      <c r="Q149" s="31" t="s">
        <v>249</v>
      </c>
      <c r="R149" s="31" t="s">
        <v>249</v>
      </c>
      <c r="S149" s="31">
        <v>0</v>
      </c>
      <c r="T149" s="91" t="str">
        <f t="shared" si="52"/>
        <v>M</v>
      </c>
      <c r="U149" s="91" t="s">
        <v>521</v>
      </c>
      <c r="V149" s="91" t="s">
        <v>522</v>
      </c>
      <c r="W149" s="91" t="s">
        <v>523</v>
      </c>
      <c r="X149" s="91" t="s">
        <v>524</v>
      </c>
      <c r="Y149" s="91"/>
      <c r="Z149" s="91"/>
    </row>
    <row r="150" spans="1:26" ht="12.75" customHeight="1">
      <c r="A150" s="32" t="s">
        <v>199</v>
      </c>
      <c r="B150" s="32" t="str">
        <f t="shared" si="0"/>
        <v>Orc4</v>
      </c>
      <c r="C150" s="32" t="s">
        <v>328</v>
      </c>
      <c r="D150" s="32" t="str">
        <f t="shared" si="1"/>
        <v>OrcThrower</v>
      </c>
      <c r="E150" s="32">
        <v>5</v>
      </c>
      <c r="F150" s="32">
        <v>3</v>
      </c>
      <c r="G150" s="32">
        <v>3</v>
      </c>
      <c r="H150" s="32">
        <v>3</v>
      </c>
      <c r="I150" s="32">
        <v>9</v>
      </c>
      <c r="J150" s="32" t="str">
        <f>IF(Roster!$J$24="English",U150,(IF(Roster!$J$24="Español",V150,(IF(Roster!$J$24="Deutsch",W150,(IF(Roster!$J$24="Français",X150)))))))</f>
        <v>Animosity (alle Mitspieler), Pass, Sure Hands</v>
      </c>
      <c r="K150" s="31">
        <v>65000</v>
      </c>
      <c r="L150" s="31">
        <f t="shared" si="51"/>
        <v>65</v>
      </c>
      <c r="M150" s="32">
        <v>2</v>
      </c>
      <c r="N150" s="32">
        <v>0</v>
      </c>
      <c r="O150" s="31" t="s">
        <v>250</v>
      </c>
      <c r="P150" s="31" t="s">
        <v>249</v>
      </c>
      <c r="Q150" s="31" t="s">
        <v>250</v>
      </c>
      <c r="R150" s="31" t="s">
        <v>250</v>
      </c>
      <c r="S150" s="31">
        <v>0</v>
      </c>
      <c r="T150" s="91" t="str">
        <f t="shared" si="52"/>
        <v>M</v>
      </c>
      <c r="U150" s="91" t="s">
        <v>770</v>
      </c>
      <c r="V150" s="91" t="s">
        <v>771</v>
      </c>
      <c r="W150" s="91" t="s">
        <v>772</v>
      </c>
      <c r="X150" s="91" t="s">
        <v>773</v>
      </c>
      <c r="Y150" s="91"/>
      <c r="Z150" s="91"/>
    </row>
    <row r="151" spans="1:26" ht="12.75" customHeight="1">
      <c r="A151" s="32" t="s">
        <v>199</v>
      </c>
      <c r="B151" s="32" t="str">
        <f t="shared" si="0"/>
        <v>Orc5</v>
      </c>
      <c r="C151" s="32" t="s">
        <v>774</v>
      </c>
      <c r="D151" s="32" t="str">
        <f t="shared" si="1"/>
        <v>OrcBig Un</v>
      </c>
      <c r="E151" s="32">
        <v>5</v>
      </c>
      <c r="F151" s="32">
        <v>4</v>
      </c>
      <c r="G151" s="32">
        <v>4</v>
      </c>
      <c r="H151" s="32">
        <v>0</v>
      </c>
      <c r="I151" s="32">
        <v>10</v>
      </c>
      <c r="J151" s="32" t="str">
        <f>IF(Roster!$J$24="English",U151,(IF(Roster!$J$24="Español",V151,(IF(Roster!$J$24="Deutsch",W151,(IF(Roster!$J$24="Français",X151)))))))</f>
        <v>Animosity (Big Un Blockers)</v>
      </c>
      <c r="K151" s="31">
        <v>90000</v>
      </c>
      <c r="L151" s="31">
        <f t="shared" si="51"/>
        <v>90</v>
      </c>
      <c r="M151" s="32">
        <v>4</v>
      </c>
      <c r="N151" s="32">
        <v>0</v>
      </c>
      <c r="O151" s="31" t="s">
        <v>250</v>
      </c>
      <c r="P151" s="31" t="s">
        <v>249</v>
      </c>
      <c r="Q151" s="31" t="s">
        <v>250</v>
      </c>
      <c r="R151" s="225">
        <v>0</v>
      </c>
      <c r="S151" s="31">
        <v>0</v>
      </c>
      <c r="T151" s="91" t="str">
        <f t="shared" si="52"/>
        <v>PM</v>
      </c>
      <c r="U151" s="91" t="s">
        <v>775</v>
      </c>
      <c r="V151" s="91" t="s">
        <v>776</v>
      </c>
      <c r="W151" s="91" t="s">
        <v>777</v>
      </c>
      <c r="X151" s="91" t="s">
        <v>778</v>
      </c>
      <c r="Y151" s="91"/>
      <c r="Z151" s="91"/>
    </row>
    <row r="152" spans="1:26" ht="12.75" customHeight="1">
      <c r="A152" s="32" t="s">
        <v>199</v>
      </c>
      <c r="B152" s="32" t="str">
        <f t="shared" si="0"/>
        <v>Orc6</v>
      </c>
      <c r="C152" s="32" t="s">
        <v>338</v>
      </c>
      <c r="D152" s="32" t="str">
        <f t="shared" si="1"/>
        <v>OrcBlitzer</v>
      </c>
      <c r="E152" s="32">
        <v>6</v>
      </c>
      <c r="F152" s="32">
        <v>3</v>
      </c>
      <c r="G152" s="32">
        <v>3</v>
      </c>
      <c r="H152" s="32">
        <v>4</v>
      </c>
      <c r="I152" s="32">
        <v>10</v>
      </c>
      <c r="J152" s="32" t="str">
        <f>IF(Roster!$J$24="English",U152,(IF(Roster!$J$24="Español",V152,(IF(Roster!$J$24="Deutsch",W152,(IF(Roster!$J$24="Français",X152)))))))</f>
        <v>Animosity (alle Mitspieler), Block</v>
      </c>
      <c r="K152" s="31">
        <v>80000</v>
      </c>
      <c r="L152" s="31">
        <f t="shared" si="51"/>
        <v>80</v>
      </c>
      <c r="M152" s="32">
        <v>4</v>
      </c>
      <c r="N152" s="32">
        <v>0</v>
      </c>
      <c r="O152" s="31" t="s">
        <v>250</v>
      </c>
      <c r="P152" s="31" t="s">
        <v>249</v>
      </c>
      <c r="Q152" s="31" t="s">
        <v>250</v>
      </c>
      <c r="R152" s="31" t="s">
        <v>249</v>
      </c>
      <c r="S152" s="31">
        <v>0</v>
      </c>
      <c r="T152" s="91" t="str">
        <f t="shared" si="52"/>
        <v>M</v>
      </c>
      <c r="U152" s="91" t="s">
        <v>779</v>
      </c>
      <c r="V152" s="32" t="s">
        <v>780</v>
      </c>
      <c r="W152" s="91" t="s">
        <v>781</v>
      </c>
      <c r="X152" s="91" t="s">
        <v>782</v>
      </c>
      <c r="Y152" s="91"/>
      <c r="Z152" s="91"/>
    </row>
    <row r="153" spans="1:26" ht="12.75" customHeight="1">
      <c r="A153" s="32" t="s">
        <v>199</v>
      </c>
      <c r="B153" s="32" t="str">
        <f t="shared" si="0"/>
        <v>Orc7</v>
      </c>
      <c r="C153" s="32" t="s">
        <v>783</v>
      </c>
      <c r="D153" s="32" t="str">
        <f t="shared" si="1"/>
        <v>OrcUntrained Troll</v>
      </c>
      <c r="E153" s="32">
        <v>4</v>
      </c>
      <c r="F153" s="32">
        <v>5</v>
      </c>
      <c r="G153" s="32">
        <v>5</v>
      </c>
      <c r="H153" s="32">
        <v>5</v>
      </c>
      <c r="I153" s="32">
        <v>10</v>
      </c>
      <c r="J153" s="32" t="str">
        <f>IF(Roster!$J$24="English",U153,(IF(Roster!$J$24="Español",V153,(IF(Roster!$J$24="Deutsch",W153,(IF(Roster!$J$24="Français",X153)))))))</f>
        <v>Always Hungry, Loner (4+), Mighty Blow (+1), Projectile Vomit, Really Stupid, Regeneration, Throw Team-mate</v>
      </c>
      <c r="K153" s="31">
        <v>115000</v>
      </c>
      <c r="L153" s="31">
        <f t="shared" si="51"/>
        <v>115</v>
      </c>
      <c r="M153" s="32">
        <v>1</v>
      </c>
      <c r="N153" s="32">
        <v>1</v>
      </c>
      <c r="O153" s="31" t="s">
        <v>249</v>
      </c>
      <c r="P153" s="31" t="s">
        <v>249</v>
      </c>
      <c r="Q153" s="31" t="s">
        <v>250</v>
      </c>
      <c r="R153" s="31" t="s">
        <v>249</v>
      </c>
      <c r="S153" s="31">
        <v>0</v>
      </c>
      <c r="T153" s="91" t="str">
        <f t="shared" si="52"/>
        <v>M</v>
      </c>
      <c r="U153" s="91" t="s">
        <v>374</v>
      </c>
      <c r="V153" s="32" t="s">
        <v>375</v>
      </c>
      <c r="W153" s="91" t="s">
        <v>376</v>
      </c>
      <c r="X153" s="91" t="s">
        <v>377</v>
      </c>
      <c r="Y153" s="91"/>
      <c r="Z153" s="91"/>
    </row>
    <row r="154" spans="1:26" ht="12.75" customHeight="1">
      <c r="A154" s="32" t="s">
        <v>199</v>
      </c>
      <c r="B154" s="32" t="str">
        <f t="shared" si="0"/>
        <v>Orc8</v>
      </c>
      <c r="C154" s="32" t="s">
        <v>784</v>
      </c>
      <c r="D154" s="32" t="str">
        <f t="shared" si="1"/>
        <v>OrcJourney Orc</v>
      </c>
      <c r="E154" s="32">
        <v>5</v>
      </c>
      <c r="F154" s="32">
        <v>3</v>
      </c>
      <c r="G154" s="32">
        <v>3</v>
      </c>
      <c r="H154" s="32">
        <v>4</v>
      </c>
      <c r="I154" s="32">
        <v>10</v>
      </c>
      <c r="J154" s="32" t="str">
        <f>IF(Roster!$J$24="English",U154,(IF(Roster!$J$24="Español",V154,(IF(Roster!$J$24="Deutsch",W154,(IF(Roster!$J$24="Français",X154)))))))</f>
        <v>Loner (4+), Animosity (Orc Linemen)</v>
      </c>
      <c r="K154" s="31">
        <v>0</v>
      </c>
      <c r="L154" s="31">
        <v>50</v>
      </c>
      <c r="M154" s="32">
        <v>11</v>
      </c>
      <c r="N154" s="32">
        <v>0</v>
      </c>
      <c r="O154" s="31" t="s">
        <v>250</v>
      </c>
      <c r="P154" s="31" t="s">
        <v>249</v>
      </c>
      <c r="Q154" s="31" t="s">
        <v>249</v>
      </c>
      <c r="R154" s="31" t="s">
        <v>249</v>
      </c>
      <c r="S154" s="31">
        <v>0</v>
      </c>
      <c r="T154" s="91" t="str">
        <f t="shared" si="52"/>
        <v>M</v>
      </c>
      <c r="U154" s="91" t="s">
        <v>785</v>
      </c>
      <c r="V154" s="91" t="s">
        <v>786</v>
      </c>
      <c r="W154" s="91" t="s">
        <v>787</v>
      </c>
      <c r="X154" s="91" t="s">
        <v>788</v>
      </c>
      <c r="Y154" s="91"/>
      <c r="Z154" s="91"/>
    </row>
    <row r="155" spans="1:26" ht="12.75" customHeight="1">
      <c r="A155" s="32" t="s">
        <v>205</v>
      </c>
      <c r="B155" s="32" t="str">
        <f t="shared" si="0"/>
        <v>Shambling Undead1</v>
      </c>
      <c r="C155" s="32" t="str">
        <f>""</f>
        <v/>
      </c>
      <c r="D155" s="32" t="str">
        <f t="shared" si="1"/>
        <v>Shambling Undead</v>
      </c>
      <c r="E155" s="32">
        <v>0</v>
      </c>
      <c r="F155" s="32">
        <v>0</v>
      </c>
      <c r="G155" s="32">
        <v>0</v>
      </c>
      <c r="H155" s="32">
        <v>0</v>
      </c>
      <c r="I155" s="32">
        <v>0</v>
      </c>
      <c r="J155" s="32">
        <f>IF(Roster!$J$24="English",U155,(IF(Roster!$J$24="Español",V155,(IF(Roster!$J$24="Deutsch",W155,(IF(Roster!$J$24="Français",X155)))))))</f>
        <v>0</v>
      </c>
      <c r="K155" s="31">
        <v>0</v>
      </c>
      <c r="L155" s="31">
        <f t="shared" ref="L155:L160" si="53">K155/1000</f>
        <v>0</v>
      </c>
      <c r="M155" s="31">
        <v>0</v>
      </c>
      <c r="N155" s="31">
        <v>0</v>
      </c>
      <c r="O155" s="31"/>
      <c r="P155" s="31"/>
      <c r="Q155" s="31"/>
      <c r="R155" s="31"/>
      <c r="S155" s="31"/>
      <c r="T155" s="91"/>
      <c r="U155" s="91">
        <v>0</v>
      </c>
      <c r="V155" s="91">
        <v>0</v>
      </c>
      <c r="W155" s="91">
        <v>0</v>
      </c>
      <c r="X155" s="91">
        <v>0</v>
      </c>
      <c r="Y155" s="91">
        <v>0</v>
      </c>
      <c r="Z155" s="91"/>
    </row>
    <row r="156" spans="1:26" ht="12.75" customHeight="1">
      <c r="A156" s="32" t="s">
        <v>205</v>
      </c>
      <c r="B156" s="32" t="str">
        <f t="shared" si="0"/>
        <v>Shambling Undead2</v>
      </c>
      <c r="C156" s="32" t="s">
        <v>789</v>
      </c>
      <c r="D156" s="32" t="str">
        <f t="shared" si="1"/>
        <v>Shambling UndeadSkeleton</v>
      </c>
      <c r="E156" s="32">
        <v>5</v>
      </c>
      <c r="F156" s="32">
        <v>3</v>
      </c>
      <c r="G156" s="32">
        <v>4</v>
      </c>
      <c r="H156" s="32">
        <v>6</v>
      </c>
      <c r="I156" s="32">
        <v>8</v>
      </c>
      <c r="J156" s="32" t="str">
        <f>IF(Roster!$J$24="English",U156,(IF(Roster!$J$24="Español",V156,(IF(Roster!$J$24="Deutsch",W156,(IF(Roster!$J$24="Français",X156)))))))</f>
        <v>Regeneration, Thick Skull</v>
      </c>
      <c r="K156" s="31">
        <v>40000</v>
      </c>
      <c r="L156" s="31">
        <f t="shared" si="53"/>
        <v>40</v>
      </c>
      <c r="M156" s="32">
        <v>16</v>
      </c>
      <c r="N156" s="32">
        <v>0</v>
      </c>
      <c r="O156" s="31" t="s">
        <v>250</v>
      </c>
      <c r="P156" s="31" t="s">
        <v>249</v>
      </c>
      <c r="Q156" s="31" t="s">
        <v>249</v>
      </c>
      <c r="R156" s="31" t="s">
        <v>249</v>
      </c>
      <c r="S156" s="31">
        <v>0</v>
      </c>
      <c r="T156" s="91" t="str">
        <f t="shared" ref="T156:T163" si="54">IF(AND(R156&lt;&gt;0,S156&lt;&gt;0),"FULL",(IF(AND(R156=0,S156=0),"PM",IF(R156=0,"P",(IF(S156=0,"M"))))))</f>
        <v>M</v>
      </c>
      <c r="U156" s="91" t="s">
        <v>790</v>
      </c>
      <c r="V156" s="32" t="s">
        <v>791</v>
      </c>
      <c r="W156" s="91" t="s">
        <v>792</v>
      </c>
      <c r="X156" s="91" t="s">
        <v>793</v>
      </c>
      <c r="Y156" s="91"/>
      <c r="Z156" s="91"/>
    </row>
    <row r="157" spans="1:26" ht="12.75" customHeight="1">
      <c r="A157" s="32" t="s">
        <v>205</v>
      </c>
      <c r="B157" s="32" t="str">
        <f t="shared" si="0"/>
        <v>Shambling Undead3</v>
      </c>
      <c r="C157" s="32" t="s">
        <v>113</v>
      </c>
      <c r="D157" s="32" t="str">
        <f t="shared" si="1"/>
        <v>Shambling UndeadZombie</v>
      </c>
      <c r="E157" s="32">
        <v>4</v>
      </c>
      <c r="F157" s="32">
        <v>3</v>
      </c>
      <c r="G157" s="32">
        <v>4</v>
      </c>
      <c r="H157" s="32">
        <v>0</v>
      </c>
      <c r="I157" s="32">
        <v>9</v>
      </c>
      <c r="J157" s="32" t="str">
        <f>IF(Roster!$J$24="English",U157,(IF(Roster!$J$24="Español",V157,(IF(Roster!$J$24="Deutsch",W157,(IF(Roster!$J$24="Français",X157)))))))</f>
        <v>Regeneration</v>
      </c>
      <c r="K157" s="31">
        <v>40000</v>
      </c>
      <c r="L157" s="31">
        <f t="shared" si="53"/>
        <v>40</v>
      </c>
      <c r="M157" s="32">
        <v>16</v>
      </c>
      <c r="N157" s="32">
        <v>0</v>
      </c>
      <c r="O157" s="31" t="s">
        <v>250</v>
      </c>
      <c r="P157" s="31" t="s">
        <v>249</v>
      </c>
      <c r="Q157" s="31" t="s">
        <v>249</v>
      </c>
      <c r="R157" s="225">
        <v>0</v>
      </c>
      <c r="S157" s="31">
        <v>0</v>
      </c>
      <c r="T157" s="91" t="str">
        <f t="shared" si="54"/>
        <v>PM</v>
      </c>
      <c r="U157" s="91" t="s">
        <v>636</v>
      </c>
      <c r="V157" s="32" t="s">
        <v>637</v>
      </c>
      <c r="W157" s="91" t="s">
        <v>636</v>
      </c>
      <c r="X157" s="91" t="s">
        <v>638</v>
      </c>
      <c r="Y157" s="91"/>
      <c r="Z157" s="91"/>
    </row>
    <row r="158" spans="1:26" ht="12.75" customHeight="1">
      <c r="A158" s="32" t="s">
        <v>205</v>
      </c>
      <c r="B158" s="32" t="str">
        <f t="shared" si="0"/>
        <v>Shambling Undead4</v>
      </c>
      <c r="C158" s="32" t="s">
        <v>98</v>
      </c>
      <c r="D158" s="32" t="str">
        <f t="shared" si="1"/>
        <v>Shambling UndeadGhoul</v>
      </c>
      <c r="E158" s="32">
        <v>7</v>
      </c>
      <c r="F158" s="32">
        <v>3</v>
      </c>
      <c r="G158" s="32">
        <v>3</v>
      </c>
      <c r="H158" s="32">
        <v>4</v>
      </c>
      <c r="I158" s="32">
        <v>8</v>
      </c>
      <c r="J158" s="32" t="str">
        <f>IF(Roster!$J$24="English",U158,(IF(Roster!$J$24="Español",V158,(IF(Roster!$J$24="Deutsch",W158,(IF(Roster!$J$24="Français",X158)))))))</f>
        <v>Dodge</v>
      </c>
      <c r="K158" s="31">
        <v>75000</v>
      </c>
      <c r="L158" s="31">
        <f t="shared" si="53"/>
        <v>75</v>
      </c>
      <c r="M158" s="32">
        <v>4</v>
      </c>
      <c r="N158" s="32">
        <v>0</v>
      </c>
      <c r="O158" s="31" t="s">
        <v>250</v>
      </c>
      <c r="P158" s="31" t="s">
        <v>250</v>
      </c>
      <c r="Q158" s="31" t="s">
        <v>249</v>
      </c>
      <c r="R158" s="31" t="s">
        <v>249</v>
      </c>
      <c r="S158" s="31">
        <v>0</v>
      </c>
      <c r="T158" s="91" t="str">
        <f t="shared" si="54"/>
        <v>M</v>
      </c>
      <c r="U158" s="91" t="s">
        <v>324</v>
      </c>
      <c r="V158" s="91" t="s">
        <v>325</v>
      </c>
      <c r="W158" s="91" t="s">
        <v>326</v>
      </c>
      <c r="X158" s="91" t="s">
        <v>327</v>
      </c>
      <c r="Y158" s="91"/>
      <c r="Z158" s="91"/>
    </row>
    <row r="159" spans="1:26" ht="12.75" customHeight="1">
      <c r="A159" s="32" t="s">
        <v>205</v>
      </c>
      <c r="B159" s="32" t="str">
        <f t="shared" si="0"/>
        <v>Shambling Undead5</v>
      </c>
      <c r="C159" s="32" t="s">
        <v>794</v>
      </c>
      <c r="D159" s="32" t="str">
        <f t="shared" si="1"/>
        <v>Shambling UndeadWight</v>
      </c>
      <c r="E159" s="32">
        <v>6</v>
      </c>
      <c r="F159" s="32">
        <v>3</v>
      </c>
      <c r="G159" s="32">
        <v>3</v>
      </c>
      <c r="H159" s="32">
        <v>5</v>
      </c>
      <c r="I159" s="32">
        <v>9</v>
      </c>
      <c r="J159" s="32" t="str">
        <f>IF(Roster!$J$24="English",U159,(IF(Roster!$J$24="Español",V159,(IF(Roster!$J$24="Deutsch",W159,(IF(Roster!$J$24="Français",X159)))))))</f>
        <v>Block, Regeneration</v>
      </c>
      <c r="K159" s="31">
        <v>90000</v>
      </c>
      <c r="L159" s="31">
        <f t="shared" si="53"/>
        <v>90</v>
      </c>
      <c r="M159" s="32">
        <v>2</v>
      </c>
      <c r="N159" s="32">
        <v>0</v>
      </c>
      <c r="O159" s="31" t="s">
        <v>250</v>
      </c>
      <c r="P159" s="31" t="s">
        <v>249</v>
      </c>
      <c r="Q159" s="31" t="s">
        <v>250</v>
      </c>
      <c r="R159" s="31" t="s">
        <v>249</v>
      </c>
      <c r="S159" s="31">
        <v>0</v>
      </c>
      <c r="T159" s="91" t="str">
        <f t="shared" si="54"/>
        <v>M</v>
      </c>
      <c r="U159" s="91" t="s">
        <v>795</v>
      </c>
      <c r="V159" s="91" t="s">
        <v>796</v>
      </c>
      <c r="W159" s="91" t="s">
        <v>795</v>
      </c>
      <c r="X159" s="91" t="s">
        <v>797</v>
      </c>
      <c r="Y159" s="91"/>
      <c r="Z159" s="91"/>
    </row>
    <row r="160" spans="1:26" ht="12.75" customHeight="1">
      <c r="A160" s="32" t="s">
        <v>205</v>
      </c>
      <c r="B160" s="32" t="str">
        <f t="shared" si="0"/>
        <v>Shambling Undead6</v>
      </c>
      <c r="C160" s="32" t="s">
        <v>798</v>
      </c>
      <c r="D160" s="32" t="str">
        <f t="shared" si="1"/>
        <v>Shambling UndeadMummy</v>
      </c>
      <c r="E160" s="32">
        <v>3</v>
      </c>
      <c r="F160" s="32">
        <v>5</v>
      </c>
      <c r="G160" s="32">
        <v>5</v>
      </c>
      <c r="H160" s="32">
        <v>0</v>
      </c>
      <c r="I160" s="32">
        <v>10</v>
      </c>
      <c r="J160" s="32" t="str">
        <f>IF(Roster!$J$24="English",U160,(IF(Roster!$J$24="Español",V160,(IF(Roster!$J$24="Deutsch",W160,(IF(Roster!$J$24="Français",X160)))))))</f>
        <v>Mighty Blow (+1), Regeneration</v>
      </c>
      <c r="K160" s="31">
        <v>125000</v>
      </c>
      <c r="L160" s="31">
        <f t="shared" si="53"/>
        <v>125</v>
      </c>
      <c r="M160" s="31">
        <v>2</v>
      </c>
      <c r="N160" s="31">
        <v>0</v>
      </c>
      <c r="O160" s="31" t="s">
        <v>249</v>
      </c>
      <c r="P160" s="31" t="s">
        <v>249</v>
      </c>
      <c r="Q160" s="31" t="s">
        <v>250</v>
      </c>
      <c r="R160" s="225">
        <v>0</v>
      </c>
      <c r="S160" s="31">
        <v>0</v>
      </c>
      <c r="T160" s="91" t="str">
        <f t="shared" si="54"/>
        <v>PM</v>
      </c>
      <c r="U160" s="91" t="s">
        <v>799</v>
      </c>
      <c r="V160" s="32" t="s">
        <v>800</v>
      </c>
      <c r="W160" s="91" t="s">
        <v>801</v>
      </c>
      <c r="X160" s="91" t="s">
        <v>802</v>
      </c>
      <c r="Y160" s="91"/>
      <c r="Z160" s="91"/>
    </row>
    <row r="161" spans="1:26" ht="12.75" customHeight="1">
      <c r="A161" s="32" t="s">
        <v>205</v>
      </c>
      <c r="B161" s="32" t="str">
        <f t="shared" si="0"/>
        <v>Shambling Undead7</v>
      </c>
      <c r="C161" s="32" t="s">
        <v>651</v>
      </c>
      <c r="D161" s="32" t="str">
        <f t="shared" si="1"/>
        <v>Shambling UndeadRaised Zombie</v>
      </c>
      <c r="E161" s="32">
        <v>4</v>
      </c>
      <c r="F161" s="32">
        <v>3</v>
      </c>
      <c r="G161" s="32">
        <v>4</v>
      </c>
      <c r="H161" s="32">
        <v>0</v>
      </c>
      <c r="I161" s="32">
        <v>9</v>
      </c>
      <c r="J161" s="32">
        <f>IF(Roster!$J$24="English",U161,(IF(Roster!$J$24="Español",V161,(IF(Roster!$J$24="Deutsch",W161,(IF(Roster!$J$24="Français",X161)))))))</f>
        <v>0</v>
      </c>
      <c r="K161" s="31">
        <v>0</v>
      </c>
      <c r="L161" s="31">
        <v>40</v>
      </c>
      <c r="M161" s="32">
        <v>16</v>
      </c>
      <c r="N161" s="32">
        <v>0</v>
      </c>
      <c r="O161" s="31" t="s">
        <v>250</v>
      </c>
      <c r="P161" s="31" t="s">
        <v>249</v>
      </c>
      <c r="Q161" s="31" t="s">
        <v>249</v>
      </c>
      <c r="R161" s="225">
        <v>0</v>
      </c>
      <c r="S161" s="31">
        <v>0</v>
      </c>
      <c r="T161" s="91" t="str">
        <f t="shared" si="54"/>
        <v>PM</v>
      </c>
      <c r="U161" s="91"/>
      <c r="V161" s="32"/>
      <c r="W161" s="91"/>
      <c r="X161" s="91"/>
      <c r="Y161" s="91"/>
      <c r="Z161" s="91"/>
    </row>
    <row r="162" spans="1:26" ht="12.75" customHeight="1">
      <c r="A162" s="32" t="s">
        <v>205</v>
      </c>
      <c r="B162" s="32" t="str">
        <f t="shared" si="0"/>
        <v>Shambling Undead8</v>
      </c>
      <c r="C162" s="32" t="s">
        <v>803</v>
      </c>
      <c r="D162" s="32" t="str">
        <f t="shared" si="1"/>
        <v>Shambling UndeadSkeleton Journeyman</v>
      </c>
      <c r="E162" s="32">
        <v>5</v>
      </c>
      <c r="F162" s="32">
        <v>3</v>
      </c>
      <c r="G162" s="32">
        <v>4</v>
      </c>
      <c r="H162" s="32">
        <v>6</v>
      </c>
      <c r="I162" s="32">
        <v>8</v>
      </c>
      <c r="J162" s="32" t="str">
        <f>IF(Roster!$J$24="English",U162,(IF(Roster!$J$24="Español",V162,(IF(Roster!$J$24="Deutsch",W162,(IF(Roster!$J$24="Français",X162)))))))</f>
        <v>Loner (4+), Regeneration, Thick Skull</v>
      </c>
      <c r="K162" s="31">
        <v>0</v>
      </c>
      <c r="L162" s="31">
        <v>40</v>
      </c>
      <c r="M162" s="32">
        <v>11</v>
      </c>
      <c r="N162" s="32">
        <v>0</v>
      </c>
      <c r="O162" s="31" t="s">
        <v>250</v>
      </c>
      <c r="P162" s="31" t="s">
        <v>249</v>
      </c>
      <c r="Q162" s="31" t="s">
        <v>249</v>
      </c>
      <c r="R162" s="31" t="s">
        <v>249</v>
      </c>
      <c r="S162" s="31">
        <v>0</v>
      </c>
      <c r="T162" s="91" t="str">
        <f t="shared" si="54"/>
        <v>M</v>
      </c>
      <c r="U162" s="91" t="s">
        <v>804</v>
      </c>
      <c r="V162" s="32" t="s">
        <v>805</v>
      </c>
      <c r="W162" s="91" t="s">
        <v>806</v>
      </c>
      <c r="X162" s="91" t="s">
        <v>807</v>
      </c>
      <c r="Y162" s="91"/>
      <c r="Z162" s="91"/>
    </row>
    <row r="163" spans="1:26" ht="12.75" customHeight="1">
      <c r="A163" s="32" t="s">
        <v>205</v>
      </c>
      <c r="B163" s="32" t="str">
        <f t="shared" si="0"/>
        <v>Shambling Undead9</v>
      </c>
      <c r="C163" s="32" t="s">
        <v>808</v>
      </c>
      <c r="D163" s="32" t="str">
        <f t="shared" si="1"/>
        <v>Shambling UndeadZombie Journeyman</v>
      </c>
      <c r="E163" s="32">
        <v>4</v>
      </c>
      <c r="F163" s="32">
        <v>3</v>
      </c>
      <c r="G163" s="32">
        <v>4</v>
      </c>
      <c r="H163" s="32">
        <v>0</v>
      </c>
      <c r="I163" s="32">
        <v>9</v>
      </c>
      <c r="J163" s="32" t="str">
        <f>IF(Roster!$J$24="English",U163,(IF(Roster!$J$24="Español",V163,(IF(Roster!$J$24="Deutsch",W163,(IF(Roster!$J$24="Français",X163)))))))</f>
        <v>Loner (4+), Regeneration</v>
      </c>
      <c r="K163" s="31">
        <v>0</v>
      </c>
      <c r="L163" s="31">
        <v>40</v>
      </c>
      <c r="M163" s="32">
        <v>11</v>
      </c>
      <c r="N163" s="32">
        <v>0</v>
      </c>
      <c r="O163" s="31" t="s">
        <v>250</v>
      </c>
      <c r="P163" s="31" t="s">
        <v>249</v>
      </c>
      <c r="Q163" s="31" t="s">
        <v>249</v>
      </c>
      <c r="R163" s="225">
        <v>0</v>
      </c>
      <c r="S163" s="31">
        <v>0</v>
      </c>
      <c r="T163" s="91" t="str">
        <f t="shared" si="54"/>
        <v>PM</v>
      </c>
      <c r="U163" s="91" t="s">
        <v>653</v>
      </c>
      <c r="V163" s="32" t="s">
        <v>654</v>
      </c>
      <c r="W163" s="91" t="s">
        <v>655</v>
      </c>
      <c r="X163" s="91" t="s">
        <v>656</v>
      </c>
      <c r="Y163" s="91"/>
      <c r="Z163" s="91"/>
    </row>
    <row r="164" spans="1:26" ht="12.75" customHeight="1">
      <c r="A164" s="32" t="s">
        <v>211</v>
      </c>
      <c r="B164" s="32" t="str">
        <f t="shared" si="0"/>
        <v>Slann1</v>
      </c>
      <c r="C164" s="32" t="str">
        <f>""</f>
        <v/>
      </c>
      <c r="D164" s="32" t="str">
        <f t="shared" si="1"/>
        <v>Slann</v>
      </c>
      <c r="E164" s="32">
        <v>0</v>
      </c>
      <c r="F164" s="32">
        <v>0</v>
      </c>
      <c r="G164" s="32">
        <v>0</v>
      </c>
      <c r="H164" s="32">
        <v>0</v>
      </c>
      <c r="I164" s="32">
        <v>0</v>
      </c>
      <c r="J164" s="32" t="str">
        <f>IF(Roster!$J$24="English",U164,(IF(Roster!$J$24="Español",V164,(IF(Roster!$J$24="Deutsch",W164,(IF(Roster!$J$24="Français",X164)))))))</f>
        <v>Regeneration</v>
      </c>
      <c r="K164" s="31">
        <v>0</v>
      </c>
      <c r="L164" s="31">
        <f t="shared" ref="L164:L168" si="55">K164/1000</f>
        <v>0</v>
      </c>
      <c r="M164" s="31">
        <v>0</v>
      </c>
      <c r="N164" s="31">
        <v>0</v>
      </c>
      <c r="O164" s="31"/>
      <c r="P164" s="31"/>
      <c r="Q164" s="31"/>
      <c r="R164" s="225"/>
      <c r="S164" s="31"/>
      <c r="T164" s="91"/>
      <c r="U164" s="91" t="s">
        <v>636</v>
      </c>
      <c r="V164" s="32" t="s">
        <v>637</v>
      </c>
      <c r="W164" s="91" t="s">
        <v>636</v>
      </c>
      <c r="X164" s="91" t="s">
        <v>638</v>
      </c>
      <c r="Y164" s="91">
        <v>0</v>
      </c>
      <c r="Z164" s="91"/>
    </row>
    <row r="165" spans="1:26" ht="12.75" customHeight="1">
      <c r="A165" s="32" t="s">
        <v>211</v>
      </c>
      <c r="B165" s="32" t="str">
        <f t="shared" si="0"/>
        <v>Slann2</v>
      </c>
      <c r="C165" s="32" t="s">
        <v>466</v>
      </c>
      <c r="D165" s="32" t="str">
        <f t="shared" si="1"/>
        <v>SlannLineman</v>
      </c>
      <c r="E165" s="32">
        <v>6</v>
      </c>
      <c r="F165" s="32">
        <v>3</v>
      </c>
      <c r="G165" s="32">
        <v>3</v>
      </c>
      <c r="H165" s="32">
        <v>4</v>
      </c>
      <c r="I165" s="32">
        <v>9</v>
      </c>
      <c r="J165" s="32" t="str">
        <f>IF(Roster!$J$24="English",U165,(IF(Roster!$J$24="Español",V165,(IF(Roster!$J$24="Deutsch",W165,(IF(Roster!$J$24="Français",X165)))))))</f>
        <v>Pogo Stick, Very Long Legs</v>
      </c>
      <c r="K165" s="31">
        <v>60000</v>
      </c>
      <c r="L165" s="31">
        <f t="shared" si="55"/>
        <v>60</v>
      </c>
      <c r="M165" s="32">
        <v>16</v>
      </c>
      <c r="N165" s="32">
        <v>0</v>
      </c>
      <c r="O165" s="31" t="s">
        <v>250</v>
      </c>
      <c r="P165" s="31" t="s">
        <v>249</v>
      </c>
      <c r="Q165" s="31" t="s">
        <v>249</v>
      </c>
      <c r="R165" s="31" t="s">
        <v>249</v>
      </c>
      <c r="S165" s="31">
        <v>0</v>
      </c>
      <c r="T165" s="91" t="str">
        <f t="shared" ref="T165:T169" si="56">IF(AND(R165&lt;&gt;0,S165&lt;&gt;0),"FULL",(IF(AND(R165=0,S165=0),"PM",IF(R165=0,"P",(IF(S165=0,"M"))))))</f>
        <v>M</v>
      </c>
      <c r="U165" s="91" t="s">
        <v>809</v>
      </c>
      <c r="V165" s="32" t="s">
        <v>810</v>
      </c>
      <c r="W165" s="91" t="s">
        <v>811</v>
      </c>
      <c r="X165" s="91" t="s">
        <v>812</v>
      </c>
      <c r="Y165" s="91"/>
      <c r="Z165" s="91"/>
    </row>
    <row r="166" spans="1:26" ht="12.75" customHeight="1">
      <c r="A166" s="32" t="s">
        <v>211</v>
      </c>
      <c r="B166" s="32" t="str">
        <f t="shared" si="0"/>
        <v>Slann3</v>
      </c>
      <c r="C166" s="32" t="s">
        <v>333</v>
      </c>
      <c r="D166" s="32" t="str">
        <f t="shared" si="1"/>
        <v>SlannCatcher</v>
      </c>
      <c r="E166" s="32">
        <v>7</v>
      </c>
      <c r="F166" s="32">
        <v>2</v>
      </c>
      <c r="G166" s="32">
        <v>2</v>
      </c>
      <c r="H166" s="32">
        <v>4</v>
      </c>
      <c r="I166" s="32">
        <v>8</v>
      </c>
      <c r="J166" s="32" t="str">
        <f>IF(Roster!$J$24="English",U166,(IF(Roster!$J$24="Español",V166,(IF(Roster!$J$24="Deutsch",W166,(IF(Roster!$J$24="Français",X166)))))))</f>
        <v>Diving Catch, Pogo Stick, Very Long Legs</v>
      </c>
      <c r="K166" s="31">
        <v>80000</v>
      </c>
      <c r="L166" s="31">
        <f t="shared" si="55"/>
        <v>80</v>
      </c>
      <c r="M166" s="32">
        <v>4</v>
      </c>
      <c r="N166" s="32">
        <v>0</v>
      </c>
      <c r="O166" s="31" t="s">
        <v>250</v>
      </c>
      <c r="P166" s="31" t="s">
        <v>250</v>
      </c>
      <c r="Q166" s="31" t="s">
        <v>249</v>
      </c>
      <c r="R166" s="31" t="s">
        <v>249</v>
      </c>
      <c r="S166" s="31">
        <v>0</v>
      </c>
      <c r="T166" s="91" t="str">
        <f t="shared" si="56"/>
        <v>M</v>
      </c>
      <c r="U166" s="91" t="s">
        <v>813</v>
      </c>
      <c r="V166" s="91" t="s">
        <v>814</v>
      </c>
      <c r="W166" s="91" t="s">
        <v>815</v>
      </c>
      <c r="X166" s="91" t="s">
        <v>816</v>
      </c>
      <c r="Y166" s="91"/>
      <c r="Z166" s="91"/>
    </row>
    <row r="167" spans="1:26" ht="12.75" customHeight="1">
      <c r="A167" s="32" t="s">
        <v>211</v>
      </c>
      <c r="B167" s="32" t="str">
        <f t="shared" si="0"/>
        <v>Slann4</v>
      </c>
      <c r="C167" s="32" t="s">
        <v>338</v>
      </c>
      <c r="D167" s="32" t="str">
        <f t="shared" si="1"/>
        <v>SlannBlitzer</v>
      </c>
      <c r="E167" s="32">
        <v>7</v>
      </c>
      <c r="F167" s="32">
        <v>3</v>
      </c>
      <c r="G167" s="32">
        <v>3</v>
      </c>
      <c r="H167" s="32">
        <v>4</v>
      </c>
      <c r="I167" s="32">
        <v>9</v>
      </c>
      <c r="J167" s="32" t="str">
        <f>IF(Roster!$J$24="English",U167,(IF(Roster!$J$24="Español",V167,(IF(Roster!$J$24="Deutsch",W167,(IF(Roster!$J$24="Français",X167)))))))</f>
        <v>Diving Tackle, Jump Up, Pogo Stick, Very Long Legs</v>
      </c>
      <c r="K167" s="31">
        <v>110000</v>
      </c>
      <c r="L167" s="31">
        <f t="shared" si="55"/>
        <v>110</v>
      </c>
      <c r="M167" s="32">
        <v>4</v>
      </c>
      <c r="N167" s="32">
        <v>0</v>
      </c>
      <c r="O167" s="31" t="s">
        <v>250</v>
      </c>
      <c r="P167" s="31" t="s">
        <v>250</v>
      </c>
      <c r="Q167" s="31" t="s">
        <v>250</v>
      </c>
      <c r="R167" s="31" t="s">
        <v>249</v>
      </c>
      <c r="S167" s="31">
        <v>0</v>
      </c>
      <c r="T167" s="91" t="str">
        <f t="shared" si="56"/>
        <v>M</v>
      </c>
      <c r="U167" s="91" t="s">
        <v>817</v>
      </c>
      <c r="V167" s="91" t="s">
        <v>818</v>
      </c>
      <c r="W167" s="91" t="s">
        <v>819</v>
      </c>
      <c r="X167" s="91" t="s">
        <v>820</v>
      </c>
      <c r="Y167" s="91"/>
      <c r="Z167" s="91"/>
    </row>
    <row r="168" spans="1:26" ht="12.75" customHeight="1">
      <c r="A168" s="32" t="s">
        <v>211</v>
      </c>
      <c r="B168" s="32" t="str">
        <f t="shared" si="0"/>
        <v>Slann5</v>
      </c>
      <c r="C168" s="32" t="s">
        <v>626</v>
      </c>
      <c r="D168" s="32" t="str">
        <f t="shared" si="1"/>
        <v>SlannKroxigor</v>
      </c>
      <c r="E168" s="32">
        <v>6</v>
      </c>
      <c r="F168" s="32">
        <v>5</v>
      </c>
      <c r="G168" s="32">
        <v>5</v>
      </c>
      <c r="H168" s="32">
        <v>0</v>
      </c>
      <c r="I168" s="32">
        <v>10</v>
      </c>
      <c r="J168" s="32" t="str">
        <f>IF(Roster!$J$24="English",U168,(IF(Roster!$J$24="Español",V168,(IF(Roster!$J$24="Deutsch",W168,(IF(Roster!$J$24="Français",X168)))))))</f>
        <v>Bonehead, Loner (4+), Mighty Blow (+1), Prehensile Tail, Thick Skull</v>
      </c>
      <c r="K168" s="31">
        <v>140000</v>
      </c>
      <c r="L168" s="31">
        <f t="shared" si="55"/>
        <v>140</v>
      </c>
      <c r="M168" s="32">
        <v>1</v>
      </c>
      <c r="N168" s="32">
        <v>1</v>
      </c>
      <c r="O168" s="31" t="s">
        <v>249</v>
      </c>
      <c r="P168" s="31" t="s">
        <v>249</v>
      </c>
      <c r="Q168" s="31" t="s">
        <v>250</v>
      </c>
      <c r="R168" s="225">
        <v>0</v>
      </c>
      <c r="S168" s="31">
        <v>0</v>
      </c>
      <c r="T168" s="91" t="str">
        <f t="shared" si="56"/>
        <v>PM</v>
      </c>
      <c r="U168" s="91" t="s">
        <v>821</v>
      </c>
      <c r="V168" s="91" t="s">
        <v>628</v>
      </c>
      <c r="W168" s="91" t="s">
        <v>822</v>
      </c>
      <c r="X168" s="91" t="s">
        <v>823</v>
      </c>
      <c r="Y168" s="91"/>
      <c r="Z168" s="91"/>
    </row>
    <row r="169" spans="1:26" ht="12.75" customHeight="1">
      <c r="A169" s="32" t="s">
        <v>211</v>
      </c>
      <c r="B169" s="32" t="str">
        <f t="shared" si="0"/>
        <v>Slann6</v>
      </c>
      <c r="C169" s="32" t="s">
        <v>824</v>
      </c>
      <c r="D169" s="32" t="str">
        <f t="shared" si="1"/>
        <v>SlannJourney Slann</v>
      </c>
      <c r="E169" s="32">
        <v>6</v>
      </c>
      <c r="F169" s="32">
        <v>3</v>
      </c>
      <c r="G169" s="32">
        <v>3</v>
      </c>
      <c r="H169" s="32">
        <v>4</v>
      </c>
      <c r="I169" s="32">
        <v>9</v>
      </c>
      <c r="J169" s="32" t="str">
        <f>IF(Roster!$J$24="English",U169,(IF(Roster!$J$24="Español",V169,(IF(Roster!$J$24="Deutsch",W169,(IF(Roster!$J$24="Français",X169)))))))</f>
        <v>Loner (4+), Pogo Stick, Very Long Legs</v>
      </c>
      <c r="K169" s="31">
        <v>0</v>
      </c>
      <c r="L169" s="31">
        <v>60</v>
      </c>
      <c r="M169" s="32">
        <v>11</v>
      </c>
      <c r="N169" s="32">
        <v>0</v>
      </c>
      <c r="O169" s="31" t="s">
        <v>250</v>
      </c>
      <c r="P169" s="31" t="s">
        <v>249</v>
      </c>
      <c r="Q169" s="31" t="s">
        <v>249</v>
      </c>
      <c r="R169" s="31" t="s">
        <v>249</v>
      </c>
      <c r="S169" s="31">
        <v>0</v>
      </c>
      <c r="T169" s="91" t="str">
        <f t="shared" si="56"/>
        <v>M</v>
      </c>
      <c r="U169" s="91" t="s">
        <v>825</v>
      </c>
      <c r="V169" s="32" t="s">
        <v>826</v>
      </c>
      <c r="W169" s="91" t="s">
        <v>827</v>
      </c>
      <c r="X169" s="91" t="s">
        <v>828</v>
      </c>
      <c r="Y169" s="91"/>
      <c r="Z169" s="91"/>
    </row>
    <row r="170" spans="1:26" ht="12.75" customHeight="1">
      <c r="A170" s="32" t="s">
        <v>215</v>
      </c>
      <c r="B170" s="32" t="str">
        <f t="shared" si="0"/>
        <v>Skaven1</v>
      </c>
      <c r="C170" s="32" t="str">
        <f>""</f>
        <v/>
      </c>
      <c r="D170" s="32" t="str">
        <f t="shared" si="1"/>
        <v>Skaven</v>
      </c>
      <c r="E170" s="32">
        <v>0</v>
      </c>
      <c r="F170" s="32">
        <v>0</v>
      </c>
      <c r="G170" s="32">
        <v>0</v>
      </c>
      <c r="H170" s="32">
        <v>0</v>
      </c>
      <c r="I170" s="32">
        <v>0</v>
      </c>
      <c r="J170" s="32">
        <f>IF(Roster!$J$24="English",U170,(IF(Roster!$J$24="Español",V170,(IF(Roster!$J$24="Deutsch",W170,(IF(Roster!$J$24="Français",X170)))))))</f>
        <v>0</v>
      </c>
      <c r="K170" s="31">
        <v>0</v>
      </c>
      <c r="L170" s="31">
        <f t="shared" ref="L170:L175" si="57">K170/1000</f>
        <v>0</v>
      </c>
      <c r="M170" s="31">
        <v>0</v>
      </c>
      <c r="N170" s="31">
        <v>0</v>
      </c>
      <c r="O170" s="31"/>
      <c r="P170" s="31"/>
      <c r="Q170" s="31"/>
      <c r="R170" s="31"/>
      <c r="S170" s="31"/>
      <c r="T170" s="91"/>
      <c r="U170" s="91">
        <v>0</v>
      </c>
      <c r="V170" s="91">
        <v>0</v>
      </c>
      <c r="W170" s="91">
        <v>0</v>
      </c>
      <c r="X170" s="91">
        <v>0</v>
      </c>
      <c r="Y170" s="91">
        <v>0</v>
      </c>
      <c r="Z170" s="91"/>
    </row>
    <row r="171" spans="1:26" ht="12.75" customHeight="1">
      <c r="A171" s="32" t="s">
        <v>215</v>
      </c>
      <c r="B171" s="32" t="str">
        <f t="shared" si="0"/>
        <v>Skaven2</v>
      </c>
      <c r="C171" s="32" t="s">
        <v>466</v>
      </c>
      <c r="D171" s="32" t="str">
        <f t="shared" si="1"/>
        <v>SkavenLineman</v>
      </c>
      <c r="E171" s="32">
        <v>7</v>
      </c>
      <c r="F171" s="32">
        <v>3</v>
      </c>
      <c r="G171" s="32">
        <v>3</v>
      </c>
      <c r="H171" s="32">
        <v>4</v>
      </c>
      <c r="I171" s="32">
        <v>8</v>
      </c>
      <c r="J171" s="32" t="str">
        <f>IF(Roster!$J$24="English",U171,(IF(Roster!$J$24="Español",V171,(IF(Roster!$J$24="Deutsch",W171,(IF(Roster!$J$24="Français",X171)))))))</f>
        <v/>
      </c>
      <c r="K171" s="31">
        <v>50000</v>
      </c>
      <c r="L171" s="31">
        <f t="shared" si="57"/>
        <v>50</v>
      </c>
      <c r="M171" s="32">
        <v>16</v>
      </c>
      <c r="N171" s="32">
        <v>0</v>
      </c>
      <c r="O171" s="31" t="s">
        <v>250</v>
      </c>
      <c r="P171" s="31" t="s">
        <v>249</v>
      </c>
      <c r="Q171" s="31" t="s">
        <v>249</v>
      </c>
      <c r="R171" s="31" t="s">
        <v>249</v>
      </c>
      <c r="S171" s="31" t="s">
        <v>249</v>
      </c>
      <c r="T171" s="91" t="str">
        <f t="shared" ref="T171:T176" si="58">IF(AND(R171&lt;&gt;0,S171&lt;&gt;0),"FULL",(IF(AND(R171=0,S171=0),"PM",IF(R171=0,"P",(IF(S171=0,"M"))))))</f>
        <v>FULL</v>
      </c>
      <c r="U171" s="91" t="str">
        <f t="shared" ref="U171:Y171" si="59">""</f>
        <v/>
      </c>
      <c r="V171" s="91" t="str">
        <f t="shared" si="59"/>
        <v/>
      </c>
      <c r="W171" s="91" t="str">
        <f t="shared" si="59"/>
        <v/>
      </c>
      <c r="X171" s="91" t="str">
        <f t="shared" si="59"/>
        <v/>
      </c>
      <c r="Y171" s="91" t="str">
        <f t="shared" si="59"/>
        <v/>
      </c>
      <c r="Z171" s="91"/>
    </row>
    <row r="172" spans="1:26" ht="12.75" customHeight="1">
      <c r="A172" s="32" t="s">
        <v>215</v>
      </c>
      <c r="B172" s="32" t="str">
        <f t="shared" si="0"/>
        <v>Skaven3</v>
      </c>
      <c r="C172" s="32" t="s">
        <v>328</v>
      </c>
      <c r="D172" s="32" t="str">
        <f t="shared" si="1"/>
        <v>SkavenThrower</v>
      </c>
      <c r="E172" s="32">
        <v>7</v>
      </c>
      <c r="F172" s="32">
        <v>3</v>
      </c>
      <c r="G172" s="32">
        <v>3</v>
      </c>
      <c r="H172" s="32">
        <v>2</v>
      </c>
      <c r="I172" s="32">
        <v>8</v>
      </c>
      <c r="J172" s="32" t="str">
        <f>IF(Roster!$J$24="English",U172,(IF(Roster!$J$24="Español",V172,(IF(Roster!$J$24="Deutsch",W172,(IF(Roster!$J$24="Français",X172)))))))</f>
        <v>Pass, Sure Hands</v>
      </c>
      <c r="K172" s="31">
        <v>85000</v>
      </c>
      <c r="L172" s="31">
        <f t="shared" si="57"/>
        <v>85</v>
      </c>
      <c r="M172" s="32">
        <v>2</v>
      </c>
      <c r="N172" s="32">
        <v>0</v>
      </c>
      <c r="O172" s="31" t="s">
        <v>250</v>
      </c>
      <c r="P172" s="31" t="s">
        <v>249</v>
      </c>
      <c r="Q172" s="31" t="s">
        <v>249</v>
      </c>
      <c r="R172" s="31" t="s">
        <v>250</v>
      </c>
      <c r="S172" s="31" t="s">
        <v>249</v>
      </c>
      <c r="T172" s="91" t="str">
        <f t="shared" si="58"/>
        <v>FULL</v>
      </c>
      <c r="U172" s="91" t="s">
        <v>589</v>
      </c>
      <c r="V172" s="32" t="s">
        <v>590</v>
      </c>
      <c r="W172" s="91" t="s">
        <v>591</v>
      </c>
      <c r="X172" s="91" t="s">
        <v>592</v>
      </c>
      <c r="Y172" s="91"/>
      <c r="Z172" s="91"/>
    </row>
    <row r="173" spans="1:26" ht="12.75" customHeight="1">
      <c r="A173" s="32" t="s">
        <v>215</v>
      </c>
      <c r="B173" s="32" t="str">
        <f t="shared" si="0"/>
        <v>Skaven4</v>
      </c>
      <c r="C173" s="32" t="s">
        <v>829</v>
      </c>
      <c r="D173" s="32" t="str">
        <f t="shared" si="1"/>
        <v>SkavenGutter Runner</v>
      </c>
      <c r="E173" s="32">
        <v>9</v>
      </c>
      <c r="F173" s="32">
        <v>2</v>
      </c>
      <c r="G173" s="32">
        <v>2</v>
      </c>
      <c r="H173" s="32">
        <v>4</v>
      </c>
      <c r="I173" s="32">
        <v>8</v>
      </c>
      <c r="J173" s="32" t="str">
        <f>IF(Roster!$J$24="English",U173,(IF(Roster!$J$24="Español",V173,(IF(Roster!$J$24="Deutsch",W173,(IF(Roster!$J$24="Français",X173)))))))</f>
        <v>Dodge</v>
      </c>
      <c r="K173" s="31">
        <v>85000</v>
      </c>
      <c r="L173" s="31">
        <f t="shared" si="57"/>
        <v>85</v>
      </c>
      <c r="M173" s="32">
        <v>4</v>
      </c>
      <c r="N173" s="32">
        <v>0</v>
      </c>
      <c r="O173" s="31" t="s">
        <v>250</v>
      </c>
      <c r="P173" s="31" t="s">
        <v>250</v>
      </c>
      <c r="Q173" s="31" t="s">
        <v>249</v>
      </c>
      <c r="R173" s="31" t="s">
        <v>249</v>
      </c>
      <c r="S173" s="31" t="s">
        <v>249</v>
      </c>
      <c r="T173" s="91" t="str">
        <f t="shared" si="58"/>
        <v>FULL</v>
      </c>
      <c r="U173" s="91" t="s">
        <v>324</v>
      </c>
      <c r="V173" s="91" t="s">
        <v>325</v>
      </c>
      <c r="W173" s="91" t="s">
        <v>326</v>
      </c>
      <c r="X173" s="91" t="s">
        <v>327</v>
      </c>
      <c r="Y173" s="91"/>
      <c r="Z173" s="91"/>
    </row>
    <row r="174" spans="1:26" ht="12.75" customHeight="1">
      <c r="A174" s="32" t="s">
        <v>215</v>
      </c>
      <c r="B174" s="32" t="str">
        <f t="shared" si="0"/>
        <v>Skaven5</v>
      </c>
      <c r="C174" s="32" t="s">
        <v>338</v>
      </c>
      <c r="D174" s="32" t="str">
        <f t="shared" si="1"/>
        <v>SkavenBlitzer</v>
      </c>
      <c r="E174" s="32">
        <v>7</v>
      </c>
      <c r="F174" s="32">
        <v>3</v>
      </c>
      <c r="G174" s="32">
        <v>3</v>
      </c>
      <c r="H174" s="32">
        <v>5</v>
      </c>
      <c r="I174" s="32">
        <v>9</v>
      </c>
      <c r="J174" s="32" t="str">
        <f>IF(Roster!$J$24="English",U174,(IF(Roster!$J$24="Español",V174,(IF(Roster!$J$24="Deutsch",W174,(IF(Roster!$J$24="Français",X174)))))))</f>
        <v>Block</v>
      </c>
      <c r="K174" s="31">
        <v>90000</v>
      </c>
      <c r="L174" s="31">
        <f t="shared" si="57"/>
        <v>90</v>
      </c>
      <c r="M174" s="32">
        <v>2</v>
      </c>
      <c r="N174" s="32">
        <v>0</v>
      </c>
      <c r="O174" s="31" t="s">
        <v>250</v>
      </c>
      <c r="P174" s="31" t="s">
        <v>249</v>
      </c>
      <c r="Q174" s="31" t="s">
        <v>250</v>
      </c>
      <c r="R174" s="31" t="s">
        <v>249</v>
      </c>
      <c r="S174" s="31" t="s">
        <v>249</v>
      </c>
      <c r="T174" s="91" t="str">
        <f t="shared" si="58"/>
        <v>FULL</v>
      </c>
      <c r="U174" s="91" t="s">
        <v>477</v>
      </c>
      <c r="V174" s="32" t="s">
        <v>478</v>
      </c>
      <c r="W174" s="91" t="s">
        <v>477</v>
      </c>
      <c r="X174" s="91" t="s">
        <v>479</v>
      </c>
      <c r="Y174" s="91"/>
      <c r="Z174" s="91"/>
    </row>
    <row r="175" spans="1:26" ht="12.75" customHeight="1">
      <c r="A175" s="32" t="s">
        <v>215</v>
      </c>
      <c r="B175" s="32" t="str">
        <f t="shared" si="0"/>
        <v>Skaven6</v>
      </c>
      <c r="C175" s="32" t="s">
        <v>830</v>
      </c>
      <c r="D175" s="32" t="str">
        <f t="shared" si="1"/>
        <v>SkavenRat Ogre</v>
      </c>
      <c r="E175" s="32">
        <v>6</v>
      </c>
      <c r="F175" s="32">
        <v>5</v>
      </c>
      <c r="G175" s="32">
        <v>4</v>
      </c>
      <c r="H175" s="32">
        <v>0</v>
      </c>
      <c r="I175" s="32">
        <v>9</v>
      </c>
      <c r="J175" s="32" t="str">
        <f>IF(Roster!$J$24="English",U175,(IF(Roster!$J$24="Español",V175,(IF(Roster!$J$24="Deutsch",W175,(IF(Roster!$J$24="Français",X175)))))))</f>
        <v>Animal Savagery, Frenzy, Loner (4+), Mighty Blow (+1), Prehensile Tail</v>
      </c>
      <c r="K175" s="31">
        <v>150000</v>
      </c>
      <c r="L175" s="31">
        <f t="shared" si="57"/>
        <v>150</v>
      </c>
      <c r="M175" s="32">
        <v>1</v>
      </c>
      <c r="N175" s="32">
        <v>1</v>
      </c>
      <c r="O175" s="31" t="s">
        <v>249</v>
      </c>
      <c r="P175" s="31" t="s">
        <v>249</v>
      </c>
      <c r="Q175" s="31" t="s">
        <v>250</v>
      </c>
      <c r="R175" s="225">
        <v>0</v>
      </c>
      <c r="S175" s="31" t="s">
        <v>249</v>
      </c>
      <c r="T175" s="91" t="str">
        <f t="shared" si="58"/>
        <v>P</v>
      </c>
      <c r="U175" s="91" t="s">
        <v>436</v>
      </c>
      <c r="V175" s="32" t="s">
        <v>437</v>
      </c>
      <c r="W175" s="91" t="s">
        <v>438</v>
      </c>
      <c r="X175" s="91" t="s">
        <v>439</v>
      </c>
      <c r="Y175" s="91"/>
      <c r="Z175" s="91"/>
    </row>
    <row r="176" spans="1:26" ht="12.75" customHeight="1">
      <c r="A176" s="32" t="s">
        <v>215</v>
      </c>
      <c r="B176" s="32" t="str">
        <f t="shared" si="0"/>
        <v>Skaven7</v>
      </c>
      <c r="C176" s="32" t="s">
        <v>831</v>
      </c>
      <c r="D176" s="32" t="str">
        <f t="shared" si="1"/>
        <v>SkavenJourney Skaven</v>
      </c>
      <c r="E176" s="32">
        <v>7</v>
      </c>
      <c r="F176" s="32">
        <v>3</v>
      </c>
      <c r="G176" s="32">
        <v>3</v>
      </c>
      <c r="H176" s="32">
        <v>4</v>
      </c>
      <c r="I176" s="32">
        <v>8</v>
      </c>
      <c r="J176" s="32" t="str">
        <f>IF(Roster!$J$24="English",U176,(IF(Roster!$J$24="Español",V176,(IF(Roster!$J$24="Deutsch",W176,(IF(Roster!$J$24="Français",X176)))))))</f>
        <v>Loner (4+)</v>
      </c>
      <c r="K176" s="31">
        <v>0</v>
      </c>
      <c r="L176" s="31">
        <v>50</v>
      </c>
      <c r="M176" s="32">
        <v>11</v>
      </c>
      <c r="N176" s="32">
        <v>0</v>
      </c>
      <c r="O176" s="31" t="s">
        <v>250</v>
      </c>
      <c r="P176" s="31" t="s">
        <v>249</v>
      </c>
      <c r="Q176" s="31" t="s">
        <v>249</v>
      </c>
      <c r="R176" s="31" t="s">
        <v>249</v>
      </c>
      <c r="S176" s="31" t="s">
        <v>249</v>
      </c>
      <c r="T176" s="91" t="str">
        <f t="shared" si="58"/>
        <v>FULL</v>
      </c>
      <c r="U176" s="91" t="s">
        <v>410</v>
      </c>
      <c r="V176" s="91" t="s">
        <v>411</v>
      </c>
      <c r="W176" s="91" t="s">
        <v>412</v>
      </c>
      <c r="X176" s="91" t="s">
        <v>413</v>
      </c>
      <c r="Y176" s="91"/>
      <c r="Z176" s="91"/>
    </row>
    <row r="177" spans="1:26" ht="12.75" customHeight="1">
      <c r="A177" s="32" t="s">
        <v>226</v>
      </c>
      <c r="B177" s="32" t="str">
        <f t="shared" si="0"/>
        <v>Tomb King1</v>
      </c>
      <c r="C177" s="32" t="str">
        <f>""</f>
        <v/>
      </c>
      <c r="D177" s="32" t="str">
        <f t="shared" si="1"/>
        <v>Tomb King</v>
      </c>
      <c r="E177" s="32">
        <v>0</v>
      </c>
      <c r="F177" s="32">
        <v>0</v>
      </c>
      <c r="G177" s="32">
        <v>0</v>
      </c>
      <c r="H177" s="32">
        <v>0</v>
      </c>
      <c r="I177" s="32">
        <v>0</v>
      </c>
      <c r="J177" s="32">
        <f>IF(Roster!$J$24="English",U177,(IF(Roster!$J$24="Español",V177,(IF(Roster!$J$24="Deutsch",W177,(IF(Roster!$J$24="Français",X177)))))))</f>
        <v>0</v>
      </c>
      <c r="K177" s="31">
        <v>0</v>
      </c>
      <c r="L177" s="31">
        <f t="shared" ref="L177:L181" si="60">K177/1000</f>
        <v>0</v>
      </c>
      <c r="M177" s="31">
        <v>0</v>
      </c>
      <c r="N177" s="31">
        <v>0</v>
      </c>
      <c r="O177" s="31"/>
      <c r="P177" s="31"/>
      <c r="Q177" s="31"/>
      <c r="R177" s="31"/>
      <c r="S177" s="31"/>
      <c r="T177" s="91"/>
      <c r="U177" s="91">
        <v>0</v>
      </c>
      <c r="V177" s="91">
        <v>0</v>
      </c>
      <c r="W177" s="91">
        <v>0</v>
      </c>
      <c r="X177" s="91">
        <v>0</v>
      </c>
      <c r="Y177" s="91">
        <v>0</v>
      </c>
      <c r="Z177" s="91"/>
    </row>
    <row r="178" spans="1:26" ht="12.75" customHeight="1">
      <c r="A178" s="32" t="s">
        <v>226</v>
      </c>
      <c r="B178" s="32" t="str">
        <f t="shared" si="0"/>
        <v>Tomb King2</v>
      </c>
      <c r="C178" s="32" t="s">
        <v>789</v>
      </c>
      <c r="D178" s="32" t="str">
        <f t="shared" si="1"/>
        <v>Tomb KingSkeleton</v>
      </c>
      <c r="E178" s="32">
        <v>5</v>
      </c>
      <c r="F178" s="32">
        <v>3</v>
      </c>
      <c r="G178" s="32">
        <v>4</v>
      </c>
      <c r="H178" s="32">
        <v>6</v>
      </c>
      <c r="I178" s="32">
        <v>8</v>
      </c>
      <c r="J178" s="32" t="str">
        <f>IF(Roster!$J$24="English",U178,(IF(Roster!$J$24="Español",V178,(IF(Roster!$J$24="Deutsch",W178,(IF(Roster!$J$24="Français",X178)))))))</f>
        <v>Regeneration, Thick Skull</v>
      </c>
      <c r="K178" s="31">
        <v>40000</v>
      </c>
      <c r="L178" s="31">
        <f t="shared" si="60"/>
        <v>40</v>
      </c>
      <c r="M178" s="32">
        <v>16</v>
      </c>
      <c r="N178" s="32">
        <v>0</v>
      </c>
      <c r="O178" s="31" t="s">
        <v>250</v>
      </c>
      <c r="P178" s="31" t="s">
        <v>249</v>
      </c>
      <c r="Q178" s="31" t="s">
        <v>249</v>
      </c>
      <c r="R178" s="31" t="s">
        <v>249</v>
      </c>
      <c r="S178" s="31">
        <v>0</v>
      </c>
      <c r="T178" s="91" t="str">
        <f t="shared" ref="T178:T182" si="61">IF(AND(R178&lt;&gt;0,S178&lt;&gt;0),"FULL",(IF(AND(R178=0,S178=0),"PM",IF(R178=0,"P",(IF(S178=0,"M"))))))</f>
        <v>M</v>
      </c>
      <c r="U178" s="91" t="s">
        <v>790</v>
      </c>
      <c r="V178" s="32" t="s">
        <v>791</v>
      </c>
      <c r="W178" s="91" t="s">
        <v>792</v>
      </c>
      <c r="X178" s="91" t="s">
        <v>793</v>
      </c>
      <c r="Y178" s="91"/>
      <c r="Z178" s="91"/>
    </row>
    <row r="179" spans="1:26" ht="12.75" customHeight="1">
      <c r="A179" s="32" t="s">
        <v>226</v>
      </c>
      <c r="B179" s="32" t="str">
        <f t="shared" si="0"/>
        <v>Tomb King3</v>
      </c>
      <c r="C179" s="32" t="s">
        <v>832</v>
      </c>
      <c r="D179" s="32" t="str">
        <f t="shared" si="1"/>
        <v>Tomb KingAnointed Throwers</v>
      </c>
      <c r="E179" s="32">
        <v>6</v>
      </c>
      <c r="F179" s="32">
        <v>3</v>
      </c>
      <c r="G179" s="32">
        <v>4</v>
      </c>
      <c r="H179" s="32">
        <v>3</v>
      </c>
      <c r="I179" s="32">
        <v>8</v>
      </c>
      <c r="J179" s="32" t="str">
        <f>IF(Roster!$J$24="English",U179,(IF(Roster!$J$24="Español",V179,(IF(Roster!$J$24="Deutsch",W179,(IF(Roster!$J$24="Français",X179)))))))</f>
        <v>Pass, Regeneration, Sure Hands, Thick Skull</v>
      </c>
      <c r="K179" s="31">
        <v>70000</v>
      </c>
      <c r="L179" s="31">
        <f t="shared" si="60"/>
        <v>70</v>
      </c>
      <c r="M179" s="32">
        <v>2</v>
      </c>
      <c r="N179" s="32">
        <v>0</v>
      </c>
      <c r="O179" s="31" t="s">
        <v>250</v>
      </c>
      <c r="P179" s="31" t="s">
        <v>249</v>
      </c>
      <c r="Q179" s="31" t="s">
        <v>249</v>
      </c>
      <c r="R179" s="31" t="s">
        <v>250</v>
      </c>
      <c r="S179" s="31">
        <v>0</v>
      </c>
      <c r="T179" s="91" t="str">
        <f t="shared" si="61"/>
        <v>M</v>
      </c>
      <c r="U179" s="91" t="s">
        <v>833</v>
      </c>
      <c r="V179" s="91" t="s">
        <v>834</v>
      </c>
      <c r="W179" s="91" t="s">
        <v>835</v>
      </c>
      <c r="X179" s="91" t="s">
        <v>836</v>
      </c>
      <c r="Y179" s="91"/>
      <c r="Z179" s="91"/>
    </row>
    <row r="180" spans="1:26" ht="12.75" customHeight="1">
      <c r="A180" s="32" t="s">
        <v>226</v>
      </c>
      <c r="B180" s="32" t="str">
        <f t="shared" si="0"/>
        <v>Tomb King4</v>
      </c>
      <c r="C180" s="32" t="s">
        <v>837</v>
      </c>
      <c r="D180" s="32" t="str">
        <f t="shared" si="1"/>
        <v>Tomb KingAnointed Blitzers</v>
      </c>
      <c r="E180" s="32">
        <v>6</v>
      </c>
      <c r="F180" s="32">
        <v>3</v>
      </c>
      <c r="G180" s="32">
        <v>4</v>
      </c>
      <c r="H180" s="32">
        <v>6</v>
      </c>
      <c r="I180" s="32">
        <v>9</v>
      </c>
      <c r="J180" s="32" t="str">
        <f>IF(Roster!$J$24="English",U180,(IF(Roster!$J$24="Español",V180,(IF(Roster!$J$24="Deutsch",W180,(IF(Roster!$J$24="Français",X180)))))))</f>
        <v>Block, Regeneration, Thick Skull</v>
      </c>
      <c r="K180" s="31">
        <v>90000</v>
      </c>
      <c r="L180" s="31">
        <f t="shared" si="60"/>
        <v>90</v>
      </c>
      <c r="M180" s="31">
        <v>2</v>
      </c>
      <c r="N180" s="31">
        <v>0</v>
      </c>
      <c r="O180" s="31" t="s">
        <v>250</v>
      </c>
      <c r="P180" s="31" t="s">
        <v>249</v>
      </c>
      <c r="Q180" s="31" t="s">
        <v>250</v>
      </c>
      <c r="R180" s="31" t="s">
        <v>249</v>
      </c>
      <c r="S180" s="31">
        <v>0</v>
      </c>
      <c r="T180" s="91" t="str">
        <f t="shared" si="61"/>
        <v>M</v>
      </c>
      <c r="U180" s="91" t="s">
        <v>838</v>
      </c>
      <c r="V180" s="32" t="s">
        <v>839</v>
      </c>
      <c r="W180" s="91" t="s">
        <v>840</v>
      </c>
      <c r="X180" s="91" t="s">
        <v>841</v>
      </c>
      <c r="Y180" s="91"/>
      <c r="Z180" s="91"/>
    </row>
    <row r="181" spans="1:26" ht="12.75" customHeight="1">
      <c r="A181" s="32" t="s">
        <v>226</v>
      </c>
      <c r="B181" s="32" t="str">
        <f t="shared" si="0"/>
        <v>Tomb King5</v>
      </c>
      <c r="C181" s="32" t="s">
        <v>842</v>
      </c>
      <c r="D181" s="32" t="str">
        <f t="shared" si="1"/>
        <v>Tomb KingTomb Guardian</v>
      </c>
      <c r="E181" s="32">
        <v>4</v>
      </c>
      <c r="F181" s="32">
        <v>5</v>
      </c>
      <c r="G181" s="32">
        <v>5</v>
      </c>
      <c r="H181" s="32">
        <v>0</v>
      </c>
      <c r="I181" s="32">
        <v>10</v>
      </c>
      <c r="J181" s="32" t="str">
        <f>IF(Roster!$J$24="English",U181,(IF(Roster!$J$24="Español",V181,(IF(Roster!$J$24="Deutsch",W181,(IF(Roster!$J$24="Français",X181)))))))</f>
        <v>Decay, Regeneration</v>
      </c>
      <c r="K181" s="31">
        <v>100000</v>
      </c>
      <c r="L181" s="31">
        <f t="shared" si="60"/>
        <v>100</v>
      </c>
      <c r="M181" s="31">
        <v>4</v>
      </c>
      <c r="N181" s="31">
        <v>0</v>
      </c>
      <c r="O181" s="31" t="s">
        <v>249</v>
      </c>
      <c r="P181" s="31" t="s">
        <v>249</v>
      </c>
      <c r="Q181" s="31" t="s">
        <v>250</v>
      </c>
      <c r="R181" s="225">
        <v>0</v>
      </c>
      <c r="S181" s="31">
        <v>0</v>
      </c>
      <c r="T181" s="91" t="str">
        <f t="shared" si="61"/>
        <v>PM</v>
      </c>
      <c r="U181" s="91" t="s">
        <v>843</v>
      </c>
      <c r="V181" s="32" t="s">
        <v>844</v>
      </c>
      <c r="W181" s="91" t="s">
        <v>845</v>
      </c>
      <c r="X181" s="91" t="s">
        <v>846</v>
      </c>
      <c r="Y181" s="91"/>
      <c r="Z181" s="91"/>
    </row>
    <row r="182" spans="1:26" ht="12.75" customHeight="1">
      <c r="A182" s="32" t="s">
        <v>226</v>
      </c>
      <c r="B182" s="32" t="str">
        <f t="shared" si="0"/>
        <v>Tomb King6</v>
      </c>
      <c r="C182" s="32" t="s">
        <v>847</v>
      </c>
      <c r="D182" s="32" t="str">
        <f t="shared" si="1"/>
        <v>Tomb KingJourney Skeleton</v>
      </c>
      <c r="E182" s="32">
        <v>5</v>
      </c>
      <c r="F182" s="32">
        <v>3</v>
      </c>
      <c r="G182" s="32">
        <v>4</v>
      </c>
      <c r="H182" s="32">
        <v>6</v>
      </c>
      <c r="I182" s="32">
        <v>8</v>
      </c>
      <c r="J182" s="32" t="str">
        <f>IF(Roster!$J$24="English",U182,(IF(Roster!$J$24="Español",V182,(IF(Roster!$J$24="Deutsch",W182,(IF(Roster!$J$24="Français",X182)))))))</f>
        <v>Loner (4+), Regeneration, Thick Skull</v>
      </c>
      <c r="K182" s="31">
        <v>0</v>
      </c>
      <c r="L182" s="31">
        <v>40</v>
      </c>
      <c r="M182" s="31">
        <v>11</v>
      </c>
      <c r="N182" s="31">
        <v>0</v>
      </c>
      <c r="O182" s="31" t="s">
        <v>250</v>
      </c>
      <c r="P182" s="31" t="s">
        <v>249</v>
      </c>
      <c r="Q182" s="31" t="s">
        <v>249</v>
      </c>
      <c r="R182" s="31" t="s">
        <v>249</v>
      </c>
      <c r="S182" s="31">
        <v>0</v>
      </c>
      <c r="T182" s="91" t="str">
        <f t="shared" si="61"/>
        <v>M</v>
      </c>
      <c r="U182" s="91" t="s">
        <v>804</v>
      </c>
      <c r="V182" s="32" t="s">
        <v>805</v>
      </c>
      <c r="W182" s="91" t="s">
        <v>806</v>
      </c>
      <c r="X182" s="91" t="s">
        <v>807</v>
      </c>
      <c r="Y182" s="91"/>
      <c r="Z182" s="91"/>
    </row>
    <row r="183" spans="1:26" ht="12.75" customHeight="1">
      <c r="A183" s="32" t="s">
        <v>221</v>
      </c>
      <c r="B183" s="32" t="str">
        <f t="shared" si="0"/>
        <v>Snotling1</v>
      </c>
      <c r="C183" s="32" t="str">
        <f>""</f>
        <v/>
      </c>
      <c r="D183" s="32" t="str">
        <f t="shared" si="1"/>
        <v>Snotling</v>
      </c>
      <c r="E183" s="32">
        <v>0</v>
      </c>
      <c r="F183" s="32">
        <v>0</v>
      </c>
      <c r="G183" s="32">
        <v>0</v>
      </c>
      <c r="H183" s="32">
        <v>0</v>
      </c>
      <c r="I183" s="32">
        <v>0</v>
      </c>
      <c r="J183" s="32">
        <f>IF(Roster!$J$24="English",U183,(IF(Roster!$J$24="Español",V183,(IF(Roster!$J$24="Deutsch",W183,(IF(Roster!$J$24="Français",X183)))))))</f>
        <v>0</v>
      </c>
      <c r="K183" s="31">
        <v>0</v>
      </c>
      <c r="L183" s="31">
        <f>K183/1000</f>
        <v>0</v>
      </c>
      <c r="M183" s="31">
        <v>0</v>
      </c>
      <c r="N183" s="31">
        <v>0</v>
      </c>
      <c r="O183" s="31"/>
      <c r="P183" s="31"/>
      <c r="Q183" s="31"/>
      <c r="R183" s="31"/>
      <c r="S183" s="31"/>
      <c r="T183" s="91"/>
      <c r="U183" s="91">
        <v>0</v>
      </c>
      <c r="V183" s="91">
        <v>0</v>
      </c>
      <c r="W183" s="91">
        <v>0</v>
      </c>
      <c r="X183" s="91">
        <v>0</v>
      </c>
      <c r="Y183" s="91">
        <v>0</v>
      </c>
      <c r="Z183" s="91"/>
    </row>
    <row r="184" spans="1:26" ht="12.75" customHeight="1">
      <c r="A184" s="32" t="s">
        <v>221</v>
      </c>
      <c r="B184" s="32" t="str">
        <f t="shared" si="0"/>
        <v>Snotling2</v>
      </c>
      <c r="C184" s="32" t="s">
        <v>221</v>
      </c>
      <c r="D184" s="32" t="str">
        <f t="shared" si="1"/>
        <v>SnotlingSnotling</v>
      </c>
      <c r="E184" s="32">
        <v>5</v>
      </c>
      <c r="F184" s="32">
        <v>1</v>
      </c>
      <c r="G184" s="32">
        <v>3</v>
      </c>
      <c r="H184" s="32">
        <v>5</v>
      </c>
      <c r="I184" s="32">
        <v>6</v>
      </c>
      <c r="J184" s="32" t="str">
        <f>IF(Roster!$J$24="English",U184,(IF(Roster!$J$24="Español",V184,(IF(Roster!$J$24="Deutsch",W184,(IF(Roster!$J$24="Français",X184)))))))</f>
        <v>Dodge, Right Stuff, Side Step, Stunty, Swarming, Titchy</v>
      </c>
      <c r="K184" s="31">
        <v>15000</v>
      </c>
      <c r="L184" s="31">
        <f>IF(Roster!G55="NO",(K184/1000),0)</f>
        <v>0</v>
      </c>
      <c r="M184" s="31">
        <v>16</v>
      </c>
      <c r="N184" s="31">
        <v>0</v>
      </c>
      <c r="O184" s="31" t="s">
        <v>249</v>
      </c>
      <c r="P184" s="31" t="s">
        <v>250</v>
      </c>
      <c r="Q184" s="31" t="s">
        <v>249</v>
      </c>
      <c r="R184" s="31" t="s">
        <v>249</v>
      </c>
      <c r="S184" s="31">
        <v>0</v>
      </c>
      <c r="T184" s="91" t="str">
        <f t="shared" ref="T184:T190" si="62">IF(AND(R184&lt;&gt;0,S184&lt;&gt;0),"FULL",(IF(AND(R184=0,S184=0),"PM",IF(R184=0,"P",(IF(S184=0,"M"))))))</f>
        <v>M</v>
      </c>
      <c r="U184" s="91" t="s">
        <v>848</v>
      </c>
      <c r="V184" s="32" t="s">
        <v>849</v>
      </c>
      <c r="W184" s="91" t="s">
        <v>850</v>
      </c>
      <c r="X184" s="91" t="s">
        <v>851</v>
      </c>
      <c r="Y184" s="91"/>
      <c r="Z184" s="91"/>
    </row>
    <row r="185" spans="1:26" ht="12.75" customHeight="1">
      <c r="A185" s="32" t="s">
        <v>221</v>
      </c>
      <c r="B185" s="32" t="str">
        <f t="shared" si="0"/>
        <v>Snotling3</v>
      </c>
      <c r="C185" s="32" t="s">
        <v>852</v>
      </c>
      <c r="D185" s="32" t="str">
        <f t="shared" si="1"/>
        <v>SnotlingFungus Flinga</v>
      </c>
      <c r="E185" s="32">
        <v>5</v>
      </c>
      <c r="F185" s="32">
        <v>1</v>
      </c>
      <c r="G185" s="32">
        <v>3</v>
      </c>
      <c r="H185" s="32">
        <v>4</v>
      </c>
      <c r="I185" s="32">
        <v>6</v>
      </c>
      <c r="J185" s="32" t="str">
        <f>IF(Roster!$J$24="English",U185,(IF(Roster!$J$24="Español",V185,(IF(Roster!$J$24="Deutsch",W185,(IF(Roster!$J$24="Français",X185)))))))</f>
        <v>Bombardier, Dodge, Right Stuff, Secret Weapon, Side Step, Stunty</v>
      </c>
      <c r="K185" s="31">
        <v>30000</v>
      </c>
      <c r="L185" s="31">
        <f t="shared" ref="L185:L189" si="63">K185/1000</f>
        <v>30</v>
      </c>
      <c r="M185" s="31">
        <v>2</v>
      </c>
      <c r="N185" s="31">
        <v>0</v>
      </c>
      <c r="O185" s="31" t="s">
        <v>249</v>
      </c>
      <c r="P185" s="31" t="s">
        <v>250</v>
      </c>
      <c r="Q185" s="31" t="s">
        <v>249</v>
      </c>
      <c r="R185" s="31" t="s">
        <v>250</v>
      </c>
      <c r="S185" s="31">
        <v>0</v>
      </c>
      <c r="T185" s="91" t="str">
        <f t="shared" si="62"/>
        <v>M</v>
      </c>
      <c r="U185" s="91" t="s">
        <v>853</v>
      </c>
      <c r="V185" s="32" t="s">
        <v>854</v>
      </c>
      <c r="W185" s="91" t="s">
        <v>855</v>
      </c>
      <c r="X185" s="91" t="s">
        <v>856</v>
      </c>
      <c r="Y185" s="91"/>
      <c r="Z185" s="91"/>
    </row>
    <row r="186" spans="1:26" ht="12.75" customHeight="1">
      <c r="A186" s="32" t="s">
        <v>221</v>
      </c>
      <c r="B186" s="32" t="str">
        <f t="shared" si="0"/>
        <v>Snotling4</v>
      </c>
      <c r="C186" s="32" t="s">
        <v>857</v>
      </c>
      <c r="D186" s="32" t="str">
        <f t="shared" si="1"/>
        <v>SnotlingFun-hoppa</v>
      </c>
      <c r="E186" s="32">
        <v>6</v>
      </c>
      <c r="F186" s="32">
        <v>1</v>
      </c>
      <c r="G186" s="32">
        <v>3</v>
      </c>
      <c r="H186" s="32">
        <v>5</v>
      </c>
      <c r="I186" s="32">
        <v>6</v>
      </c>
      <c r="J186" s="32" t="str">
        <f>IF(Roster!$J$24="English",U186,(IF(Roster!$J$24="Español",V186,(IF(Roster!$J$24="Deutsch",W186,(IF(Roster!$J$24="Français",X186)))))))</f>
        <v>Dodge, Pogo Stick, Right Stuff, Side Step, Stunty</v>
      </c>
      <c r="K186" s="31">
        <v>20000</v>
      </c>
      <c r="L186" s="31">
        <f t="shared" si="63"/>
        <v>20</v>
      </c>
      <c r="M186" s="31">
        <v>2</v>
      </c>
      <c r="N186" s="31">
        <v>0</v>
      </c>
      <c r="O186" s="31" t="s">
        <v>249</v>
      </c>
      <c r="P186" s="31" t="s">
        <v>250</v>
      </c>
      <c r="Q186" s="31" t="s">
        <v>249</v>
      </c>
      <c r="R186" s="31" t="s">
        <v>249</v>
      </c>
      <c r="S186" s="31">
        <v>0</v>
      </c>
      <c r="T186" s="91" t="str">
        <f t="shared" si="62"/>
        <v>M</v>
      </c>
      <c r="U186" s="91" t="s">
        <v>858</v>
      </c>
      <c r="V186" s="32" t="s">
        <v>859</v>
      </c>
      <c r="W186" s="91" t="s">
        <v>860</v>
      </c>
      <c r="X186" s="91" t="s">
        <v>861</v>
      </c>
      <c r="Y186" s="91"/>
      <c r="Z186" s="91"/>
    </row>
    <row r="187" spans="1:26" ht="12.75" customHeight="1">
      <c r="A187" s="32" t="s">
        <v>221</v>
      </c>
      <c r="B187" s="32" t="str">
        <f t="shared" si="0"/>
        <v>Snotling5</v>
      </c>
      <c r="C187" s="32" t="s">
        <v>862</v>
      </c>
      <c r="D187" s="32" t="str">
        <f t="shared" si="1"/>
        <v>SnotlingStilty Runna</v>
      </c>
      <c r="E187" s="32">
        <v>6</v>
      </c>
      <c r="F187" s="32">
        <v>1</v>
      </c>
      <c r="G187" s="32">
        <v>3</v>
      </c>
      <c r="H187" s="32">
        <v>5</v>
      </c>
      <c r="I187" s="32">
        <v>6</v>
      </c>
      <c r="J187" s="32" t="str">
        <f>IF(Roster!$J$24="English",U187,(IF(Roster!$J$24="Español",V187,(IF(Roster!$J$24="Deutsch",W187,(IF(Roster!$J$24="Français",X187)))))))</f>
        <v>Dodge, Right Stuff, Side Step, Sprint, Stunty</v>
      </c>
      <c r="K187" s="31">
        <v>20000</v>
      </c>
      <c r="L187" s="31">
        <f t="shared" si="63"/>
        <v>20</v>
      </c>
      <c r="M187" s="31">
        <v>2</v>
      </c>
      <c r="N187" s="31">
        <v>0</v>
      </c>
      <c r="O187" s="31" t="s">
        <v>249</v>
      </c>
      <c r="P187" s="31" t="s">
        <v>250</v>
      </c>
      <c r="Q187" s="31" t="s">
        <v>249</v>
      </c>
      <c r="R187" s="31" t="s">
        <v>249</v>
      </c>
      <c r="S187" s="31">
        <v>0</v>
      </c>
      <c r="T187" s="91" t="str">
        <f t="shared" si="62"/>
        <v>M</v>
      </c>
      <c r="U187" s="91" t="s">
        <v>863</v>
      </c>
      <c r="V187" s="91" t="s">
        <v>864</v>
      </c>
      <c r="W187" s="91" t="s">
        <v>865</v>
      </c>
      <c r="X187" s="91" t="s">
        <v>866</v>
      </c>
      <c r="Y187" s="91"/>
      <c r="Z187" s="91"/>
    </row>
    <row r="188" spans="1:26" ht="12.75" customHeight="1">
      <c r="A188" s="32" t="s">
        <v>221</v>
      </c>
      <c r="B188" s="32" t="str">
        <f t="shared" si="0"/>
        <v>Snotling6</v>
      </c>
      <c r="C188" s="32" t="s">
        <v>867</v>
      </c>
      <c r="D188" s="32" t="str">
        <f t="shared" si="1"/>
        <v>SnotlingPump Wagon</v>
      </c>
      <c r="E188" s="32">
        <v>4</v>
      </c>
      <c r="F188" s="32">
        <v>5</v>
      </c>
      <c r="G188" s="32">
        <v>5</v>
      </c>
      <c r="H188" s="32">
        <v>0</v>
      </c>
      <c r="I188" s="32">
        <v>9</v>
      </c>
      <c r="J188" s="32" t="str">
        <f>IF(Roster!$J$24="English",U188,(IF(Roster!$J$24="Español",V188,(IF(Roster!$J$24="Deutsch",W188,(IF(Roster!$J$24="Français",X188)))))))</f>
        <v>Dirty Player (+1), Juggernaut, Mighty Blow (+1), Really Stupid, Secret Weapon, Stand Firm</v>
      </c>
      <c r="K188" s="31">
        <v>105000</v>
      </c>
      <c r="L188" s="31">
        <f t="shared" si="63"/>
        <v>105</v>
      </c>
      <c r="M188" s="31">
        <v>2</v>
      </c>
      <c r="N188" s="31">
        <v>1</v>
      </c>
      <c r="O188" s="31" t="s">
        <v>249</v>
      </c>
      <c r="P188" s="31" t="s">
        <v>249</v>
      </c>
      <c r="Q188" s="31" t="s">
        <v>250</v>
      </c>
      <c r="R188" s="225">
        <v>0</v>
      </c>
      <c r="S188" s="31">
        <v>0</v>
      </c>
      <c r="T188" s="91" t="str">
        <f t="shared" si="62"/>
        <v>PM</v>
      </c>
      <c r="U188" s="91" t="s">
        <v>868</v>
      </c>
      <c r="V188" s="32" t="s">
        <v>869</v>
      </c>
      <c r="W188" s="91" t="s">
        <v>870</v>
      </c>
      <c r="X188" s="91" t="s">
        <v>871</v>
      </c>
      <c r="Y188" s="91"/>
      <c r="Z188" s="91"/>
    </row>
    <row r="189" spans="1:26" ht="12.75" customHeight="1">
      <c r="A189" s="32" t="s">
        <v>221</v>
      </c>
      <c r="B189" s="32" t="str">
        <f t="shared" si="0"/>
        <v>Snotling7</v>
      </c>
      <c r="C189" s="32" t="s">
        <v>357</v>
      </c>
      <c r="D189" s="32" t="str">
        <f t="shared" si="1"/>
        <v>SnotlingTrained Troll</v>
      </c>
      <c r="E189" s="32">
        <v>4</v>
      </c>
      <c r="F189" s="32">
        <v>5</v>
      </c>
      <c r="G189" s="32">
        <v>5</v>
      </c>
      <c r="H189" s="32">
        <v>5</v>
      </c>
      <c r="I189" s="32">
        <v>10</v>
      </c>
      <c r="J189" s="32" t="str">
        <f>IF(Roster!$J$24="English",U189,(IF(Roster!$J$24="Español",V189,(IF(Roster!$J$24="Deutsch",W189,(IF(Roster!$J$24="Français",X189)))))))</f>
        <v>Always Hungry, Loner (3+), Mighty Blow (+1), Projectile Vomit, Really Stupid, Regeneration, Throw Team-mate</v>
      </c>
      <c r="K189" s="31">
        <v>115000</v>
      </c>
      <c r="L189" s="31">
        <f t="shared" si="63"/>
        <v>115</v>
      </c>
      <c r="M189" s="31">
        <v>2</v>
      </c>
      <c r="N189" s="31">
        <v>1</v>
      </c>
      <c r="O189" s="31" t="s">
        <v>249</v>
      </c>
      <c r="P189" s="31" t="s">
        <v>249</v>
      </c>
      <c r="Q189" s="31" t="s">
        <v>250</v>
      </c>
      <c r="R189" s="31" t="s">
        <v>249</v>
      </c>
      <c r="S189" s="31">
        <v>0</v>
      </c>
      <c r="T189" s="91" t="str">
        <f t="shared" si="62"/>
        <v>M</v>
      </c>
      <c r="U189" s="91" t="s">
        <v>358</v>
      </c>
      <c r="V189" s="32" t="s">
        <v>359</v>
      </c>
      <c r="W189" s="91" t="s">
        <v>360</v>
      </c>
      <c r="X189" s="91" t="s">
        <v>361</v>
      </c>
      <c r="Y189" s="91"/>
      <c r="Z189" s="91"/>
    </row>
    <row r="190" spans="1:26" ht="12.75" customHeight="1">
      <c r="A190" s="32" t="s">
        <v>221</v>
      </c>
      <c r="B190" s="32" t="str">
        <f t="shared" si="0"/>
        <v>Snotling8</v>
      </c>
      <c r="C190" s="32" t="s">
        <v>872</v>
      </c>
      <c r="D190" s="32" t="str">
        <f t="shared" si="1"/>
        <v>SnotlingJourney Snotling</v>
      </c>
      <c r="E190" s="32">
        <v>5</v>
      </c>
      <c r="F190" s="32">
        <v>1</v>
      </c>
      <c r="G190" s="32">
        <v>3</v>
      </c>
      <c r="H190" s="32">
        <v>5</v>
      </c>
      <c r="I190" s="32">
        <v>6</v>
      </c>
      <c r="J190" s="32" t="str">
        <f>IF(Roster!$J$24="English",U190,(IF(Roster!$J$24="Español",V190,(IF(Roster!$J$24="Deutsch",W190,(IF(Roster!$J$24="Français",X190)))))))</f>
        <v>Loner (4+), Dodge, Right Stuff, Side Step, Stunty, Swarming, Titchy</v>
      </c>
      <c r="K190" s="31">
        <v>0</v>
      </c>
      <c r="L190" s="31">
        <f>IF(Roster!G55="NO",(K190/1000),0)</f>
        <v>0</v>
      </c>
      <c r="M190" s="31">
        <v>11</v>
      </c>
      <c r="N190" s="31">
        <v>0</v>
      </c>
      <c r="O190" s="31" t="s">
        <v>249</v>
      </c>
      <c r="P190" s="31" t="s">
        <v>250</v>
      </c>
      <c r="Q190" s="31" t="s">
        <v>249</v>
      </c>
      <c r="R190" s="31" t="s">
        <v>249</v>
      </c>
      <c r="S190" s="31">
        <v>0</v>
      </c>
      <c r="T190" s="91" t="str">
        <f t="shared" si="62"/>
        <v>M</v>
      </c>
      <c r="U190" s="91" t="s">
        <v>873</v>
      </c>
      <c r="V190" s="32" t="s">
        <v>874</v>
      </c>
      <c r="W190" s="91" t="s">
        <v>875</v>
      </c>
      <c r="X190" s="91" t="s">
        <v>876</v>
      </c>
      <c r="Y190" s="91"/>
      <c r="Z190" s="91"/>
    </row>
    <row r="191" spans="1:26" ht="12.75" customHeight="1">
      <c r="A191" s="32" t="s">
        <v>231</v>
      </c>
      <c r="B191" s="32" t="str">
        <f t="shared" si="0"/>
        <v>Underworld Denizens1</v>
      </c>
      <c r="C191" s="32" t="str">
        <f>""</f>
        <v/>
      </c>
      <c r="D191" s="32" t="str">
        <f t="shared" si="1"/>
        <v>Underworld Denizens</v>
      </c>
      <c r="E191" s="32">
        <v>0</v>
      </c>
      <c r="F191" s="32">
        <v>0</v>
      </c>
      <c r="G191" s="32">
        <v>0</v>
      </c>
      <c r="H191" s="32">
        <v>0</v>
      </c>
      <c r="I191" s="32">
        <v>0</v>
      </c>
      <c r="J191" s="32">
        <f>IF(Roster!$J$24="English",U191,(IF(Roster!$J$24="Español",V191,(IF(Roster!$J$24="Deutsch",W191,(IF(Roster!$J$24="Français",X191)))))))</f>
        <v>0</v>
      </c>
      <c r="K191" s="31">
        <v>0</v>
      </c>
      <c r="L191" s="31">
        <f t="shared" ref="L191:L199" si="64">K191/1000</f>
        <v>0</v>
      </c>
      <c r="M191" s="31">
        <v>0</v>
      </c>
      <c r="N191" s="31">
        <v>0</v>
      </c>
      <c r="O191" s="31"/>
      <c r="P191" s="31"/>
      <c r="Q191" s="31"/>
      <c r="R191" s="31"/>
      <c r="S191" s="31"/>
      <c r="T191" s="91"/>
      <c r="U191" s="91">
        <v>0</v>
      </c>
      <c r="V191" s="91">
        <v>0</v>
      </c>
      <c r="W191" s="91">
        <v>0</v>
      </c>
      <c r="X191" s="91">
        <v>0</v>
      </c>
      <c r="Y191" s="91">
        <v>0</v>
      </c>
      <c r="Z191" s="91"/>
    </row>
    <row r="192" spans="1:26" ht="12.75" customHeight="1">
      <c r="A192" s="32" t="s">
        <v>231</v>
      </c>
      <c r="B192" s="32" t="str">
        <f t="shared" si="0"/>
        <v>Underworld Denizens2</v>
      </c>
      <c r="C192" s="32" t="s">
        <v>139</v>
      </c>
      <c r="D192" s="32" t="str">
        <f t="shared" si="1"/>
        <v>Underworld DenizensGoblin</v>
      </c>
      <c r="E192" s="32">
        <v>6</v>
      </c>
      <c r="F192" s="32">
        <v>2</v>
      </c>
      <c r="G192" s="32">
        <v>3</v>
      </c>
      <c r="H192" s="32">
        <v>4</v>
      </c>
      <c r="I192" s="32">
        <v>8</v>
      </c>
      <c r="J192" s="32" t="str">
        <f>IF(Roster!$J$24="English",U192,(IF(Roster!$J$24="Español",V192,(IF(Roster!$J$24="Deutsch",W192,(IF(Roster!$J$24="Français",X192)))))))</f>
        <v>Dodge, Right Stuff, Stunty</v>
      </c>
      <c r="K192" s="31">
        <v>40000</v>
      </c>
      <c r="L192" s="31">
        <f t="shared" si="64"/>
        <v>40</v>
      </c>
      <c r="M192" s="32">
        <v>12</v>
      </c>
      <c r="N192" s="32">
        <v>0</v>
      </c>
      <c r="O192" s="31" t="s">
        <v>249</v>
      </c>
      <c r="P192" s="31" t="s">
        <v>250</v>
      </c>
      <c r="Q192" s="31" t="s">
        <v>249</v>
      </c>
      <c r="R192" s="31" t="s">
        <v>249</v>
      </c>
      <c r="S192" s="31" t="s">
        <v>250</v>
      </c>
      <c r="T192" s="91" t="str">
        <f t="shared" ref="T192:T200" si="65">IF(AND(R192&lt;&gt;0,S192&lt;&gt;0),"FULL",(IF(AND(R192=0,S192=0),"PM",IF(R192=0,"P",(IF(S192=0,"M"))))))</f>
        <v>FULL</v>
      </c>
      <c r="U192" s="91" t="s">
        <v>521</v>
      </c>
      <c r="V192" s="32" t="s">
        <v>522</v>
      </c>
      <c r="W192" s="91" t="s">
        <v>523</v>
      </c>
      <c r="X192" s="91" t="s">
        <v>524</v>
      </c>
      <c r="Y192" s="91"/>
      <c r="Z192" s="91"/>
    </row>
    <row r="193" spans="1:26" ht="12.75" customHeight="1">
      <c r="A193" s="32" t="s">
        <v>231</v>
      </c>
      <c r="B193" s="32" t="str">
        <f t="shared" si="0"/>
        <v>Underworld Denizens3</v>
      </c>
      <c r="C193" s="32" t="s">
        <v>221</v>
      </c>
      <c r="D193" s="32" t="str">
        <f t="shared" si="1"/>
        <v>Underworld DenizensSnotling</v>
      </c>
      <c r="E193" s="32">
        <v>5</v>
      </c>
      <c r="F193" s="32">
        <v>1</v>
      </c>
      <c r="G193" s="32">
        <v>3</v>
      </c>
      <c r="H193" s="32">
        <v>5</v>
      </c>
      <c r="I193" s="32">
        <v>6</v>
      </c>
      <c r="J193" s="32" t="str">
        <f>IF(Roster!$J$24="English",U193,(IF(Roster!$J$24="Español",V193,(IF(Roster!$J$24="Deutsch",W193,(IF(Roster!$J$24="Français",X193)))))))</f>
        <v>Dodge, Right Stuff, Side Step, Stunty, Swarming, Titchy</v>
      </c>
      <c r="K193" s="31">
        <v>15000</v>
      </c>
      <c r="L193" s="31">
        <f t="shared" si="64"/>
        <v>15</v>
      </c>
      <c r="M193" s="31">
        <v>6</v>
      </c>
      <c r="N193" s="31">
        <v>0</v>
      </c>
      <c r="O193" s="31" t="s">
        <v>249</v>
      </c>
      <c r="P193" s="31" t="s">
        <v>250</v>
      </c>
      <c r="Q193" s="31" t="s">
        <v>249</v>
      </c>
      <c r="R193" s="31" t="s">
        <v>249</v>
      </c>
      <c r="S193" s="31" t="s">
        <v>250</v>
      </c>
      <c r="T193" s="91" t="str">
        <f t="shared" si="65"/>
        <v>FULL</v>
      </c>
      <c r="U193" s="91" t="s">
        <v>848</v>
      </c>
      <c r="V193" s="91" t="s">
        <v>849</v>
      </c>
      <c r="W193" s="91" t="s">
        <v>850</v>
      </c>
      <c r="X193" s="91" t="s">
        <v>851</v>
      </c>
      <c r="Y193" s="91"/>
      <c r="Z193" s="91"/>
    </row>
    <row r="194" spans="1:26" ht="12.75" customHeight="1">
      <c r="A194" s="32" t="s">
        <v>231</v>
      </c>
      <c r="B194" s="32" t="str">
        <f t="shared" si="0"/>
        <v>Underworld Denizens4</v>
      </c>
      <c r="C194" s="32" t="s">
        <v>877</v>
      </c>
      <c r="D194" s="32" t="str">
        <f t="shared" si="1"/>
        <v>Underworld DenizensSkaven Clanrat</v>
      </c>
      <c r="E194" s="32">
        <v>7</v>
      </c>
      <c r="F194" s="32">
        <v>3</v>
      </c>
      <c r="G194" s="32">
        <v>3</v>
      </c>
      <c r="H194" s="32">
        <v>4</v>
      </c>
      <c r="I194" s="32">
        <v>8</v>
      </c>
      <c r="J194" s="32" t="str">
        <f>IF(Roster!$J$24="English",U194,(IF(Roster!$J$24="Español",V194,(IF(Roster!$J$24="Deutsch",W194,(IF(Roster!$J$24="Français",X194)))))))</f>
        <v>Animosity (Underworld Goblin Linemen)</v>
      </c>
      <c r="K194" s="31">
        <v>50000</v>
      </c>
      <c r="L194" s="31">
        <f t="shared" si="64"/>
        <v>50</v>
      </c>
      <c r="M194" s="32">
        <v>3</v>
      </c>
      <c r="N194" s="32">
        <v>0</v>
      </c>
      <c r="O194" s="31" t="s">
        <v>250</v>
      </c>
      <c r="P194" s="31" t="s">
        <v>249</v>
      </c>
      <c r="Q194" s="31" t="s">
        <v>249</v>
      </c>
      <c r="R194" s="31" t="s">
        <v>249</v>
      </c>
      <c r="S194" s="31" t="s">
        <v>250</v>
      </c>
      <c r="T194" s="91" t="str">
        <f t="shared" si="65"/>
        <v>FULL</v>
      </c>
      <c r="U194" s="91" t="s">
        <v>878</v>
      </c>
      <c r="V194" s="91" t="s">
        <v>879</v>
      </c>
      <c r="W194" s="91" t="s">
        <v>880</v>
      </c>
      <c r="X194" s="91" t="s">
        <v>881</v>
      </c>
      <c r="Y194" s="91"/>
      <c r="Z194" s="91"/>
    </row>
    <row r="195" spans="1:26" ht="12.75" customHeight="1">
      <c r="A195" s="32" t="s">
        <v>231</v>
      </c>
      <c r="B195" s="32" t="str">
        <f t="shared" si="0"/>
        <v>Underworld Denizens5</v>
      </c>
      <c r="C195" s="32" t="s">
        <v>882</v>
      </c>
      <c r="D195" s="32" t="str">
        <f t="shared" si="1"/>
        <v>Underworld DenizensSkaven Thrower</v>
      </c>
      <c r="E195" s="32">
        <v>7</v>
      </c>
      <c r="F195" s="32">
        <v>3</v>
      </c>
      <c r="G195" s="32">
        <v>3</v>
      </c>
      <c r="H195" s="32">
        <v>2</v>
      </c>
      <c r="I195" s="32">
        <v>8</v>
      </c>
      <c r="J195" s="32" t="str">
        <f>IF(Roster!$J$24="English",U195,(IF(Roster!$J$24="Español",V195,(IF(Roster!$J$24="Deutsch",W195,(IF(Roster!$J$24="Français",X195)))))))</f>
        <v>Animosity (Underworld Goblin Linemen), Pass, Sure Hands</v>
      </c>
      <c r="K195" s="31">
        <v>85000</v>
      </c>
      <c r="L195" s="31">
        <f t="shared" si="64"/>
        <v>85</v>
      </c>
      <c r="M195" s="32">
        <v>1</v>
      </c>
      <c r="N195" s="32">
        <v>0</v>
      </c>
      <c r="O195" s="31" t="s">
        <v>250</v>
      </c>
      <c r="P195" s="31" t="s">
        <v>249</v>
      </c>
      <c r="Q195" s="31" t="s">
        <v>249</v>
      </c>
      <c r="R195" s="31" t="s">
        <v>250</v>
      </c>
      <c r="S195" s="31" t="s">
        <v>250</v>
      </c>
      <c r="T195" s="91" t="str">
        <f t="shared" si="65"/>
        <v>FULL</v>
      </c>
      <c r="U195" s="91" t="s">
        <v>883</v>
      </c>
      <c r="V195" s="32" t="s">
        <v>884</v>
      </c>
      <c r="W195" s="91" t="s">
        <v>885</v>
      </c>
      <c r="X195" s="91" t="s">
        <v>886</v>
      </c>
      <c r="Y195" s="91"/>
      <c r="Z195" s="91"/>
    </row>
    <row r="196" spans="1:26" ht="12.75" customHeight="1">
      <c r="A196" s="32" t="s">
        <v>231</v>
      </c>
      <c r="B196" s="32" t="str">
        <f t="shared" si="0"/>
        <v>Underworld Denizens6</v>
      </c>
      <c r="C196" s="32" t="s">
        <v>829</v>
      </c>
      <c r="D196" s="32" t="str">
        <f t="shared" si="1"/>
        <v>Underworld DenizensGutter Runner</v>
      </c>
      <c r="E196" s="32">
        <v>9</v>
      </c>
      <c r="F196" s="32">
        <v>2</v>
      </c>
      <c r="G196" s="32">
        <v>2</v>
      </c>
      <c r="H196" s="32">
        <v>4</v>
      </c>
      <c r="I196" s="32">
        <v>8</v>
      </c>
      <c r="J196" s="32" t="str">
        <f>IF(Roster!$J$24="English",U196,(IF(Roster!$J$24="Español",V196,(IF(Roster!$J$24="Deutsch",W196,(IF(Roster!$J$24="Français",X196)))))))</f>
        <v>Animosity (Underworld Goblin Linemen), Dodge</v>
      </c>
      <c r="K196" s="31">
        <v>85000</v>
      </c>
      <c r="L196" s="31">
        <f t="shared" si="64"/>
        <v>85</v>
      </c>
      <c r="M196" s="32">
        <v>1</v>
      </c>
      <c r="N196" s="32">
        <v>0</v>
      </c>
      <c r="O196" s="31" t="s">
        <v>250</v>
      </c>
      <c r="P196" s="31" t="s">
        <v>250</v>
      </c>
      <c r="Q196" s="31" t="s">
        <v>249</v>
      </c>
      <c r="R196" s="31" t="s">
        <v>249</v>
      </c>
      <c r="S196" s="31" t="s">
        <v>250</v>
      </c>
      <c r="T196" s="91" t="str">
        <f t="shared" si="65"/>
        <v>FULL</v>
      </c>
      <c r="U196" s="91" t="s">
        <v>887</v>
      </c>
      <c r="V196" s="32" t="s">
        <v>888</v>
      </c>
      <c r="W196" s="91" t="s">
        <v>889</v>
      </c>
      <c r="X196" s="91" t="s">
        <v>890</v>
      </c>
      <c r="Y196" s="91"/>
      <c r="Z196" s="91"/>
    </row>
    <row r="197" spans="1:26" ht="12.75" customHeight="1">
      <c r="A197" s="32" t="s">
        <v>231</v>
      </c>
      <c r="B197" s="32" t="str">
        <f t="shared" si="0"/>
        <v>Underworld Denizens7</v>
      </c>
      <c r="C197" s="32" t="s">
        <v>891</v>
      </c>
      <c r="D197" s="32" t="str">
        <f t="shared" si="1"/>
        <v>Underworld DenizensSkaven Blitzer</v>
      </c>
      <c r="E197" s="32">
        <v>7</v>
      </c>
      <c r="F197" s="32">
        <v>3</v>
      </c>
      <c r="G197" s="32">
        <v>3</v>
      </c>
      <c r="H197" s="32">
        <v>5</v>
      </c>
      <c r="I197" s="32">
        <v>9</v>
      </c>
      <c r="J197" s="32" t="str">
        <f>IF(Roster!$J$24="English",U197,(IF(Roster!$J$24="Español",V197,(IF(Roster!$J$24="Deutsch",W197,(IF(Roster!$J$24="Français",X197)))))))</f>
        <v>Animosity (Underworld Goblin Linemen), Block</v>
      </c>
      <c r="K197" s="31">
        <v>90000</v>
      </c>
      <c r="L197" s="31">
        <f t="shared" si="64"/>
        <v>90</v>
      </c>
      <c r="M197" s="32">
        <v>1</v>
      </c>
      <c r="N197" s="32">
        <v>0</v>
      </c>
      <c r="O197" s="31" t="s">
        <v>250</v>
      </c>
      <c r="P197" s="31" t="s">
        <v>249</v>
      </c>
      <c r="Q197" s="31" t="s">
        <v>250</v>
      </c>
      <c r="R197" s="31" t="s">
        <v>249</v>
      </c>
      <c r="S197" s="31" t="s">
        <v>250</v>
      </c>
      <c r="T197" s="91" t="str">
        <f t="shared" si="65"/>
        <v>FULL</v>
      </c>
      <c r="U197" s="91" t="s">
        <v>892</v>
      </c>
      <c r="V197" s="91" t="s">
        <v>893</v>
      </c>
      <c r="W197" s="91" t="s">
        <v>894</v>
      </c>
      <c r="X197" s="91" t="s">
        <v>895</v>
      </c>
      <c r="Y197" s="91"/>
      <c r="Z197" s="91"/>
    </row>
    <row r="198" spans="1:26" ht="12.75" customHeight="1">
      <c r="A198" s="32" t="s">
        <v>231</v>
      </c>
      <c r="B198" s="32" t="str">
        <f t="shared" si="0"/>
        <v>Underworld Denizens8</v>
      </c>
      <c r="C198" s="32" t="s">
        <v>896</v>
      </c>
      <c r="D198" s="32" t="str">
        <f t="shared" si="1"/>
        <v>Underworld DenizensUnderworld Troll</v>
      </c>
      <c r="E198" s="32">
        <v>4</v>
      </c>
      <c r="F198" s="32">
        <v>5</v>
      </c>
      <c r="G198" s="32">
        <v>5</v>
      </c>
      <c r="H198" s="32">
        <v>5</v>
      </c>
      <c r="I198" s="32">
        <v>10</v>
      </c>
      <c r="J198" s="32" t="str">
        <f>IF(Roster!$J$24="English",U198,(IF(Roster!$J$24="Español",V198,(IF(Roster!$J$24="Deutsch",W198,(IF(Roster!$J$24="Français",X198)))))))</f>
        <v>Always Hungry, Loner (4+), Mighty Blow (+1), Projectile Vomit, Really Stupid, Regeneration, Throw Team-mate</v>
      </c>
      <c r="K198" s="31">
        <v>115000</v>
      </c>
      <c r="L198" s="31">
        <f t="shared" si="64"/>
        <v>115</v>
      </c>
      <c r="M198" s="32">
        <v>1</v>
      </c>
      <c r="N198" s="32">
        <v>1</v>
      </c>
      <c r="O198" s="31" t="s">
        <v>249</v>
      </c>
      <c r="P198" s="31" t="s">
        <v>249</v>
      </c>
      <c r="Q198" s="31" t="s">
        <v>250</v>
      </c>
      <c r="R198" s="31" t="s">
        <v>249</v>
      </c>
      <c r="S198" s="31" t="s">
        <v>250</v>
      </c>
      <c r="T198" s="91" t="str">
        <f t="shared" si="65"/>
        <v>FULL</v>
      </c>
      <c r="U198" s="91" t="s">
        <v>374</v>
      </c>
      <c r="V198" s="32" t="s">
        <v>375</v>
      </c>
      <c r="W198" s="91" t="s">
        <v>376</v>
      </c>
      <c r="X198" s="91" t="s">
        <v>377</v>
      </c>
      <c r="Y198" s="91"/>
      <c r="Z198" s="91"/>
    </row>
    <row r="199" spans="1:26" ht="12.75" customHeight="1">
      <c r="A199" s="32" t="s">
        <v>231</v>
      </c>
      <c r="B199" s="32" t="str">
        <f t="shared" si="0"/>
        <v>Underworld Denizens9</v>
      </c>
      <c r="C199" s="32" t="s">
        <v>897</v>
      </c>
      <c r="D199" s="32" t="str">
        <f t="shared" si="1"/>
        <v>Underworld DenizensMutant Rat Ogre</v>
      </c>
      <c r="E199" s="32">
        <v>6</v>
      </c>
      <c r="F199" s="32">
        <v>5</v>
      </c>
      <c r="G199" s="32">
        <v>4</v>
      </c>
      <c r="H199" s="32">
        <v>0</v>
      </c>
      <c r="I199" s="32">
        <v>9</v>
      </c>
      <c r="J199" s="32" t="str">
        <f>IF(Roster!$J$24="English",U199,(IF(Roster!$J$24="Español",V199,(IF(Roster!$J$24="Deutsch",W199,(IF(Roster!$J$24="Français",X199)))))))</f>
        <v>Animal Savagery, Frenzy, Loner (4+), Mighty Blow (+1), Prehensile Tail</v>
      </c>
      <c r="K199" s="31">
        <v>150000</v>
      </c>
      <c r="L199" s="31">
        <f t="shared" si="64"/>
        <v>150</v>
      </c>
      <c r="M199" s="32">
        <v>1</v>
      </c>
      <c r="N199" s="32">
        <v>1</v>
      </c>
      <c r="O199" s="31" t="s">
        <v>249</v>
      </c>
      <c r="P199" s="31" t="s">
        <v>249</v>
      </c>
      <c r="Q199" s="31" t="s">
        <v>250</v>
      </c>
      <c r="R199" s="225">
        <v>0</v>
      </c>
      <c r="S199" s="31" t="s">
        <v>250</v>
      </c>
      <c r="T199" s="91" t="str">
        <f t="shared" si="65"/>
        <v>P</v>
      </c>
      <c r="U199" s="91" t="s">
        <v>436</v>
      </c>
      <c r="V199" s="32" t="s">
        <v>437</v>
      </c>
      <c r="W199" s="91" t="s">
        <v>438</v>
      </c>
      <c r="X199" s="91" t="s">
        <v>439</v>
      </c>
      <c r="Y199" s="91"/>
      <c r="Z199" s="91"/>
    </row>
    <row r="200" spans="1:26" ht="12.75" customHeight="1">
      <c r="A200" s="32" t="s">
        <v>231</v>
      </c>
      <c r="B200" s="32" t="str">
        <f t="shared" si="0"/>
        <v>Underworld Denizens10</v>
      </c>
      <c r="C200" s="32" t="s">
        <v>362</v>
      </c>
      <c r="D200" s="32" t="str">
        <f t="shared" si="1"/>
        <v>Underworld DenizensJourney Goblin</v>
      </c>
      <c r="E200" s="32">
        <v>6</v>
      </c>
      <c r="F200" s="32">
        <v>2</v>
      </c>
      <c r="G200" s="32">
        <v>3</v>
      </c>
      <c r="H200" s="32">
        <v>4</v>
      </c>
      <c r="I200" s="32">
        <v>8</v>
      </c>
      <c r="J200" s="32" t="str">
        <f>IF(Roster!$J$24="English",U200,(IF(Roster!$J$24="Español",V200,(IF(Roster!$J$24="Deutsch",W200,(IF(Roster!$J$24="Français",X200)))))))</f>
        <v>Loner (4+), Dodge, Right Stuff, Stunty</v>
      </c>
      <c r="K200" s="31">
        <v>0</v>
      </c>
      <c r="L200" s="31">
        <v>40</v>
      </c>
      <c r="M200" s="32">
        <v>11</v>
      </c>
      <c r="N200" s="32">
        <v>0</v>
      </c>
      <c r="O200" s="31" t="s">
        <v>249</v>
      </c>
      <c r="P200" s="31" t="s">
        <v>250</v>
      </c>
      <c r="Q200" s="31" t="s">
        <v>249</v>
      </c>
      <c r="R200" s="31" t="s">
        <v>249</v>
      </c>
      <c r="S200" s="31" t="s">
        <v>250</v>
      </c>
      <c r="T200" s="91" t="str">
        <f t="shared" si="65"/>
        <v>FULL</v>
      </c>
      <c r="U200" s="91" t="s">
        <v>556</v>
      </c>
      <c r="V200" s="32" t="s">
        <v>557</v>
      </c>
      <c r="W200" s="91" t="s">
        <v>558</v>
      </c>
      <c r="X200" s="91" t="s">
        <v>559</v>
      </c>
      <c r="Y200" s="91"/>
      <c r="Z200" s="91"/>
    </row>
    <row r="201" spans="1:26" ht="12.75" customHeight="1">
      <c r="A201" s="32" t="s">
        <v>236</v>
      </c>
      <c r="B201" s="32" t="str">
        <f t="shared" si="0"/>
        <v>Vampire1</v>
      </c>
      <c r="C201" s="32" t="str">
        <f>""</f>
        <v/>
      </c>
      <c r="D201" s="32" t="str">
        <f t="shared" si="1"/>
        <v>Vampire</v>
      </c>
      <c r="E201" s="32">
        <v>0</v>
      </c>
      <c r="F201" s="32">
        <v>0</v>
      </c>
      <c r="G201" s="32">
        <v>0</v>
      </c>
      <c r="H201" s="32">
        <v>0</v>
      </c>
      <c r="I201" s="32">
        <v>0</v>
      </c>
      <c r="J201" s="32">
        <f>IF(Roster!$J$24="English",U201,(IF(Roster!$J$24="Español",V201,(IF(Roster!$J$24="Deutsch",W201,(IF(Roster!$J$24="Français",X201)))))))</f>
        <v>0</v>
      </c>
      <c r="K201" s="31">
        <v>0</v>
      </c>
      <c r="L201" s="31">
        <f t="shared" ref="L201:L210" si="66">K201/1000</f>
        <v>0</v>
      </c>
      <c r="M201" s="31">
        <v>0</v>
      </c>
      <c r="N201" s="31">
        <v>0</v>
      </c>
      <c r="O201" s="31"/>
      <c r="P201" s="31"/>
      <c r="Q201" s="31"/>
      <c r="R201" s="31"/>
      <c r="S201" s="31"/>
      <c r="T201" s="91"/>
      <c r="U201" s="91">
        <v>0</v>
      </c>
      <c r="V201" s="91">
        <v>0</v>
      </c>
      <c r="W201" s="91">
        <v>0</v>
      </c>
      <c r="X201" s="91">
        <v>0</v>
      </c>
      <c r="Y201" s="91">
        <v>0</v>
      </c>
      <c r="Z201" s="91"/>
    </row>
    <row r="202" spans="1:26" ht="12.75" customHeight="1">
      <c r="A202" s="32" t="s">
        <v>236</v>
      </c>
      <c r="B202" s="32" t="str">
        <f t="shared" si="0"/>
        <v>Vampire2</v>
      </c>
      <c r="C202" s="32" t="s">
        <v>898</v>
      </c>
      <c r="D202" s="32" t="str">
        <f t="shared" si="1"/>
        <v>VampireThrall</v>
      </c>
      <c r="E202" s="32">
        <v>6</v>
      </c>
      <c r="F202" s="32">
        <v>3</v>
      </c>
      <c r="G202" s="32">
        <v>3</v>
      </c>
      <c r="H202" s="32">
        <v>5</v>
      </c>
      <c r="I202" s="32">
        <v>8</v>
      </c>
      <c r="J202" s="32" t="str">
        <f>IF(Roster!$J$24="English",U202,(IF(Roster!$J$24="Español",V202,(IF(Roster!$J$24="Deutsch",W202,(IF(Roster!$J$24="Français",X202)))))))</f>
        <v/>
      </c>
      <c r="K202" s="31">
        <v>40000</v>
      </c>
      <c r="L202" s="31">
        <f t="shared" si="66"/>
        <v>40</v>
      </c>
      <c r="M202" s="32">
        <v>16</v>
      </c>
      <c r="N202" s="32">
        <v>0</v>
      </c>
      <c r="O202" s="31" t="s">
        <v>250</v>
      </c>
      <c r="P202" s="31" t="s">
        <v>249</v>
      </c>
      <c r="Q202" s="31" t="s">
        <v>249</v>
      </c>
      <c r="R202" s="31" t="s">
        <v>249</v>
      </c>
      <c r="S202" s="31">
        <v>0</v>
      </c>
      <c r="T202" s="91" t="str">
        <f t="shared" ref="T202:T204" si="67">IF(AND(R202&lt;&gt;0,S202&lt;&gt;0),"FULL",(IF(AND(R202=0,S202=0),"PM",IF(R202=0,"P",(IF(S202=0,"M"))))))</f>
        <v>M</v>
      </c>
      <c r="U202" s="91" t="str">
        <f t="shared" ref="U202:Y202" si="68">""</f>
        <v/>
      </c>
      <c r="V202" s="91" t="str">
        <f t="shared" si="68"/>
        <v/>
      </c>
      <c r="W202" s="91" t="str">
        <f t="shared" si="68"/>
        <v/>
      </c>
      <c r="X202" s="91" t="str">
        <f t="shared" si="68"/>
        <v/>
      </c>
      <c r="Y202" s="91" t="str">
        <f t="shared" si="68"/>
        <v/>
      </c>
      <c r="Z202" s="91"/>
    </row>
    <row r="203" spans="1:26" ht="12.75" customHeight="1">
      <c r="A203" s="32" t="s">
        <v>236</v>
      </c>
      <c r="B203" s="32" t="str">
        <f t="shared" si="0"/>
        <v>Vampire3</v>
      </c>
      <c r="C203" s="32" t="s">
        <v>236</v>
      </c>
      <c r="D203" s="32" t="str">
        <f t="shared" si="1"/>
        <v>VampireVampire</v>
      </c>
      <c r="E203" s="32">
        <v>6</v>
      </c>
      <c r="F203" s="32">
        <v>4</v>
      </c>
      <c r="G203" s="32">
        <v>2</v>
      </c>
      <c r="H203" s="32">
        <v>3</v>
      </c>
      <c r="I203" s="32">
        <v>9</v>
      </c>
      <c r="J203" s="32" t="str">
        <f>IF(Roster!$J$24="English",U203,(IF(Roster!$J$24="Español",V203,(IF(Roster!$J$24="Deutsch",W203,(IF(Roster!$J$24="Français",X203)))))))</f>
        <v>Animal Savagery, Hypnotic Gaze, Regeneration</v>
      </c>
      <c r="K203" s="31">
        <v>110000</v>
      </c>
      <c r="L203" s="31">
        <f t="shared" si="66"/>
        <v>110</v>
      </c>
      <c r="M203" s="32">
        <v>6</v>
      </c>
      <c r="N203" s="32">
        <v>0</v>
      </c>
      <c r="O203" s="31" t="s">
        <v>250</v>
      </c>
      <c r="P203" s="31" t="s">
        <v>250</v>
      </c>
      <c r="Q203" s="31" t="s">
        <v>250</v>
      </c>
      <c r="R203" s="31" t="s">
        <v>249</v>
      </c>
      <c r="S203" s="31">
        <v>0</v>
      </c>
      <c r="T203" s="91" t="str">
        <f t="shared" si="67"/>
        <v>M</v>
      </c>
      <c r="U203" s="91" t="s">
        <v>899</v>
      </c>
      <c r="V203" s="32" t="s">
        <v>900</v>
      </c>
      <c r="W203" s="91" t="s">
        <v>901</v>
      </c>
      <c r="X203" s="91" t="s">
        <v>902</v>
      </c>
      <c r="Y203" s="91"/>
      <c r="Z203" s="91"/>
    </row>
    <row r="204" spans="1:26" ht="12.75" customHeight="1">
      <c r="A204" s="32" t="s">
        <v>236</v>
      </c>
      <c r="B204" s="32" t="str">
        <f t="shared" si="0"/>
        <v>Vampire4</v>
      </c>
      <c r="C204" s="32" t="s">
        <v>903</v>
      </c>
      <c r="D204" s="32" t="str">
        <f t="shared" si="1"/>
        <v>VampireJourney Thrall</v>
      </c>
      <c r="E204" s="32">
        <v>6</v>
      </c>
      <c r="F204" s="32">
        <v>3</v>
      </c>
      <c r="G204" s="32">
        <v>3</v>
      </c>
      <c r="H204" s="32">
        <v>5</v>
      </c>
      <c r="I204" s="32">
        <v>8</v>
      </c>
      <c r="J204" s="32" t="str">
        <f>IF(Roster!$J$24="English",U204,(IF(Roster!$J$24="Español",V204,(IF(Roster!$J$24="Deutsch",W204,(IF(Roster!$J$24="Français",X204)))))))</f>
        <v>Loner (4+)</v>
      </c>
      <c r="K204" s="31">
        <v>0</v>
      </c>
      <c r="L204" s="31">
        <f t="shared" si="66"/>
        <v>0</v>
      </c>
      <c r="M204" s="32">
        <v>11</v>
      </c>
      <c r="N204" s="32">
        <v>0</v>
      </c>
      <c r="O204" s="31" t="s">
        <v>250</v>
      </c>
      <c r="P204" s="31" t="s">
        <v>249</v>
      </c>
      <c r="Q204" s="31" t="s">
        <v>249</v>
      </c>
      <c r="R204" s="31" t="s">
        <v>249</v>
      </c>
      <c r="S204" s="31">
        <v>0</v>
      </c>
      <c r="T204" s="91" t="str">
        <f t="shared" si="67"/>
        <v>M</v>
      </c>
      <c r="U204" s="91" t="s">
        <v>410</v>
      </c>
      <c r="V204" s="91" t="s">
        <v>411</v>
      </c>
      <c r="W204" s="91" t="s">
        <v>412</v>
      </c>
      <c r="X204" s="91" t="s">
        <v>413</v>
      </c>
      <c r="Y204" s="91"/>
      <c r="Z204" s="91"/>
    </row>
    <row r="205" spans="1:26" ht="12.75" customHeight="1">
      <c r="A205" s="32" t="s">
        <v>241</v>
      </c>
      <c r="B205" s="32" t="str">
        <f t="shared" si="0"/>
        <v>Wood Elf1</v>
      </c>
      <c r="C205" s="32" t="str">
        <f>""</f>
        <v/>
      </c>
      <c r="D205" s="32" t="str">
        <f t="shared" si="1"/>
        <v>Wood Elf</v>
      </c>
      <c r="E205" s="32">
        <v>0</v>
      </c>
      <c r="F205" s="32">
        <v>0</v>
      </c>
      <c r="G205" s="32">
        <v>0</v>
      </c>
      <c r="H205" s="32">
        <v>0</v>
      </c>
      <c r="I205" s="32">
        <v>0</v>
      </c>
      <c r="J205" s="32">
        <f>IF(Roster!$J$24="English",U205,(IF(Roster!$J$24="Español",V205,(IF(Roster!$J$24="Deutsch",W205,(IF(Roster!$J$24="Français",X205)))))))</f>
        <v>0</v>
      </c>
      <c r="K205" s="31">
        <v>0</v>
      </c>
      <c r="L205" s="31">
        <f t="shared" si="66"/>
        <v>0</v>
      </c>
      <c r="M205" s="31">
        <v>0</v>
      </c>
      <c r="N205" s="31">
        <v>0</v>
      </c>
      <c r="O205" s="31"/>
      <c r="P205" s="31"/>
      <c r="Q205" s="31"/>
      <c r="R205" s="31"/>
      <c r="S205" s="31"/>
      <c r="T205" s="91"/>
      <c r="U205" s="91">
        <v>0</v>
      </c>
      <c r="V205" s="91">
        <v>0</v>
      </c>
      <c r="W205" s="91">
        <v>0</v>
      </c>
      <c r="X205" s="91">
        <v>0</v>
      </c>
      <c r="Y205" s="91">
        <v>0</v>
      </c>
      <c r="Z205" s="91"/>
    </row>
    <row r="206" spans="1:26" ht="12.75" customHeight="1">
      <c r="A206" s="32" t="s">
        <v>241</v>
      </c>
      <c r="B206" s="32" t="str">
        <f t="shared" si="0"/>
        <v>Wood Elf2</v>
      </c>
      <c r="C206" s="32" t="s">
        <v>466</v>
      </c>
      <c r="D206" s="32" t="str">
        <f t="shared" si="1"/>
        <v>Wood ElfLineman</v>
      </c>
      <c r="E206" s="32">
        <v>7</v>
      </c>
      <c r="F206" s="32">
        <v>3</v>
      </c>
      <c r="G206" s="32">
        <v>2</v>
      </c>
      <c r="H206" s="32">
        <v>4</v>
      </c>
      <c r="I206" s="32">
        <v>8</v>
      </c>
      <c r="J206" s="32" t="str">
        <f>IF(Roster!$J$24="English",U206,(IF(Roster!$J$24="Español",V206,(IF(Roster!$J$24="Deutsch",W206,(IF(Roster!$J$24="Français",X206)))))))</f>
        <v/>
      </c>
      <c r="K206" s="31">
        <v>70000</v>
      </c>
      <c r="L206" s="31">
        <f t="shared" si="66"/>
        <v>70</v>
      </c>
      <c r="M206" s="32">
        <v>16</v>
      </c>
      <c r="N206" s="32">
        <v>0</v>
      </c>
      <c r="O206" s="31" t="s">
        <v>250</v>
      </c>
      <c r="P206" s="31" t="s">
        <v>250</v>
      </c>
      <c r="Q206" s="31" t="s">
        <v>249</v>
      </c>
      <c r="R206" s="31" t="s">
        <v>249</v>
      </c>
      <c r="S206" s="31">
        <v>0</v>
      </c>
      <c r="T206" s="91" t="str">
        <f t="shared" ref="T206:T211" si="69">IF(AND(R206&lt;&gt;0,S206&lt;&gt;0),"FULL",(IF(AND(R206=0,S206=0),"PM",IF(R206=0,"P",(IF(S206=0,"M"))))))</f>
        <v>M</v>
      </c>
      <c r="U206" s="91" t="str">
        <f t="shared" ref="U206:Y206" si="70">""</f>
        <v/>
      </c>
      <c r="V206" s="91" t="str">
        <f t="shared" si="70"/>
        <v/>
      </c>
      <c r="W206" s="91" t="str">
        <f t="shared" si="70"/>
        <v/>
      </c>
      <c r="X206" s="91" t="str">
        <f t="shared" si="70"/>
        <v/>
      </c>
      <c r="Y206" s="91" t="str">
        <f t="shared" si="70"/>
        <v/>
      </c>
      <c r="Z206" s="91"/>
    </row>
    <row r="207" spans="1:26" ht="12.75" customHeight="1">
      <c r="A207" s="32" t="s">
        <v>241</v>
      </c>
      <c r="B207" s="32" t="str">
        <f t="shared" si="0"/>
        <v>Wood Elf3</v>
      </c>
      <c r="C207" s="32" t="s">
        <v>333</v>
      </c>
      <c r="D207" s="32" t="str">
        <f t="shared" si="1"/>
        <v>Wood ElfCatcher</v>
      </c>
      <c r="E207" s="32">
        <v>8</v>
      </c>
      <c r="F207" s="32">
        <v>2</v>
      </c>
      <c r="G207" s="32">
        <v>2</v>
      </c>
      <c r="H207" s="32">
        <v>4</v>
      </c>
      <c r="I207" s="32">
        <v>8</v>
      </c>
      <c r="J207" s="32" t="str">
        <f>IF(Roster!$J$24="English",U207,(IF(Roster!$J$24="Español",V207,(IF(Roster!$J$24="Deutsch",W207,(IF(Roster!$J$24="Français",X207)))))))</f>
        <v>Catch, Dodge</v>
      </c>
      <c r="K207" s="31">
        <v>90000</v>
      </c>
      <c r="L207" s="31">
        <f t="shared" si="66"/>
        <v>90</v>
      </c>
      <c r="M207" s="31">
        <v>4</v>
      </c>
      <c r="N207" s="31">
        <v>0</v>
      </c>
      <c r="O207" s="31" t="s">
        <v>250</v>
      </c>
      <c r="P207" s="31" t="s">
        <v>250</v>
      </c>
      <c r="Q207" s="31" t="s">
        <v>249</v>
      </c>
      <c r="R207" s="31" t="s">
        <v>249</v>
      </c>
      <c r="S207" s="31">
        <v>0</v>
      </c>
      <c r="T207" s="91" t="str">
        <f t="shared" si="69"/>
        <v>M</v>
      </c>
      <c r="U207" s="91" t="s">
        <v>585</v>
      </c>
      <c r="V207" s="32" t="s">
        <v>586</v>
      </c>
      <c r="W207" s="91" t="s">
        <v>587</v>
      </c>
      <c r="X207" s="91" t="s">
        <v>588</v>
      </c>
      <c r="Y207" s="91"/>
      <c r="Z207" s="91"/>
    </row>
    <row r="208" spans="1:26" ht="12.75" customHeight="1">
      <c r="A208" s="32" t="s">
        <v>241</v>
      </c>
      <c r="B208" s="32" t="str">
        <f t="shared" si="0"/>
        <v>Wood Elf4</v>
      </c>
      <c r="C208" s="32" t="s">
        <v>328</v>
      </c>
      <c r="D208" s="32" t="str">
        <f t="shared" si="1"/>
        <v>Wood ElfThrower</v>
      </c>
      <c r="E208" s="32">
        <v>7</v>
      </c>
      <c r="F208" s="32">
        <v>3</v>
      </c>
      <c r="G208" s="32">
        <v>2</v>
      </c>
      <c r="H208" s="32">
        <v>2</v>
      </c>
      <c r="I208" s="32">
        <v>8</v>
      </c>
      <c r="J208" s="32" t="str">
        <f>IF(Roster!$J$24="English",U208,(IF(Roster!$J$24="Español",V208,(IF(Roster!$J$24="Deutsch",W208,(IF(Roster!$J$24="Français",X208)))))))</f>
        <v>Pass</v>
      </c>
      <c r="K208" s="31">
        <v>95000</v>
      </c>
      <c r="L208" s="31">
        <f t="shared" si="66"/>
        <v>95</v>
      </c>
      <c r="M208" s="32">
        <v>2</v>
      </c>
      <c r="N208" s="32">
        <v>0</v>
      </c>
      <c r="O208" s="31" t="s">
        <v>250</v>
      </c>
      <c r="P208" s="31" t="s">
        <v>250</v>
      </c>
      <c r="Q208" s="31" t="s">
        <v>249</v>
      </c>
      <c r="R208" s="31" t="s">
        <v>250</v>
      </c>
      <c r="S208" s="31">
        <v>0</v>
      </c>
      <c r="T208" s="91" t="str">
        <f t="shared" si="69"/>
        <v>M</v>
      </c>
      <c r="U208" s="91" t="s">
        <v>509</v>
      </c>
      <c r="V208" s="91" t="s">
        <v>510</v>
      </c>
      <c r="W208" s="91" t="s">
        <v>511</v>
      </c>
      <c r="X208" s="91" t="s">
        <v>512</v>
      </c>
      <c r="Y208" s="91"/>
      <c r="Z208" s="91"/>
    </row>
    <row r="209" spans="1:26" ht="12.75" customHeight="1">
      <c r="A209" s="32" t="s">
        <v>241</v>
      </c>
      <c r="B209" s="32" t="str">
        <f t="shared" si="0"/>
        <v>Wood Elf5</v>
      </c>
      <c r="C209" s="32" t="s">
        <v>904</v>
      </c>
      <c r="D209" s="32" t="str">
        <f t="shared" si="1"/>
        <v>Wood ElfWardancer</v>
      </c>
      <c r="E209" s="32">
        <v>8</v>
      </c>
      <c r="F209" s="32">
        <v>3</v>
      </c>
      <c r="G209" s="32">
        <v>2</v>
      </c>
      <c r="H209" s="32">
        <v>4</v>
      </c>
      <c r="I209" s="32">
        <v>8</v>
      </c>
      <c r="J209" s="32" t="str">
        <f>IF(Roster!$J$24="English",U209,(IF(Roster!$J$24="Español",V209,(IF(Roster!$J$24="Deutsch",W209,(IF(Roster!$J$24="Français",X209)))))))</f>
        <v>Block, Dodge, Leap</v>
      </c>
      <c r="K209" s="31">
        <v>125000</v>
      </c>
      <c r="L209" s="31">
        <f t="shared" si="66"/>
        <v>125</v>
      </c>
      <c r="M209" s="32">
        <v>2</v>
      </c>
      <c r="N209" s="32">
        <v>0</v>
      </c>
      <c r="O209" s="31" t="s">
        <v>250</v>
      </c>
      <c r="P209" s="31" t="s">
        <v>250</v>
      </c>
      <c r="Q209" s="31" t="s">
        <v>249</v>
      </c>
      <c r="R209" s="31" t="s">
        <v>249</v>
      </c>
      <c r="S209" s="31">
        <v>0</v>
      </c>
      <c r="T209" s="91" t="str">
        <f t="shared" si="69"/>
        <v>M</v>
      </c>
      <c r="U209" s="91" t="s">
        <v>905</v>
      </c>
      <c r="V209" s="91" t="s">
        <v>906</v>
      </c>
      <c r="W209" s="91" t="s">
        <v>907</v>
      </c>
      <c r="X209" s="91" t="s">
        <v>908</v>
      </c>
      <c r="Y209" s="91"/>
      <c r="Z209" s="91"/>
    </row>
    <row r="210" spans="1:26" ht="12.75" customHeight="1">
      <c r="A210" s="32" t="s">
        <v>241</v>
      </c>
      <c r="B210" s="32" t="str">
        <f t="shared" si="0"/>
        <v>Wood Elf6</v>
      </c>
      <c r="C210" s="32" t="s">
        <v>909</v>
      </c>
      <c r="D210" s="32" t="str">
        <f t="shared" si="1"/>
        <v>Wood ElfTreeman</v>
      </c>
      <c r="E210" s="32">
        <v>2</v>
      </c>
      <c r="F210" s="32">
        <v>6</v>
      </c>
      <c r="G210" s="32">
        <v>5</v>
      </c>
      <c r="H210" s="32">
        <v>5</v>
      </c>
      <c r="I210" s="32">
        <v>11</v>
      </c>
      <c r="J210" s="32" t="str">
        <f>IF(Roster!$J$24="English",U210,(IF(Roster!$J$24="Español",V210,(IF(Roster!$J$24="Deutsch",W210,(IF(Roster!$J$24="Français",X210)))))))</f>
        <v>Loner (4+), Mighty Blow (+1), Stand Firm, Strong Arm, Take Root, Thick Skull, Throw Team-Mate</v>
      </c>
      <c r="K210" s="31">
        <v>120000</v>
      </c>
      <c r="L210" s="31">
        <f t="shared" si="66"/>
        <v>120</v>
      </c>
      <c r="M210" s="32">
        <v>1</v>
      </c>
      <c r="N210" s="32">
        <v>1</v>
      </c>
      <c r="O210" s="31" t="s">
        <v>249</v>
      </c>
      <c r="P210" s="31" t="s">
        <v>249</v>
      </c>
      <c r="Q210" s="31" t="s">
        <v>250</v>
      </c>
      <c r="R210" s="31" t="s">
        <v>249</v>
      </c>
      <c r="S210" s="31">
        <v>0</v>
      </c>
      <c r="T210" s="91" t="str">
        <f t="shared" si="69"/>
        <v>M</v>
      </c>
      <c r="U210" s="91" t="s">
        <v>910</v>
      </c>
      <c r="V210" s="91" t="s">
        <v>911</v>
      </c>
      <c r="W210" s="91" t="s">
        <v>912</v>
      </c>
      <c r="X210" s="91" t="s">
        <v>913</v>
      </c>
      <c r="Y210" s="91"/>
      <c r="Z210" s="91"/>
    </row>
    <row r="211" spans="1:26" ht="12.75" customHeight="1">
      <c r="A211" s="32" t="s">
        <v>241</v>
      </c>
      <c r="B211" s="32" t="str">
        <f t="shared" si="0"/>
        <v>Wood Elf7</v>
      </c>
      <c r="C211" s="32" t="s">
        <v>485</v>
      </c>
      <c r="D211" s="32" t="str">
        <f t="shared" si="1"/>
        <v>Wood ElfJourney Elf</v>
      </c>
      <c r="E211" s="32">
        <v>7</v>
      </c>
      <c r="F211" s="32">
        <v>3</v>
      </c>
      <c r="G211" s="32">
        <v>2</v>
      </c>
      <c r="H211" s="32">
        <v>4</v>
      </c>
      <c r="I211" s="32">
        <v>8</v>
      </c>
      <c r="J211" s="32" t="str">
        <f>IF(Roster!$J$24="English",U211,(IF(Roster!$J$24="Español",V211,(IF(Roster!$J$24="Deutsch",W211,(IF(Roster!$J$24="Français",X211)))))))</f>
        <v>Loner (4+)</v>
      </c>
      <c r="K211" s="31">
        <v>0</v>
      </c>
      <c r="L211" s="31">
        <v>70</v>
      </c>
      <c r="M211" s="32">
        <v>11</v>
      </c>
      <c r="N211" s="32">
        <v>0</v>
      </c>
      <c r="O211" s="31" t="s">
        <v>250</v>
      </c>
      <c r="P211" s="31" t="s">
        <v>250</v>
      </c>
      <c r="Q211" s="31" t="s">
        <v>249</v>
      </c>
      <c r="R211" s="31" t="s">
        <v>249</v>
      </c>
      <c r="S211" s="31">
        <v>0</v>
      </c>
      <c r="T211" s="91" t="str">
        <f t="shared" si="69"/>
        <v>M</v>
      </c>
      <c r="U211" s="91" t="s">
        <v>410</v>
      </c>
      <c r="V211" s="91" t="s">
        <v>411</v>
      </c>
      <c r="W211" s="91" t="s">
        <v>412</v>
      </c>
      <c r="X211" s="91" t="s">
        <v>413</v>
      </c>
      <c r="Y211" s="91"/>
      <c r="Z211" s="91"/>
    </row>
    <row r="212" spans="1:26" ht="12.75" customHeight="1">
      <c r="A212" s="32"/>
      <c r="B212" s="32"/>
      <c r="C212" s="32"/>
      <c r="D212" s="32"/>
      <c r="E212" s="32"/>
      <c r="F212" s="32"/>
      <c r="G212" s="32"/>
      <c r="H212" s="32"/>
      <c r="I212" s="32"/>
      <c r="J212" s="32"/>
      <c r="K212" s="32"/>
      <c r="L212" s="32"/>
      <c r="M212" s="32"/>
      <c r="N212" s="32"/>
      <c r="O212" s="32"/>
      <c r="P212" s="32"/>
      <c r="Q212" s="32"/>
      <c r="R212" s="32"/>
      <c r="S212" s="32"/>
      <c r="T212" s="91"/>
      <c r="U212" s="91"/>
      <c r="V212" s="91"/>
      <c r="W212" s="91"/>
      <c r="X212" s="91"/>
      <c r="Y212" s="91"/>
      <c r="Z212" s="91"/>
    </row>
    <row r="213" spans="1:26" ht="12.75" customHeight="1">
      <c r="A213" s="32"/>
      <c r="B213" s="32"/>
      <c r="C213" s="32"/>
      <c r="D213" s="32"/>
      <c r="E213" s="32"/>
      <c r="F213" s="32"/>
      <c r="G213" s="32"/>
      <c r="H213" s="32"/>
      <c r="I213" s="32"/>
      <c r="J213" s="32"/>
      <c r="K213" s="32"/>
      <c r="L213" s="32"/>
      <c r="M213" s="32"/>
      <c r="N213" s="32"/>
      <c r="O213" s="32"/>
      <c r="P213" s="32"/>
      <c r="Q213" s="32"/>
      <c r="R213" s="32"/>
      <c r="S213" s="32"/>
      <c r="T213" s="91"/>
      <c r="U213" s="91"/>
      <c r="V213" s="91"/>
      <c r="W213" s="91"/>
      <c r="X213" s="91"/>
      <c r="Y213" s="91"/>
      <c r="Z213" s="91"/>
    </row>
    <row r="214" spans="1:26" ht="12.75" customHeight="1">
      <c r="A214" s="32"/>
      <c r="B214" s="32"/>
      <c r="C214" s="32"/>
      <c r="D214" s="32"/>
      <c r="E214" s="32"/>
      <c r="F214" s="32"/>
      <c r="G214" s="32"/>
      <c r="H214" s="32"/>
      <c r="I214" s="32"/>
      <c r="J214" s="32"/>
      <c r="K214" s="32"/>
      <c r="L214" s="32"/>
      <c r="M214" s="32"/>
      <c r="N214" s="32"/>
      <c r="O214" s="32"/>
      <c r="P214" s="32"/>
      <c r="Q214" s="32"/>
      <c r="R214" s="32"/>
      <c r="S214" s="32"/>
      <c r="T214" s="91"/>
      <c r="U214" s="91"/>
      <c r="V214" s="91"/>
      <c r="W214" s="91"/>
      <c r="X214" s="91"/>
      <c r="Y214" s="91"/>
      <c r="Z214" s="91"/>
    </row>
    <row r="215" spans="1:26" ht="12.75" customHeight="1">
      <c r="A215" s="32"/>
      <c r="B215" s="32"/>
      <c r="C215" s="32"/>
      <c r="D215" s="32"/>
      <c r="E215" s="32"/>
      <c r="F215" s="32"/>
      <c r="G215" s="32"/>
      <c r="H215" s="32"/>
      <c r="I215" s="32"/>
      <c r="J215" s="32"/>
      <c r="K215" s="32"/>
      <c r="L215" s="32"/>
      <c r="M215" s="32"/>
      <c r="N215" s="32"/>
      <c r="O215" s="32"/>
      <c r="P215" s="32"/>
      <c r="Q215" s="32"/>
      <c r="R215" s="32"/>
      <c r="S215" s="32"/>
      <c r="T215" s="91"/>
      <c r="U215" s="91"/>
      <c r="V215" s="91"/>
      <c r="W215" s="91"/>
      <c r="X215" s="91"/>
      <c r="Y215" s="91"/>
      <c r="Z215" s="91"/>
    </row>
    <row r="216" spans="1:26" ht="12.75" customHeight="1">
      <c r="A216" s="32"/>
      <c r="B216" s="32"/>
      <c r="C216" s="32"/>
      <c r="D216" s="32"/>
      <c r="E216" s="32"/>
      <c r="F216" s="32"/>
      <c r="G216" s="32"/>
      <c r="H216" s="32"/>
      <c r="I216" s="32"/>
      <c r="J216" s="32"/>
      <c r="K216" s="32"/>
      <c r="L216" s="32"/>
      <c r="M216" s="32"/>
      <c r="N216" s="32"/>
      <c r="O216" s="32"/>
      <c r="P216" s="32"/>
      <c r="Q216" s="32"/>
      <c r="R216" s="32"/>
      <c r="S216" s="32"/>
      <c r="T216" s="91"/>
      <c r="U216" s="91"/>
      <c r="V216" s="91"/>
      <c r="W216" s="91"/>
      <c r="X216" s="91"/>
      <c r="Y216" s="91"/>
      <c r="Z216" s="91"/>
    </row>
    <row r="217" spans="1:26" ht="12.75" customHeight="1">
      <c r="A217" s="32"/>
      <c r="B217" s="32"/>
      <c r="C217" s="32"/>
      <c r="D217" s="32"/>
      <c r="E217" s="32"/>
      <c r="F217" s="32"/>
      <c r="G217" s="32"/>
      <c r="H217" s="32"/>
      <c r="I217" s="32"/>
      <c r="J217" s="32"/>
      <c r="K217" s="32"/>
      <c r="L217" s="32"/>
      <c r="M217" s="32"/>
      <c r="N217" s="32"/>
      <c r="O217" s="32"/>
      <c r="P217" s="32"/>
      <c r="Q217" s="32"/>
      <c r="R217" s="32"/>
      <c r="S217" s="32"/>
      <c r="T217" s="91"/>
      <c r="U217" s="91"/>
      <c r="V217" s="91"/>
      <c r="W217" s="91"/>
      <c r="X217" s="91"/>
      <c r="Y217" s="91"/>
      <c r="Z217" s="91"/>
    </row>
    <row r="218" spans="1:26" ht="12.75" customHeight="1">
      <c r="A218" s="32"/>
      <c r="B218" s="32"/>
      <c r="C218" s="32"/>
      <c r="D218" s="32"/>
      <c r="E218" s="32"/>
      <c r="F218" s="32"/>
      <c r="G218" s="32"/>
      <c r="H218" s="32"/>
      <c r="I218" s="32"/>
      <c r="J218" s="32"/>
      <c r="K218" s="32"/>
      <c r="L218" s="32"/>
      <c r="M218" s="32"/>
      <c r="N218" s="32"/>
      <c r="O218" s="32"/>
      <c r="P218" s="32"/>
      <c r="Q218" s="32"/>
      <c r="R218" s="32"/>
      <c r="S218" s="32"/>
      <c r="T218" s="91"/>
      <c r="U218" s="91"/>
      <c r="V218" s="91"/>
      <c r="W218" s="91"/>
      <c r="X218" s="91"/>
      <c r="Y218" s="91"/>
      <c r="Z218" s="91"/>
    </row>
    <row r="219" spans="1:26" ht="12.75" customHeight="1">
      <c r="A219" s="32"/>
      <c r="B219" s="32"/>
      <c r="C219" s="32"/>
      <c r="D219" s="32"/>
      <c r="E219" s="32"/>
      <c r="F219" s="32"/>
      <c r="G219" s="32"/>
      <c r="H219" s="32"/>
      <c r="I219" s="32"/>
      <c r="J219" s="32"/>
      <c r="K219" s="32"/>
      <c r="L219" s="32"/>
      <c r="M219" s="32"/>
      <c r="N219" s="32"/>
      <c r="O219" s="32"/>
      <c r="P219" s="32"/>
      <c r="Q219" s="32"/>
      <c r="R219" s="32"/>
      <c r="S219" s="32"/>
      <c r="T219" s="91"/>
      <c r="U219" s="91"/>
      <c r="V219" s="91"/>
      <c r="W219" s="91"/>
      <c r="X219" s="91"/>
      <c r="Y219" s="91"/>
      <c r="Z219" s="91"/>
    </row>
    <row r="220" spans="1:26" ht="12.75" customHeight="1">
      <c r="A220" s="32"/>
      <c r="B220" s="32"/>
      <c r="C220" s="32"/>
      <c r="D220" s="32"/>
      <c r="E220" s="32"/>
      <c r="F220" s="32"/>
      <c r="G220" s="32"/>
      <c r="H220" s="32"/>
      <c r="I220" s="32"/>
      <c r="J220" s="32"/>
      <c r="K220" s="32"/>
      <c r="L220" s="32"/>
      <c r="M220" s="32"/>
      <c r="N220" s="32"/>
      <c r="O220" s="32"/>
      <c r="P220" s="32"/>
      <c r="Q220" s="32"/>
      <c r="R220" s="32"/>
      <c r="S220" s="32"/>
      <c r="T220" s="91"/>
      <c r="U220" s="91"/>
      <c r="V220" s="91"/>
      <c r="W220" s="91"/>
      <c r="X220" s="91"/>
      <c r="Y220" s="91"/>
      <c r="Z220" s="91"/>
    </row>
    <row r="221" spans="1:26" ht="12.75" customHeight="1">
      <c r="A221" s="32"/>
      <c r="B221" s="32"/>
      <c r="C221" s="32"/>
      <c r="D221" s="32"/>
      <c r="E221" s="32"/>
      <c r="F221" s="32"/>
      <c r="G221" s="32"/>
      <c r="H221" s="32"/>
      <c r="I221" s="32"/>
      <c r="J221" s="32"/>
      <c r="K221" s="32"/>
      <c r="L221" s="32"/>
      <c r="M221" s="32"/>
      <c r="N221" s="32"/>
      <c r="O221" s="32"/>
      <c r="P221" s="32"/>
      <c r="Q221" s="32"/>
      <c r="R221" s="32"/>
      <c r="S221" s="32"/>
      <c r="T221" s="91"/>
      <c r="U221" s="91"/>
      <c r="V221" s="91"/>
      <c r="W221" s="91"/>
      <c r="X221" s="91"/>
      <c r="Y221" s="91"/>
      <c r="Z221" s="91"/>
    </row>
    <row r="222" spans="1:26" ht="12.75" customHeight="1">
      <c r="A222" s="32"/>
      <c r="B222" s="32"/>
      <c r="C222" s="32"/>
      <c r="D222" s="32"/>
      <c r="E222" s="32"/>
      <c r="F222" s="32"/>
      <c r="G222" s="32"/>
      <c r="H222" s="32"/>
      <c r="I222" s="32"/>
      <c r="J222" s="32"/>
      <c r="K222" s="32"/>
      <c r="L222" s="32"/>
      <c r="M222" s="32"/>
      <c r="N222" s="32"/>
      <c r="O222" s="32"/>
      <c r="P222" s="32"/>
      <c r="Q222" s="32"/>
      <c r="R222" s="32"/>
      <c r="S222" s="32"/>
      <c r="T222" s="91"/>
      <c r="U222" s="91"/>
      <c r="V222" s="91"/>
      <c r="W222" s="91"/>
      <c r="X222" s="91"/>
      <c r="Y222" s="91"/>
      <c r="Z222" s="91"/>
    </row>
    <row r="223" spans="1:26" ht="12.75" customHeight="1">
      <c r="A223" s="32"/>
      <c r="B223" s="32"/>
      <c r="C223" s="32"/>
      <c r="D223" s="32"/>
      <c r="E223" s="32"/>
      <c r="F223" s="32"/>
      <c r="G223" s="32"/>
      <c r="H223" s="32"/>
      <c r="I223" s="32"/>
      <c r="J223" s="32"/>
      <c r="K223" s="32"/>
      <c r="L223" s="32"/>
      <c r="M223" s="32"/>
      <c r="N223" s="32"/>
      <c r="O223" s="32"/>
      <c r="P223" s="32"/>
      <c r="Q223" s="32"/>
      <c r="R223" s="32"/>
      <c r="S223" s="32"/>
      <c r="T223" s="91"/>
      <c r="U223" s="91"/>
      <c r="V223" s="91"/>
      <c r="W223" s="91"/>
      <c r="X223" s="91"/>
      <c r="Y223" s="91"/>
      <c r="Z223" s="91"/>
    </row>
    <row r="224" spans="1:26" ht="12.75" customHeight="1">
      <c r="A224" s="32"/>
      <c r="B224" s="32"/>
      <c r="C224" s="32"/>
      <c r="D224" s="32"/>
      <c r="E224" s="32"/>
      <c r="F224" s="32"/>
      <c r="G224" s="32"/>
      <c r="H224" s="32"/>
      <c r="I224" s="32"/>
      <c r="J224" s="32"/>
      <c r="K224" s="32"/>
      <c r="L224" s="32"/>
      <c r="M224" s="32"/>
      <c r="N224" s="32"/>
      <c r="O224" s="32"/>
      <c r="P224" s="32"/>
      <c r="Q224" s="32"/>
      <c r="R224" s="32"/>
      <c r="S224" s="32"/>
      <c r="T224" s="91"/>
      <c r="U224" s="91"/>
      <c r="V224" s="91"/>
      <c r="W224" s="91"/>
      <c r="X224" s="91"/>
      <c r="Y224" s="91"/>
      <c r="Z224" s="91"/>
    </row>
    <row r="225" spans="1:26" ht="12.75" customHeight="1">
      <c r="A225" s="32"/>
      <c r="B225" s="32"/>
      <c r="C225" s="32"/>
      <c r="D225" s="32"/>
      <c r="E225" s="32"/>
      <c r="F225" s="32"/>
      <c r="G225" s="32"/>
      <c r="H225" s="32"/>
      <c r="I225" s="32"/>
      <c r="J225" s="32"/>
      <c r="K225" s="32"/>
      <c r="L225" s="32"/>
      <c r="M225" s="32"/>
      <c r="N225" s="32"/>
      <c r="O225" s="32"/>
      <c r="P225" s="32"/>
      <c r="Q225" s="32"/>
      <c r="R225" s="32"/>
      <c r="S225" s="32"/>
      <c r="T225" s="91"/>
      <c r="U225" s="91"/>
      <c r="V225" s="91"/>
      <c r="W225" s="91"/>
      <c r="X225" s="91"/>
      <c r="Y225" s="91"/>
      <c r="Z225" s="91"/>
    </row>
    <row r="226" spans="1:26" ht="12.75" customHeight="1">
      <c r="A226" s="32"/>
      <c r="B226" s="32"/>
      <c r="C226" s="32"/>
      <c r="D226" s="32"/>
      <c r="E226" s="32"/>
      <c r="F226" s="32"/>
      <c r="G226" s="32"/>
      <c r="H226" s="32"/>
      <c r="I226" s="32"/>
      <c r="J226" s="32"/>
      <c r="K226" s="32"/>
      <c r="L226" s="32"/>
      <c r="M226" s="32"/>
      <c r="N226" s="32"/>
      <c r="O226" s="32"/>
      <c r="P226" s="32"/>
      <c r="Q226" s="32"/>
      <c r="R226" s="32"/>
      <c r="S226" s="32"/>
      <c r="T226" s="91"/>
      <c r="U226" s="91"/>
      <c r="V226" s="91"/>
      <c r="W226" s="91"/>
      <c r="X226" s="91"/>
      <c r="Y226" s="91"/>
      <c r="Z226" s="91"/>
    </row>
    <row r="227" spans="1:26" ht="12.75" customHeight="1">
      <c r="A227" s="32"/>
      <c r="B227" s="32"/>
      <c r="C227" s="32"/>
      <c r="D227" s="32"/>
      <c r="E227" s="32"/>
      <c r="F227" s="32"/>
      <c r="G227" s="32"/>
      <c r="H227" s="32"/>
      <c r="I227" s="32"/>
      <c r="J227" s="32"/>
      <c r="K227" s="32"/>
      <c r="L227" s="32"/>
      <c r="M227" s="32"/>
      <c r="N227" s="32"/>
      <c r="O227" s="32"/>
      <c r="P227" s="32"/>
      <c r="Q227" s="32"/>
      <c r="R227" s="32"/>
      <c r="S227" s="32"/>
      <c r="T227" s="91"/>
      <c r="U227" s="91"/>
      <c r="V227" s="91"/>
      <c r="W227" s="91"/>
      <c r="X227" s="91"/>
      <c r="Y227" s="91"/>
      <c r="Z227" s="91"/>
    </row>
    <row r="228" spans="1:26" ht="12.75" customHeight="1">
      <c r="A228" s="32"/>
      <c r="B228" s="32"/>
      <c r="C228" s="32"/>
      <c r="D228" s="32"/>
      <c r="E228" s="32"/>
      <c r="F228" s="32"/>
      <c r="G228" s="32"/>
      <c r="H228" s="32"/>
      <c r="I228" s="32"/>
      <c r="J228" s="32"/>
      <c r="K228" s="32"/>
      <c r="L228" s="32"/>
      <c r="M228" s="32"/>
      <c r="N228" s="32"/>
      <c r="O228" s="32"/>
      <c r="P228" s="32"/>
      <c r="Q228" s="32"/>
      <c r="R228" s="32"/>
      <c r="S228" s="32"/>
      <c r="T228" s="91"/>
      <c r="U228" s="91"/>
      <c r="V228" s="91"/>
      <c r="W228" s="91"/>
      <c r="X228" s="91"/>
      <c r="Y228" s="91"/>
      <c r="Z228" s="91"/>
    </row>
    <row r="229" spans="1:26" ht="12.75" customHeight="1">
      <c r="A229" s="32"/>
      <c r="B229" s="32"/>
      <c r="C229" s="32"/>
      <c r="D229" s="32"/>
      <c r="E229" s="32"/>
      <c r="F229" s="32"/>
      <c r="G229" s="32"/>
      <c r="H229" s="32"/>
      <c r="I229" s="32"/>
      <c r="J229" s="32"/>
      <c r="K229" s="32"/>
      <c r="L229" s="32"/>
      <c r="M229" s="32"/>
      <c r="N229" s="32"/>
      <c r="O229" s="32"/>
      <c r="P229" s="32"/>
      <c r="Q229" s="32"/>
      <c r="R229" s="32"/>
      <c r="S229" s="32"/>
      <c r="T229" s="91"/>
      <c r="U229" s="91"/>
      <c r="V229" s="91"/>
      <c r="W229" s="91"/>
      <c r="X229" s="91"/>
      <c r="Y229" s="91"/>
      <c r="Z229" s="91"/>
    </row>
    <row r="230" spans="1:26" ht="12.75" customHeight="1">
      <c r="A230" s="32"/>
      <c r="B230" s="32"/>
      <c r="C230" s="32"/>
      <c r="D230" s="32"/>
      <c r="E230" s="32"/>
      <c r="F230" s="32"/>
      <c r="G230" s="32"/>
      <c r="H230" s="32"/>
      <c r="I230" s="32"/>
      <c r="J230" s="32"/>
      <c r="K230" s="32"/>
      <c r="L230" s="32"/>
      <c r="M230" s="32"/>
      <c r="N230" s="32"/>
      <c r="O230" s="32"/>
      <c r="P230" s="32"/>
      <c r="Q230" s="32"/>
      <c r="R230" s="32"/>
      <c r="S230" s="32"/>
      <c r="T230" s="91"/>
      <c r="U230" s="91"/>
      <c r="V230" s="91"/>
      <c r="W230" s="91"/>
      <c r="X230" s="91"/>
      <c r="Y230" s="91"/>
      <c r="Z230" s="91"/>
    </row>
    <row r="231" spans="1:26" ht="12.75" customHeight="1">
      <c r="A231" s="32"/>
      <c r="B231" s="32"/>
      <c r="C231" s="32"/>
      <c r="D231" s="32"/>
      <c r="E231" s="32"/>
      <c r="F231" s="32"/>
      <c r="G231" s="32"/>
      <c r="H231" s="32"/>
      <c r="I231" s="32"/>
      <c r="J231" s="32"/>
      <c r="K231" s="32"/>
      <c r="L231" s="32"/>
      <c r="M231" s="32"/>
      <c r="N231" s="32"/>
      <c r="O231" s="32"/>
      <c r="P231" s="32"/>
      <c r="Q231" s="32"/>
      <c r="R231" s="32"/>
      <c r="S231" s="32"/>
      <c r="T231" s="91"/>
      <c r="U231" s="91"/>
      <c r="V231" s="91"/>
      <c r="W231" s="91"/>
      <c r="X231" s="91"/>
      <c r="Y231" s="91"/>
      <c r="Z231" s="91"/>
    </row>
    <row r="232" spans="1:26" ht="12.75" customHeight="1">
      <c r="A232" s="32"/>
      <c r="B232" s="32"/>
      <c r="C232" s="32"/>
      <c r="D232" s="32"/>
      <c r="E232" s="32"/>
      <c r="F232" s="32"/>
      <c r="G232" s="32"/>
      <c r="H232" s="32"/>
      <c r="I232" s="32"/>
      <c r="J232" s="32"/>
      <c r="K232" s="32"/>
      <c r="L232" s="32"/>
      <c r="M232" s="32"/>
      <c r="N232" s="32"/>
      <c r="O232" s="32"/>
      <c r="P232" s="32"/>
      <c r="Q232" s="32"/>
      <c r="R232" s="32"/>
      <c r="S232" s="32"/>
      <c r="T232" s="91"/>
      <c r="U232" s="91"/>
      <c r="V232" s="91"/>
      <c r="W232" s="91"/>
      <c r="X232" s="91"/>
      <c r="Y232" s="91"/>
      <c r="Z232" s="91"/>
    </row>
    <row r="233" spans="1:26" ht="12.75" customHeight="1">
      <c r="A233" s="32"/>
      <c r="B233" s="32"/>
      <c r="C233" s="32"/>
      <c r="D233" s="32"/>
      <c r="E233" s="32"/>
      <c r="F233" s="32"/>
      <c r="G233" s="32"/>
      <c r="H233" s="32"/>
      <c r="I233" s="32"/>
      <c r="J233" s="32"/>
      <c r="K233" s="32"/>
      <c r="L233" s="32"/>
      <c r="M233" s="32"/>
      <c r="N233" s="32"/>
      <c r="O233" s="32"/>
      <c r="P233" s="32"/>
      <c r="Q233" s="32"/>
      <c r="R233" s="32"/>
      <c r="S233" s="32"/>
      <c r="T233" s="91"/>
      <c r="U233" s="91"/>
      <c r="V233" s="91"/>
      <c r="W233" s="91"/>
      <c r="X233" s="91"/>
      <c r="Y233" s="91"/>
      <c r="Z233" s="91"/>
    </row>
    <row r="234" spans="1:26" ht="12.75" customHeight="1">
      <c r="A234" s="32"/>
      <c r="B234" s="32"/>
      <c r="C234" s="32"/>
      <c r="D234" s="32"/>
      <c r="E234" s="32"/>
      <c r="F234" s="32"/>
      <c r="G234" s="32"/>
      <c r="H234" s="32"/>
      <c r="I234" s="32"/>
      <c r="J234" s="32"/>
      <c r="K234" s="32"/>
      <c r="L234" s="32"/>
      <c r="M234" s="32"/>
      <c r="N234" s="32"/>
      <c r="O234" s="32"/>
      <c r="P234" s="32"/>
      <c r="Q234" s="32"/>
      <c r="R234" s="32"/>
      <c r="S234" s="32"/>
      <c r="T234" s="91"/>
      <c r="U234" s="91"/>
      <c r="V234" s="91"/>
      <c r="W234" s="91"/>
      <c r="X234" s="91"/>
      <c r="Y234" s="91"/>
      <c r="Z234" s="91"/>
    </row>
    <row r="235" spans="1:26" ht="12.75" customHeight="1">
      <c r="A235" s="32"/>
      <c r="B235" s="32"/>
      <c r="C235" s="32"/>
      <c r="D235" s="32"/>
      <c r="E235" s="32"/>
      <c r="F235" s="32"/>
      <c r="G235" s="32"/>
      <c r="H235" s="32"/>
      <c r="I235" s="32"/>
      <c r="J235" s="32"/>
      <c r="K235" s="32"/>
      <c r="L235" s="32"/>
      <c r="M235" s="32"/>
      <c r="N235" s="32"/>
      <c r="O235" s="32"/>
      <c r="P235" s="32"/>
      <c r="Q235" s="32"/>
      <c r="R235" s="32"/>
      <c r="S235" s="32"/>
      <c r="T235" s="91"/>
      <c r="U235" s="91"/>
      <c r="V235" s="91"/>
      <c r="W235" s="91"/>
      <c r="X235" s="91"/>
      <c r="Y235" s="91"/>
      <c r="Z235" s="91"/>
    </row>
    <row r="236" spans="1:26" ht="12.75" customHeight="1">
      <c r="A236" s="32"/>
      <c r="B236" s="32"/>
      <c r="C236" s="32"/>
      <c r="D236" s="32"/>
      <c r="E236" s="32"/>
      <c r="F236" s="32"/>
      <c r="G236" s="32"/>
      <c r="H236" s="32"/>
      <c r="I236" s="32"/>
      <c r="J236" s="32"/>
      <c r="K236" s="32"/>
      <c r="L236" s="32"/>
      <c r="M236" s="32"/>
      <c r="N236" s="32"/>
      <c r="O236" s="32"/>
      <c r="P236" s="32"/>
      <c r="Q236" s="32"/>
      <c r="R236" s="32"/>
      <c r="S236" s="32"/>
      <c r="T236" s="91"/>
      <c r="U236" s="91"/>
      <c r="V236" s="91"/>
      <c r="W236" s="91"/>
      <c r="X236" s="91"/>
      <c r="Y236" s="91"/>
      <c r="Z236" s="91"/>
    </row>
    <row r="237" spans="1:26" ht="12.75" customHeight="1">
      <c r="A237" s="32"/>
      <c r="B237" s="32"/>
      <c r="C237" s="32"/>
      <c r="D237" s="32"/>
      <c r="E237" s="32"/>
      <c r="F237" s="32"/>
      <c r="G237" s="32"/>
      <c r="H237" s="32"/>
      <c r="I237" s="32"/>
      <c r="J237" s="32"/>
      <c r="K237" s="32"/>
      <c r="L237" s="32"/>
      <c r="M237" s="32"/>
      <c r="N237" s="32"/>
      <c r="O237" s="32"/>
      <c r="P237" s="32"/>
      <c r="Q237" s="32"/>
      <c r="R237" s="32"/>
      <c r="S237" s="32"/>
      <c r="T237" s="91"/>
      <c r="U237" s="91"/>
      <c r="V237" s="91"/>
      <c r="W237" s="91"/>
      <c r="X237" s="91"/>
      <c r="Y237" s="91"/>
      <c r="Z237" s="91"/>
    </row>
    <row r="238" spans="1:26" ht="12.75" customHeight="1">
      <c r="A238" s="32"/>
      <c r="B238" s="32"/>
      <c r="C238" s="32"/>
      <c r="D238" s="32"/>
      <c r="E238" s="32"/>
      <c r="F238" s="32"/>
      <c r="G238" s="32"/>
      <c r="H238" s="32"/>
      <c r="I238" s="32"/>
      <c r="J238" s="32"/>
      <c r="K238" s="32"/>
      <c r="L238" s="32"/>
      <c r="M238" s="32"/>
      <c r="N238" s="32"/>
      <c r="O238" s="32"/>
      <c r="P238" s="32"/>
      <c r="Q238" s="32"/>
      <c r="R238" s="32"/>
      <c r="S238" s="32"/>
      <c r="T238" s="91"/>
      <c r="U238" s="91"/>
      <c r="V238" s="91"/>
      <c r="W238" s="91"/>
      <c r="X238" s="91"/>
      <c r="Y238" s="91"/>
      <c r="Z238" s="91"/>
    </row>
    <row r="239" spans="1:26" ht="12.75" customHeight="1">
      <c r="A239" s="32"/>
      <c r="B239" s="32"/>
      <c r="C239" s="32"/>
      <c r="D239" s="32"/>
      <c r="E239" s="32"/>
      <c r="F239" s="32"/>
      <c r="G239" s="32"/>
      <c r="H239" s="32"/>
      <c r="I239" s="32"/>
      <c r="J239" s="32"/>
      <c r="K239" s="32"/>
      <c r="L239" s="32"/>
      <c r="M239" s="32"/>
      <c r="N239" s="32"/>
      <c r="O239" s="32"/>
      <c r="P239" s="32"/>
      <c r="Q239" s="32"/>
      <c r="R239" s="32"/>
      <c r="S239" s="32"/>
      <c r="T239" s="91"/>
      <c r="U239" s="91"/>
      <c r="V239" s="91"/>
      <c r="W239" s="91"/>
      <c r="X239" s="91"/>
      <c r="Y239" s="91"/>
      <c r="Z239" s="91"/>
    </row>
    <row r="240" spans="1:26" ht="12.75" customHeight="1">
      <c r="A240" s="32"/>
      <c r="B240" s="32"/>
      <c r="C240" s="32"/>
      <c r="D240" s="32"/>
      <c r="E240" s="32"/>
      <c r="F240" s="32"/>
      <c r="G240" s="32"/>
      <c r="H240" s="32"/>
      <c r="I240" s="32"/>
      <c r="J240" s="32"/>
      <c r="K240" s="32"/>
      <c r="L240" s="32"/>
      <c r="M240" s="32"/>
      <c r="N240" s="32"/>
      <c r="O240" s="32"/>
      <c r="P240" s="32"/>
      <c r="Q240" s="32"/>
      <c r="R240" s="32"/>
      <c r="S240" s="32"/>
      <c r="T240" s="91"/>
      <c r="U240" s="91"/>
      <c r="V240" s="91"/>
      <c r="W240" s="91"/>
      <c r="X240" s="91"/>
      <c r="Y240" s="91"/>
      <c r="Z240" s="91"/>
    </row>
    <row r="241" spans="1:26" ht="12.75" customHeight="1">
      <c r="A241" s="32"/>
      <c r="B241" s="32"/>
      <c r="C241" s="32"/>
      <c r="D241" s="32"/>
      <c r="E241" s="32"/>
      <c r="F241" s="32"/>
      <c r="G241" s="32"/>
      <c r="H241" s="32"/>
      <c r="I241" s="32"/>
      <c r="J241" s="32"/>
      <c r="K241" s="32"/>
      <c r="L241" s="32"/>
      <c r="M241" s="32"/>
      <c r="N241" s="32"/>
      <c r="O241" s="32"/>
      <c r="P241" s="32"/>
      <c r="Q241" s="32"/>
      <c r="R241" s="32"/>
      <c r="S241" s="32"/>
      <c r="T241" s="91"/>
      <c r="U241" s="91"/>
      <c r="V241" s="91"/>
      <c r="W241" s="91"/>
      <c r="X241" s="91"/>
      <c r="Y241" s="91"/>
      <c r="Z241" s="91"/>
    </row>
    <row r="242" spans="1:26" ht="12.75" customHeight="1">
      <c r="A242" s="32"/>
      <c r="B242" s="32"/>
      <c r="C242" s="32"/>
      <c r="D242" s="32"/>
      <c r="E242" s="32"/>
      <c r="F242" s="32"/>
      <c r="G242" s="32"/>
      <c r="H242" s="32"/>
      <c r="I242" s="32"/>
      <c r="J242" s="32"/>
      <c r="K242" s="32"/>
      <c r="L242" s="32"/>
      <c r="M242" s="32"/>
      <c r="N242" s="32"/>
      <c r="O242" s="32"/>
      <c r="P242" s="32"/>
      <c r="Q242" s="32"/>
      <c r="R242" s="32"/>
      <c r="S242" s="32"/>
      <c r="T242" s="91"/>
      <c r="U242" s="91"/>
      <c r="V242" s="91"/>
      <c r="W242" s="91"/>
      <c r="X242" s="91"/>
      <c r="Y242" s="91"/>
      <c r="Z242" s="91"/>
    </row>
    <row r="243" spans="1:26" ht="12.75" customHeight="1">
      <c r="A243" s="32"/>
      <c r="B243" s="32"/>
      <c r="C243" s="32"/>
      <c r="D243" s="32"/>
      <c r="E243" s="32"/>
      <c r="F243" s="32"/>
      <c r="G243" s="32"/>
      <c r="H243" s="32"/>
      <c r="I243" s="32"/>
      <c r="J243" s="32"/>
      <c r="K243" s="32"/>
      <c r="L243" s="32"/>
      <c r="M243" s="32"/>
      <c r="N243" s="32"/>
      <c r="O243" s="32"/>
      <c r="P243" s="32"/>
      <c r="Q243" s="32"/>
      <c r="R243" s="32"/>
      <c r="S243" s="32"/>
      <c r="T243" s="91"/>
      <c r="U243" s="91"/>
      <c r="V243" s="91"/>
      <c r="W243" s="91"/>
      <c r="X243" s="91"/>
      <c r="Y243" s="91"/>
      <c r="Z243" s="91"/>
    </row>
    <row r="244" spans="1:26" ht="12.75" customHeight="1">
      <c r="A244" s="32"/>
      <c r="B244" s="32"/>
      <c r="C244" s="32"/>
      <c r="D244" s="32"/>
      <c r="E244" s="32"/>
      <c r="F244" s="32"/>
      <c r="G244" s="32"/>
      <c r="H244" s="32"/>
      <c r="I244" s="32"/>
      <c r="J244" s="32"/>
      <c r="K244" s="32"/>
      <c r="L244" s="32"/>
      <c r="M244" s="32"/>
      <c r="N244" s="32"/>
      <c r="O244" s="32"/>
      <c r="P244" s="32"/>
      <c r="Q244" s="32"/>
      <c r="R244" s="32"/>
      <c r="S244" s="32"/>
      <c r="T244" s="91"/>
      <c r="U244" s="91"/>
      <c r="V244" s="91"/>
      <c r="W244" s="91"/>
      <c r="X244" s="91"/>
      <c r="Y244" s="91"/>
      <c r="Z244" s="91"/>
    </row>
    <row r="245" spans="1:26" ht="12.75" customHeight="1">
      <c r="A245" s="32"/>
      <c r="B245" s="32"/>
      <c r="C245" s="32"/>
      <c r="D245" s="32"/>
      <c r="E245" s="32"/>
      <c r="F245" s="32"/>
      <c r="G245" s="32"/>
      <c r="H245" s="32"/>
      <c r="I245" s="32"/>
      <c r="J245" s="32"/>
      <c r="K245" s="32"/>
      <c r="L245" s="32"/>
      <c r="M245" s="32"/>
      <c r="N245" s="32"/>
      <c r="O245" s="32"/>
      <c r="P245" s="32"/>
      <c r="Q245" s="32"/>
      <c r="R245" s="32"/>
      <c r="S245" s="32"/>
      <c r="T245" s="91"/>
      <c r="U245" s="91"/>
      <c r="V245" s="91"/>
      <c r="W245" s="91"/>
      <c r="X245" s="91"/>
      <c r="Y245" s="91"/>
      <c r="Z245" s="91"/>
    </row>
    <row r="246" spans="1:26" ht="12.75" customHeight="1">
      <c r="A246" s="32"/>
      <c r="B246" s="32"/>
      <c r="C246" s="32"/>
      <c r="D246" s="32"/>
      <c r="E246" s="32"/>
      <c r="F246" s="32"/>
      <c r="G246" s="32"/>
      <c r="H246" s="32"/>
      <c r="I246" s="32"/>
      <c r="J246" s="32"/>
      <c r="K246" s="32"/>
      <c r="L246" s="32"/>
      <c r="M246" s="32"/>
      <c r="N246" s="32"/>
      <c r="O246" s="32"/>
      <c r="P246" s="32"/>
      <c r="Q246" s="32"/>
      <c r="R246" s="32"/>
      <c r="S246" s="32"/>
      <c r="T246" s="91"/>
      <c r="U246" s="91"/>
      <c r="V246" s="91"/>
      <c r="W246" s="91"/>
      <c r="X246" s="91"/>
      <c r="Y246" s="91"/>
      <c r="Z246" s="91"/>
    </row>
    <row r="247" spans="1:26" ht="12.75" customHeight="1">
      <c r="A247" s="32"/>
      <c r="B247" s="32"/>
      <c r="C247" s="32"/>
      <c r="D247" s="32"/>
      <c r="E247" s="32"/>
      <c r="F247" s="32"/>
      <c r="G247" s="32"/>
      <c r="H247" s="32"/>
      <c r="I247" s="32"/>
      <c r="J247" s="32"/>
      <c r="K247" s="32"/>
      <c r="L247" s="32"/>
      <c r="M247" s="32"/>
      <c r="N247" s="32"/>
      <c r="O247" s="32"/>
      <c r="P247" s="32"/>
      <c r="Q247" s="32"/>
      <c r="R247" s="32"/>
      <c r="S247" s="32"/>
      <c r="T247" s="91"/>
      <c r="U247" s="91"/>
      <c r="V247" s="91"/>
      <c r="W247" s="91"/>
      <c r="X247" s="91"/>
      <c r="Y247" s="91"/>
      <c r="Z247" s="91"/>
    </row>
    <row r="248" spans="1:26" ht="12.75" customHeight="1">
      <c r="A248" s="32"/>
      <c r="B248" s="32"/>
      <c r="C248" s="32"/>
      <c r="D248" s="32"/>
      <c r="E248" s="32"/>
      <c r="F248" s="32"/>
      <c r="G248" s="32"/>
      <c r="H248" s="32"/>
      <c r="I248" s="32"/>
      <c r="J248" s="32"/>
      <c r="K248" s="32"/>
      <c r="L248" s="32"/>
      <c r="M248" s="32"/>
      <c r="N248" s="32"/>
      <c r="O248" s="32"/>
      <c r="P248" s="32"/>
      <c r="Q248" s="32"/>
      <c r="R248" s="32"/>
      <c r="S248" s="32"/>
      <c r="T248" s="91"/>
      <c r="U248" s="91"/>
      <c r="V248" s="91"/>
      <c r="W248" s="91"/>
      <c r="X248" s="91"/>
      <c r="Y248" s="91"/>
      <c r="Z248" s="91"/>
    </row>
    <row r="249" spans="1:26" ht="12.75" customHeight="1">
      <c r="A249" s="32"/>
      <c r="B249" s="32"/>
      <c r="C249" s="32"/>
      <c r="D249" s="32"/>
      <c r="E249" s="32"/>
      <c r="F249" s="32"/>
      <c r="G249" s="32"/>
      <c r="H249" s="32"/>
      <c r="I249" s="32"/>
      <c r="J249" s="32"/>
      <c r="K249" s="32"/>
      <c r="L249" s="32"/>
      <c r="M249" s="32"/>
      <c r="N249" s="32"/>
      <c r="O249" s="32"/>
      <c r="P249" s="32"/>
      <c r="Q249" s="32"/>
      <c r="R249" s="32"/>
      <c r="S249" s="32"/>
      <c r="T249" s="91"/>
      <c r="U249" s="91"/>
      <c r="V249" s="91"/>
      <c r="W249" s="91"/>
      <c r="X249" s="91"/>
      <c r="Y249" s="91"/>
      <c r="Z249" s="91"/>
    </row>
    <row r="250" spans="1:26" ht="12.75" customHeight="1">
      <c r="A250" s="32"/>
      <c r="B250" s="32"/>
      <c r="C250" s="32"/>
      <c r="D250" s="32"/>
      <c r="E250" s="32"/>
      <c r="F250" s="32"/>
      <c r="G250" s="32"/>
      <c r="H250" s="32"/>
      <c r="I250" s="32"/>
      <c r="J250" s="32"/>
      <c r="K250" s="32"/>
      <c r="L250" s="32"/>
      <c r="M250" s="32"/>
      <c r="N250" s="32"/>
      <c r="O250" s="32"/>
      <c r="P250" s="32"/>
      <c r="Q250" s="32"/>
      <c r="R250" s="32"/>
      <c r="S250" s="32"/>
      <c r="T250" s="91"/>
      <c r="U250" s="91"/>
      <c r="V250" s="91"/>
      <c r="W250" s="91"/>
      <c r="X250" s="91"/>
      <c r="Y250" s="91"/>
      <c r="Z250" s="91"/>
    </row>
    <row r="251" spans="1:26" ht="12.75" customHeight="1">
      <c r="A251" s="32"/>
      <c r="B251" s="32"/>
      <c r="C251" s="32"/>
      <c r="D251" s="32"/>
      <c r="E251" s="32"/>
      <c r="F251" s="32"/>
      <c r="G251" s="32"/>
      <c r="H251" s="32"/>
      <c r="I251" s="32"/>
      <c r="J251" s="32"/>
      <c r="K251" s="32"/>
      <c r="L251" s="32"/>
      <c r="M251" s="32"/>
      <c r="N251" s="32"/>
      <c r="O251" s="32"/>
      <c r="P251" s="32"/>
      <c r="Q251" s="32"/>
      <c r="R251" s="32"/>
      <c r="S251" s="32"/>
      <c r="T251" s="91"/>
      <c r="U251" s="91"/>
      <c r="V251" s="91"/>
      <c r="W251" s="91"/>
      <c r="X251" s="91"/>
      <c r="Y251" s="91"/>
      <c r="Z251" s="91"/>
    </row>
    <row r="252" spans="1:26" ht="12.75" customHeight="1">
      <c r="A252" s="32"/>
      <c r="B252" s="32"/>
      <c r="C252" s="32"/>
      <c r="D252" s="32"/>
      <c r="E252" s="32"/>
      <c r="F252" s="32"/>
      <c r="G252" s="32"/>
      <c r="H252" s="32"/>
      <c r="I252" s="32"/>
      <c r="J252" s="32"/>
      <c r="K252" s="32"/>
      <c r="L252" s="32"/>
      <c r="M252" s="32"/>
      <c r="N252" s="32"/>
      <c r="O252" s="32"/>
      <c r="P252" s="32"/>
      <c r="Q252" s="32"/>
      <c r="R252" s="32"/>
      <c r="S252" s="32"/>
      <c r="T252" s="91"/>
      <c r="U252" s="91"/>
      <c r="V252" s="91"/>
      <c r="W252" s="91"/>
      <c r="X252" s="91"/>
      <c r="Y252" s="91"/>
      <c r="Z252" s="91"/>
    </row>
    <row r="253" spans="1:26" ht="12.75" customHeight="1">
      <c r="A253" s="32"/>
      <c r="B253" s="32"/>
      <c r="C253" s="32"/>
      <c r="D253" s="32"/>
      <c r="E253" s="32"/>
      <c r="F253" s="32"/>
      <c r="G253" s="32"/>
      <c r="H253" s="32"/>
      <c r="I253" s="32"/>
      <c r="J253" s="32"/>
      <c r="K253" s="32"/>
      <c r="L253" s="32"/>
      <c r="M253" s="32"/>
      <c r="N253" s="32"/>
      <c r="O253" s="32"/>
      <c r="P253" s="32"/>
      <c r="Q253" s="32"/>
      <c r="R253" s="32"/>
      <c r="S253" s="32"/>
      <c r="T253" s="91"/>
      <c r="U253" s="91"/>
      <c r="V253" s="91"/>
      <c r="W253" s="91"/>
      <c r="X253" s="91"/>
      <c r="Y253" s="91"/>
      <c r="Z253" s="91"/>
    </row>
    <row r="254" spans="1:26" ht="12.75" customHeight="1">
      <c r="A254" s="32"/>
      <c r="B254" s="32"/>
      <c r="C254" s="32"/>
      <c r="D254" s="32"/>
      <c r="E254" s="32"/>
      <c r="F254" s="32"/>
      <c r="G254" s="32"/>
      <c r="H254" s="32"/>
      <c r="I254" s="32"/>
      <c r="J254" s="32"/>
      <c r="K254" s="32"/>
      <c r="L254" s="32"/>
      <c r="M254" s="32"/>
      <c r="N254" s="32"/>
      <c r="O254" s="32"/>
      <c r="P254" s="32"/>
      <c r="Q254" s="32"/>
      <c r="R254" s="32"/>
      <c r="S254" s="32"/>
      <c r="T254" s="91"/>
      <c r="U254" s="91"/>
      <c r="V254" s="91"/>
      <c r="W254" s="91"/>
      <c r="X254" s="91"/>
      <c r="Y254" s="91"/>
      <c r="Z254" s="91"/>
    </row>
    <row r="255" spans="1:26" ht="12.75" customHeight="1">
      <c r="A255" s="32"/>
      <c r="B255" s="32"/>
      <c r="C255" s="32"/>
      <c r="D255" s="32"/>
      <c r="E255" s="32"/>
      <c r="F255" s="32"/>
      <c r="G255" s="32"/>
      <c r="H255" s="32"/>
      <c r="I255" s="32"/>
      <c r="J255" s="32"/>
      <c r="K255" s="32"/>
      <c r="L255" s="32"/>
      <c r="M255" s="32"/>
      <c r="N255" s="32"/>
      <c r="O255" s="32"/>
      <c r="P255" s="32"/>
      <c r="Q255" s="32"/>
      <c r="R255" s="32"/>
      <c r="S255" s="32"/>
      <c r="T255" s="91"/>
      <c r="U255" s="91"/>
      <c r="V255" s="91"/>
      <c r="W255" s="91"/>
      <c r="X255" s="91"/>
      <c r="Y255" s="91"/>
      <c r="Z255" s="91"/>
    </row>
    <row r="256" spans="1:26" ht="12.75" customHeight="1">
      <c r="A256" s="32"/>
      <c r="B256" s="32"/>
      <c r="C256" s="32"/>
      <c r="D256" s="32"/>
      <c r="E256" s="32"/>
      <c r="F256" s="32"/>
      <c r="G256" s="32"/>
      <c r="H256" s="32"/>
      <c r="I256" s="32"/>
      <c r="J256" s="32"/>
      <c r="K256" s="32"/>
      <c r="L256" s="32"/>
      <c r="M256" s="32"/>
      <c r="N256" s="32"/>
      <c r="O256" s="32"/>
      <c r="P256" s="32"/>
      <c r="Q256" s="32"/>
      <c r="R256" s="32"/>
      <c r="S256" s="32"/>
      <c r="T256" s="91"/>
      <c r="U256" s="91"/>
      <c r="V256" s="91"/>
      <c r="W256" s="91"/>
      <c r="X256" s="91"/>
      <c r="Y256" s="91"/>
      <c r="Z256" s="91"/>
    </row>
    <row r="257" spans="1:26" ht="12.75" customHeight="1">
      <c r="A257" s="32"/>
      <c r="B257" s="32"/>
      <c r="C257" s="32"/>
      <c r="D257" s="32"/>
      <c r="E257" s="32"/>
      <c r="F257" s="32"/>
      <c r="G257" s="32"/>
      <c r="H257" s="32"/>
      <c r="I257" s="32"/>
      <c r="J257" s="32"/>
      <c r="K257" s="32"/>
      <c r="L257" s="32"/>
      <c r="M257" s="32"/>
      <c r="N257" s="32"/>
      <c r="O257" s="32"/>
      <c r="P257" s="32"/>
      <c r="Q257" s="32"/>
      <c r="R257" s="32"/>
      <c r="S257" s="32"/>
      <c r="T257" s="91"/>
      <c r="U257" s="91"/>
      <c r="V257" s="91"/>
      <c r="W257" s="91"/>
      <c r="X257" s="91"/>
      <c r="Y257" s="91"/>
      <c r="Z257" s="91"/>
    </row>
    <row r="258" spans="1:26" ht="12.75" customHeight="1">
      <c r="A258" s="32"/>
      <c r="B258" s="32"/>
      <c r="C258" s="32"/>
      <c r="D258" s="32"/>
      <c r="E258" s="32"/>
      <c r="F258" s="32"/>
      <c r="G258" s="32"/>
      <c r="H258" s="32"/>
      <c r="I258" s="32"/>
      <c r="J258" s="32"/>
      <c r="K258" s="32"/>
      <c r="L258" s="32"/>
      <c r="M258" s="32"/>
      <c r="N258" s="32"/>
      <c r="O258" s="32"/>
      <c r="P258" s="32"/>
      <c r="Q258" s="32"/>
      <c r="R258" s="32"/>
      <c r="S258" s="32"/>
      <c r="T258" s="91"/>
      <c r="U258" s="91"/>
      <c r="V258" s="91"/>
      <c r="W258" s="91"/>
      <c r="X258" s="91"/>
      <c r="Y258" s="91"/>
      <c r="Z258" s="91"/>
    </row>
    <row r="259" spans="1:26" ht="12.75" customHeight="1">
      <c r="A259" s="32"/>
      <c r="B259" s="32"/>
      <c r="C259" s="32"/>
      <c r="D259" s="32"/>
      <c r="E259" s="32"/>
      <c r="F259" s="32"/>
      <c r="G259" s="32"/>
      <c r="H259" s="32"/>
      <c r="I259" s="32"/>
      <c r="J259" s="32"/>
      <c r="K259" s="32"/>
      <c r="L259" s="32"/>
      <c r="M259" s="32"/>
      <c r="N259" s="32"/>
      <c r="O259" s="32"/>
      <c r="P259" s="32"/>
      <c r="Q259" s="32"/>
      <c r="R259" s="32"/>
      <c r="S259" s="32"/>
      <c r="T259" s="91"/>
      <c r="U259" s="91"/>
      <c r="V259" s="91"/>
      <c r="W259" s="91"/>
      <c r="X259" s="91"/>
      <c r="Y259" s="91"/>
      <c r="Z259" s="91"/>
    </row>
    <row r="260" spans="1:26" ht="12.75" customHeight="1">
      <c r="A260" s="32"/>
      <c r="B260" s="32"/>
      <c r="C260" s="32"/>
      <c r="D260" s="32"/>
      <c r="E260" s="32"/>
      <c r="F260" s="32"/>
      <c r="G260" s="32"/>
      <c r="H260" s="32"/>
      <c r="I260" s="32"/>
      <c r="J260" s="32"/>
      <c r="K260" s="32"/>
      <c r="L260" s="32"/>
      <c r="M260" s="32"/>
      <c r="N260" s="32"/>
      <c r="O260" s="32"/>
      <c r="P260" s="32"/>
      <c r="Q260" s="32"/>
      <c r="R260" s="32"/>
      <c r="S260" s="32"/>
      <c r="T260" s="91"/>
      <c r="U260" s="91"/>
      <c r="V260" s="91"/>
      <c r="W260" s="91"/>
      <c r="X260" s="91"/>
      <c r="Y260" s="91"/>
      <c r="Z260" s="91"/>
    </row>
    <row r="261" spans="1:26" ht="12.75" customHeight="1">
      <c r="A261" s="32"/>
      <c r="B261" s="32"/>
      <c r="C261" s="32"/>
      <c r="D261" s="32"/>
      <c r="E261" s="32"/>
      <c r="F261" s="32"/>
      <c r="G261" s="32"/>
      <c r="H261" s="32"/>
      <c r="I261" s="32"/>
      <c r="J261" s="32"/>
      <c r="K261" s="32"/>
      <c r="L261" s="32"/>
      <c r="M261" s="32"/>
      <c r="N261" s="32"/>
      <c r="O261" s="32"/>
      <c r="P261" s="32"/>
      <c r="Q261" s="32"/>
      <c r="R261" s="32"/>
      <c r="S261" s="32"/>
      <c r="T261" s="91"/>
      <c r="U261" s="91"/>
      <c r="V261" s="91"/>
      <c r="W261" s="91"/>
      <c r="X261" s="91"/>
      <c r="Y261" s="91"/>
      <c r="Z261" s="91"/>
    </row>
    <row r="262" spans="1:26" ht="12.75" customHeight="1">
      <c r="A262" s="32"/>
      <c r="B262" s="32"/>
      <c r="C262" s="32"/>
      <c r="D262" s="32"/>
      <c r="E262" s="32"/>
      <c r="F262" s="32"/>
      <c r="G262" s="32"/>
      <c r="H262" s="32"/>
      <c r="I262" s="32"/>
      <c r="J262" s="32"/>
      <c r="K262" s="32"/>
      <c r="L262" s="32"/>
      <c r="M262" s="32"/>
      <c r="N262" s="32"/>
      <c r="O262" s="32"/>
      <c r="P262" s="32"/>
      <c r="Q262" s="32"/>
      <c r="R262" s="32"/>
      <c r="S262" s="32"/>
      <c r="T262" s="91"/>
      <c r="U262" s="91"/>
      <c r="V262" s="91"/>
      <c r="W262" s="91"/>
      <c r="X262" s="91"/>
      <c r="Y262" s="91"/>
      <c r="Z262" s="91"/>
    </row>
    <row r="263" spans="1:26" ht="12.75" customHeight="1">
      <c r="A263" s="32"/>
      <c r="B263" s="32"/>
      <c r="C263" s="32"/>
      <c r="D263" s="32"/>
      <c r="E263" s="32"/>
      <c r="F263" s="32"/>
      <c r="G263" s="32"/>
      <c r="H263" s="32"/>
      <c r="I263" s="32"/>
      <c r="J263" s="32"/>
      <c r="K263" s="32"/>
      <c r="L263" s="32"/>
      <c r="M263" s="32"/>
      <c r="N263" s="32"/>
      <c r="O263" s="32"/>
      <c r="P263" s="32"/>
      <c r="Q263" s="32"/>
      <c r="R263" s="32"/>
      <c r="S263" s="32"/>
      <c r="T263" s="91"/>
      <c r="U263" s="91"/>
      <c r="V263" s="91"/>
      <c r="W263" s="91"/>
      <c r="X263" s="91"/>
      <c r="Y263" s="91"/>
      <c r="Z263" s="91"/>
    </row>
    <row r="264" spans="1:26" ht="12.75" customHeight="1">
      <c r="A264" s="32"/>
      <c r="B264" s="32"/>
      <c r="C264" s="32"/>
      <c r="D264" s="32"/>
      <c r="E264" s="32"/>
      <c r="F264" s="32"/>
      <c r="G264" s="32"/>
      <c r="H264" s="32"/>
      <c r="I264" s="32"/>
      <c r="J264" s="32"/>
      <c r="K264" s="32"/>
      <c r="L264" s="32"/>
      <c r="M264" s="32"/>
      <c r="N264" s="32"/>
      <c r="O264" s="32"/>
      <c r="P264" s="32"/>
      <c r="Q264" s="32"/>
      <c r="R264" s="32"/>
      <c r="S264" s="32"/>
      <c r="T264" s="91"/>
      <c r="U264" s="91"/>
      <c r="V264" s="91"/>
      <c r="W264" s="91"/>
      <c r="X264" s="91"/>
      <c r="Y264" s="91"/>
      <c r="Z264" s="91"/>
    </row>
    <row r="265" spans="1:26" ht="12.75" customHeight="1">
      <c r="A265" s="32"/>
      <c r="B265" s="32"/>
      <c r="C265" s="32"/>
      <c r="D265" s="32"/>
      <c r="E265" s="32"/>
      <c r="F265" s="32"/>
      <c r="G265" s="32"/>
      <c r="H265" s="32"/>
      <c r="I265" s="32"/>
      <c r="J265" s="32"/>
      <c r="K265" s="32"/>
      <c r="L265" s="32"/>
      <c r="M265" s="32"/>
      <c r="N265" s="32"/>
      <c r="O265" s="32"/>
      <c r="P265" s="32"/>
      <c r="Q265" s="32"/>
      <c r="R265" s="32"/>
      <c r="S265" s="32"/>
      <c r="T265" s="91"/>
      <c r="U265" s="91"/>
      <c r="V265" s="91"/>
      <c r="W265" s="91"/>
      <c r="X265" s="91"/>
      <c r="Y265" s="91"/>
      <c r="Z265" s="91"/>
    </row>
    <row r="266" spans="1:26" ht="12.75" customHeight="1">
      <c r="A266" s="32"/>
      <c r="B266" s="32"/>
      <c r="C266" s="32"/>
      <c r="D266" s="32"/>
      <c r="E266" s="32"/>
      <c r="F266" s="32"/>
      <c r="G266" s="32"/>
      <c r="H266" s="32"/>
      <c r="I266" s="32"/>
      <c r="J266" s="32"/>
      <c r="K266" s="32"/>
      <c r="L266" s="32"/>
      <c r="M266" s="32"/>
      <c r="N266" s="32"/>
      <c r="O266" s="32"/>
      <c r="P266" s="32"/>
      <c r="Q266" s="32"/>
      <c r="R266" s="32"/>
      <c r="S266" s="32"/>
      <c r="T266" s="91"/>
      <c r="U266" s="91"/>
      <c r="V266" s="91"/>
      <c r="W266" s="91"/>
      <c r="X266" s="91"/>
      <c r="Y266" s="91"/>
      <c r="Z266" s="91"/>
    </row>
    <row r="267" spans="1:26" ht="12.75" customHeight="1">
      <c r="A267" s="32"/>
      <c r="B267" s="32"/>
      <c r="C267" s="32"/>
      <c r="D267" s="32"/>
      <c r="E267" s="32"/>
      <c r="F267" s="32"/>
      <c r="G267" s="32"/>
      <c r="H267" s="32"/>
      <c r="I267" s="32"/>
      <c r="J267" s="32"/>
      <c r="K267" s="32"/>
      <c r="L267" s="32"/>
      <c r="M267" s="32"/>
      <c r="N267" s="32"/>
      <c r="O267" s="32"/>
      <c r="P267" s="32"/>
      <c r="Q267" s="32"/>
      <c r="R267" s="32"/>
      <c r="S267" s="32"/>
      <c r="T267" s="91"/>
      <c r="U267" s="91"/>
      <c r="V267" s="91"/>
      <c r="W267" s="91"/>
      <c r="X267" s="91"/>
      <c r="Y267" s="91"/>
      <c r="Z267" s="91"/>
    </row>
    <row r="268" spans="1:26" ht="12.75" customHeight="1">
      <c r="A268" s="32"/>
      <c r="B268" s="32"/>
      <c r="C268" s="32"/>
      <c r="D268" s="32"/>
      <c r="E268" s="32"/>
      <c r="F268" s="32"/>
      <c r="G268" s="32"/>
      <c r="H268" s="32"/>
      <c r="I268" s="32"/>
      <c r="J268" s="32"/>
      <c r="K268" s="32"/>
      <c r="L268" s="32"/>
      <c r="M268" s="32"/>
      <c r="N268" s="32"/>
      <c r="O268" s="32"/>
      <c r="P268" s="32"/>
      <c r="Q268" s="32"/>
      <c r="R268" s="32"/>
      <c r="S268" s="32"/>
      <c r="T268" s="91"/>
      <c r="U268" s="91"/>
      <c r="V268" s="91"/>
      <c r="W268" s="91"/>
      <c r="X268" s="91"/>
      <c r="Y268" s="91"/>
      <c r="Z268" s="91"/>
    </row>
    <row r="269" spans="1:26" ht="12.75" customHeight="1">
      <c r="A269" s="32"/>
      <c r="B269" s="32"/>
      <c r="C269" s="32"/>
      <c r="D269" s="32"/>
      <c r="E269" s="32"/>
      <c r="F269" s="32"/>
      <c r="G269" s="32"/>
      <c r="H269" s="32"/>
      <c r="I269" s="32"/>
      <c r="J269" s="32"/>
      <c r="K269" s="32"/>
      <c r="L269" s="32"/>
      <c r="M269" s="32"/>
      <c r="N269" s="32"/>
      <c r="O269" s="32"/>
      <c r="P269" s="32"/>
      <c r="Q269" s="32"/>
      <c r="R269" s="32"/>
      <c r="S269" s="32"/>
      <c r="T269" s="91"/>
      <c r="U269" s="91"/>
      <c r="V269" s="91"/>
      <c r="W269" s="91"/>
      <c r="X269" s="91"/>
      <c r="Y269" s="91"/>
      <c r="Z269" s="91"/>
    </row>
    <row r="270" spans="1:26" ht="12.75" customHeight="1">
      <c r="A270" s="32"/>
      <c r="B270" s="32"/>
      <c r="C270" s="32"/>
      <c r="D270" s="32"/>
      <c r="E270" s="32"/>
      <c r="F270" s="32"/>
      <c r="G270" s="32"/>
      <c r="H270" s="32"/>
      <c r="I270" s="32"/>
      <c r="J270" s="32"/>
      <c r="K270" s="32"/>
      <c r="L270" s="32"/>
      <c r="M270" s="32"/>
      <c r="N270" s="32"/>
      <c r="O270" s="32"/>
      <c r="P270" s="32"/>
      <c r="Q270" s="32"/>
      <c r="R270" s="32"/>
      <c r="S270" s="32"/>
      <c r="T270" s="91"/>
      <c r="U270" s="91"/>
      <c r="V270" s="91"/>
      <c r="W270" s="91"/>
      <c r="X270" s="91"/>
      <c r="Y270" s="91"/>
      <c r="Z270" s="91"/>
    </row>
    <row r="271" spans="1:26" ht="12.75" customHeight="1">
      <c r="A271" s="32"/>
      <c r="B271" s="32"/>
      <c r="C271" s="32"/>
      <c r="D271" s="32"/>
      <c r="E271" s="32"/>
      <c r="F271" s="32"/>
      <c r="G271" s="32"/>
      <c r="H271" s="32"/>
      <c r="I271" s="32"/>
      <c r="J271" s="32"/>
      <c r="K271" s="32"/>
      <c r="L271" s="32"/>
      <c r="M271" s="32"/>
      <c r="N271" s="32"/>
      <c r="O271" s="32"/>
      <c r="P271" s="32"/>
      <c r="Q271" s="32"/>
      <c r="R271" s="32"/>
      <c r="S271" s="32"/>
      <c r="T271" s="91"/>
      <c r="U271" s="91"/>
      <c r="V271" s="91"/>
      <c r="W271" s="91"/>
      <c r="X271" s="91"/>
      <c r="Y271" s="91"/>
      <c r="Z271" s="91"/>
    </row>
    <row r="272" spans="1:26" ht="12.75" customHeight="1">
      <c r="A272" s="32"/>
      <c r="B272" s="32"/>
      <c r="C272" s="32"/>
      <c r="D272" s="32"/>
      <c r="E272" s="32"/>
      <c r="F272" s="32"/>
      <c r="G272" s="32"/>
      <c r="H272" s="32"/>
      <c r="I272" s="32"/>
      <c r="J272" s="32"/>
      <c r="K272" s="32"/>
      <c r="L272" s="32"/>
      <c r="M272" s="32"/>
      <c r="N272" s="32"/>
      <c r="O272" s="32"/>
      <c r="P272" s="32"/>
      <c r="Q272" s="32"/>
      <c r="R272" s="32"/>
      <c r="S272" s="32"/>
      <c r="T272" s="91"/>
      <c r="U272" s="91"/>
      <c r="V272" s="91"/>
      <c r="W272" s="91"/>
      <c r="X272" s="91"/>
      <c r="Y272" s="91"/>
      <c r="Z272" s="91"/>
    </row>
    <row r="273" spans="1:26" ht="12.75" customHeight="1">
      <c r="A273" s="32"/>
      <c r="B273" s="32"/>
      <c r="C273" s="32"/>
      <c r="D273" s="32"/>
      <c r="E273" s="32"/>
      <c r="F273" s="32"/>
      <c r="G273" s="32"/>
      <c r="H273" s="32"/>
      <c r="I273" s="32"/>
      <c r="J273" s="32"/>
      <c r="K273" s="32"/>
      <c r="L273" s="32"/>
      <c r="M273" s="32"/>
      <c r="N273" s="32"/>
      <c r="O273" s="32"/>
      <c r="P273" s="32"/>
      <c r="Q273" s="32"/>
      <c r="R273" s="32"/>
      <c r="S273" s="32"/>
      <c r="T273" s="91"/>
      <c r="U273" s="91"/>
      <c r="V273" s="91"/>
      <c r="W273" s="91"/>
      <c r="X273" s="91"/>
      <c r="Y273" s="91"/>
      <c r="Z273" s="91"/>
    </row>
    <row r="274" spans="1:26" ht="12.75" customHeight="1">
      <c r="A274" s="32"/>
      <c r="B274" s="32"/>
      <c r="C274" s="32"/>
      <c r="D274" s="32"/>
      <c r="E274" s="32"/>
      <c r="F274" s="32"/>
      <c r="G274" s="32"/>
      <c r="H274" s="32"/>
      <c r="I274" s="32"/>
      <c r="J274" s="32"/>
      <c r="K274" s="32"/>
      <c r="L274" s="32"/>
      <c r="M274" s="32"/>
      <c r="N274" s="32"/>
      <c r="O274" s="32"/>
      <c r="P274" s="32"/>
      <c r="Q274" s="32"/>
      <c r="R274" s="32"/>
      <c r="S274" s="32"/>
      <c r="T274" s="91"/>
      <c r="U274" s="91"/>
      <c r="V274" s="91"/>
      <c r="W274" s="91"/>
      <c r="X274" s="91"/>
      <c r="Y274" s="91"/>
      <c r="Z274" s="91"/>
    </row>
    <row r="275" spans="1:26" ht="12.75" customHeight="1">
      <c r="A275" s="32"/>
      <c r="B275" s="32"/>
      <c r="C275" s="32"/>
      <c r="D275" s="32"/>
      <c r="E275" s="32"/>
      <c r="F275" s="32"/>
      <c r="G275" s="32"/>
      <c r="H275" s="32"/>
      <c r="I275" s="32"/>
      <c r="J275" s="32"/>
      <c r="K275" s="32"/>
      <c r="L275" s="32"/>
      <c r="M275" s="32"/>
      <c r="N275" s="32"/>
      <c r="O275" s="32"/>
      <c r="P275" s="32"/>
      <c r="Q275" s="32"/>
      <c r="R275" s="32"/>
      <c r="S275" s="32"/>
      <c r="T275" s="91"/>
      <c r="U275" s="91"/>
      <c r="V275" s="91"/>
      <c r="W275" s="91"/>
      <c r="X275" s="91"/>
      <c r="Y275" s="91"/>
      <c r="Z275" s="91"/>
    </row>
    <row r="276" spans="1:26" ht="12.75" customHeight="1">
      <c r="A276" s="32"/>
      <c r="B276" s="32"/>
      <c r="C276" s="32"/>
      <c r="D276" s="32"/>
      <c r="E276" s="32"/>
      <c r="F276" s="32"/>
      <c r="G276" s="32"/>
      <c r="H276" s="32"/>
      <c r="I276" s="32"/>
      <c r="J276" s="32"/>
      <c r="K276" s="32"/>
      <c r="L276" s="32"/>
      <c r="M276" s="32"/>
      <c r="N276" s="32"/>
      <c r="O276" s="32"/>
      <c r="P276" s="32"/>
      <c r="Q276" s="32"/>
      <c r="R276" s="32"/>
      <c r="S276" s="32"/>
      <c r="T276" s="91"/>
      <c r="U276" s="91"/>
      <c r="V276" s="91"/>
      <c r="W276" s="91"/>
      <c r="X276" s="91"/>
      <c r="Y276" s="91"/>
      <c r="Z276" s="91"/>
    </row>
    <row r="277" spans="1:26" ht="12.75" customHeight="1">
      <c r="A277" s="32"/>
      <c r="B277" s="32"/>
      <c r="C277" s="32"/>
      <c r="D277" s="32"/>
      <c r="E277" s="32"/>
      <c r="F277" s="32"/>
      <c r="G277" s="32"/>
      <c r="H277" s="32"/>
      <c r="I277" s="32"/>
      <c r="J277" s="32"/>
      <c r="K277" s="32"/>
      <c r="L277" s="32"/>
      <c r="M277" s="32"/>
      <c r="N277" s="32"/>
      <c r="O277" s="32"/>
      <c r="P277" s="32"/>
      <c r="Q277" s="32"/>
      <c r="R277" s="32"/>
      <c r="S277" s="32"/>
      <c r="T277" s="91"/>
      <c r="U277" s="91"/>
      <c r="V277" s="91"/>
      <c r="W277" s="91"/>
      <c r="X277" s="91"/>
      <c r="Y277" s="91"/>
      <c r="Z277" s="91"/>
    </row>
    <row r="278" spans="1:26" ht="12.75" customHeight="1">
      <c r="A278" s="32"/>
      <c r="B278" s="32"/>
      <c r="C278" s="32"/>
      <c r="D278" s="32"/>
      <c r="E278" s="32"/>
      <c r="F278" s="32"/>
      <c r="G278" s="32"/>
      <c r="H278" s="32"/>
      <c r="I278" s="32"/>
      <c r="J278" s="32"/>
      <c r="K278" s="32"/>
      <c r="L278" s="32"/>
      <c r="M278" s="32"/>
      <c r="N278" s="32"/>
      <c r="O278" s="32"/>
      <c r="P278" s="32"/>
      <c r="Q278" s="32"/>
      <c r="R278" s="32"/>
      <c r="S278" s="32"/>
      <c r="T278" s="91"/>
      <c r="U278" s="91"/>
      <c r="V278" s="91"/>
      <c r="W278" s="91"/>
      <c r="X278" s="91"/>
      <c r="Y278" s="91"/>
      <c r="Z278" s="91"/>
    </row>
    <row r="279" spans="1:26" ht="12.75" customHeight="1">
      <c r="A279" s="32"/>
      <c r="B279" s="32"/>
      <c r="C279" s="32"/>
      <c r="D279" s="32"/>
      <c r="E279" s="32"/>
      <c r="F279" s="32"/>
      <c r="G279" s="32"/>
      <c r="H279" s="32"/>
      <c r="I279" s="32"/>
      <c r="J279" s="32"/>
      <c r="K279" s="32"/>
      <c r="L279" s="32"/>
      <c r="M279" s="32"/>
      <c r="N279" s="32"/>
      <c r="O279" s="32"/>
      <c r="P279" s="32"/>
      <c r="Q279" s="32"/>
      <c r="R279" s="32"/>
      <c r="S279" s="32"/>
      <c r="T279" s="91"/>
      <c r="U279" s="91"/>
      <c r="V279" s="91"/>
      <c r="W279" s="91"/>
      <c r="X279" s="91"/>
      <c r="Y279" s="91"/>
      <c r="Z279" s="91"/>
    </row>
    <row r="280" spans="1:26" ht="12.75" customHeight="1">
      <c r="A280" s="32"/>
      <c r="B280" s="32"/>
      <c r="C280" s="32"/>
      <c r="D280" s="32"/>
      <c r="E280" s="32"/>
      <c r="F280" s="32"/>
      <c r="G280" s="32"/>
      <c r="H280" s="32"/>
      <c r="I280" s="32"/>
      <c r="J280" s="32"/>
      <c r="K280" s="32"/>
      <c r="L280" s="32"/>
      <c r="M280" s="32"/>
      <c r="N280" s="32"/>
      <c r="O280" s="32"/>
      <c r="P280" s="32"/>
      <c r="Q280" s="32"/>
      <c r="R280" s="32"/>
      <c r="S280" s="32"/>
      <c r="T280" s="91"/>
      <c r="U280" s="91"/>
      <c r="V280" s="91"/>
      <c r="W280" s="91"/>
      <c r="X280" s="91"/>
      <c r="Y280" s="91"/>
      <c r="Z280" s="91"/>
    </row>
    <row r="281" spans="1:26" ht="12.75" customHeight="1">
      <c r="A281" s="32"/>
      <c r="B281" s="32"/>
      <c r="C281" s="32"/>
      <c r="D281" s="32"/>
      <c r="E281" s="32"/>
      <c r="F281" s="32"/>
      <c r="G281" s="32"/>
      <c r="H281" s="32"/>
      <c r="I281" s="32"/>
      <c r="J281" s="32"/>
      <c r="K281" s="32"/>
      <c r="L281" s="32"/>
      <c r="M281" s="32"/>
      <c r="N281" s="32"/>
      <c r="O281" s="32"/>
      <c r="P281" s="32"/>
      <c r="Q281" s="32"/>
      <c r="R281" s="32"/>
      <c r="S281" s="32"/>
      <c r="T281" s="91"/>
      <c r="U281" s="91"/>
      <c r="V281" s="91"/>
      <c r="W281" s="91"/>
      <c r="X281" s="91"/>
      <c r="Y281" s="91"/>
      <c r="Z281" s="91"/>
    </row>
    <row r="282" spans="1:26" ht="12.75" customHeight="1">
      <c r="A282" s="32"/>
      <c r="B282" s="32"/>
      <c r="C282" s="32"/>
      <c r="D282" s="32"/>
      <c r="E282" s="32"/>
      <c r="F282" s="32"/>
      <c r="G282" s="32"/>
      <c r="H282" s="32"/>
      <c r="I282" s="32"/>
      <c r="J282" s="32"/>
      <c r="K282" s="32"/>
      <c r="L282" s="32"/>
      <c r="M282" s="32"/>
      <c r="N282" s="32"/>
      <c r="O282" s="32"/>
      <c r="P282" s="32"/>
      <c r="Q282" s="32"/>
      <c r="R282" s="32"/>
      <c r="S282" s="32"/>
      <c r="T282" s="91"/>
      <c r="U282" s="91"/>
      <c r="V282" s="91"/>
      <c r="W282" s="91"/>
      <c r="X282" s="91"/>
      <c r="Y282" s="91"/>
      <c r="Z282" s="91"/>
    </row>
    <row r="283" spans="1:26" ht="12.75" customHeight="1">
      <c r="A283" s="32"/>
      <c r="B283" s="32"/>
      <c r="C283" s="32"/>
      <c r="D283" s="32"/>
      <c r="E283" s="32"/>
      <c r="F283" s="32"/>
      <c r="G283" s="32"/>
      <c r="H283" s="32"/>
      <c r="I283" s="32"/>
      <c r="J283" s="32"/>
      <c r="K283" s="32"/>
      <c r="L283" s="32"/>
      <c r="M283" s="32"/>
      <c r="N283" s="32"/>
      <c r="O283" s="32"/>
      <c r="P283" s="32"/>
      <c r="Q283" s="32"/>
      <c r="R283" s="32"/>
      <c r="S283" s="32"/>
      <c r="T283" s="91"/>
      <c r="U283" s="91"/>
      <c r="V283" s="91"/>
      <c r="W283" s="91"/>
      <c r="X283" s="91"/>
      <c r="Y283" s="91"/>
      <c r="Z283" s="91"/>
    </row>
    <row r="284" spans="1:26" ht="12.75" customHeight="1">
      <c r="A284" s="32"/>
      <c r="B284" s="32"/>
      <c r="C284" s="32"/>
      <c r="D284" s="32"/>
      <c r="E284" s="32"/>
      <c r="F284" s="32"/>
      <c r="G284" s="32"/>
      <c r="H284" s="32"/>
      <c r="I284" s="32"/>
      <c r="J284" s="32"/>
      <c r="K284" s="32"/>
      <c r="L284" s="32"/>
      <c r="M284" s="32"/>
      <c r="N284" s="32"/>
      <c r="O284" s="32"/>
      <c r="P284" s="32"/>
      <c r="Q284" s="32"/>
      <c r="R284" s="32"/>
      <c r="S284" s="32"/>
      <c r="T284" s="91"/>
      <c r="U284" s="91"/>
      <c r="V284" s="91"/>
      <c r="W284" s="91"/>
      <c r="X284" s="91"/>
      <c r="Y284" s="91"/>
      <c r="Z284" s="91"/>
    </row>
    <row r="285" spans="1:26" ht="12.75" customHeight="1">
      <c r="A285" s="32"/>
      <c r="B285" s="32"/>
      <c r="C285" s="32"/>
      <c r="D285" s="32"/>
      <c r="E285" s="32"/>
      <c r="F285" s="32"/>
      <c r="G285" s="32"/>
      <c r="H285" s="32"/>
      <c r="I285" s="32"/>
      <c r="J285" s="32"/>
      <c r="K285" s="32"/>
      <c r="L285" s="32"/>
      <c r="M285" s="32"/>
      <c r="N285" s="32"/>
      <c r="O285" s="32"/>
      <c r="P285" s="32"/>
      <c r="Q285" s="32"/>
      <c r="R285" s="32"/>
      <c r="S285" s="32"/>
      <c r="T285" s="91"/>
      <c r="U285" s="91"/>
      <c r="V285" s="91"/>
      <c r="W285" s="91"/>
      <c r="X285" s="91"/>
      <c r="Y285" s="91"/>
      <c r="Z285" s="91"/>
    </row>
    <row r="286" spans="1:26" ht="12.75" customHeight="1">
      <c r="A286" s="32"/>
      <c r="B286" s="32"/>
      <c r="C286" s="32"/>
      <c r="D286" s="32"/>
      <c r="E286" s="32"/>
      <c r="F286" s="32"/>
      <c r="G286" s="32"/>
      <c r="H286" s="32"/>
      <c r="I286" s="32"/>
      <c r="J286" s="32"/>
      <c r="K286" s="32"/>
      <c r="L286" s="32"/>
      <c r="M286" s="32"/>
      <c r="N286" s="32"/>
      <c r="O286" s="32"/>
      <c r="P286" s="32"/>
      <c r="Q286" s="32"/>
      <c r="R286" s="32"/>
      <c r="S286" s="32"/>
      <c r="T286" s="91"/>
      <c r="U286" s="91"/>
      <c r="V286" s="91"/>
      <c r="W286" s="91"/>
      <c r="X286" s="91"/>
      <c r="Y286" s="91"/>
      <c r="Z286" s="91"/>
    </row>
    <row r="287" spans="1:26" ht="12.75" customHeight="1">
      <c r="A287" s="32"/>
      <c r="B287" s="32"/>
      <c r="C287" s="32"/>
      <c r="D287" s="32"/>
      <c r="E287" s="32"/>
      <c r="F287" s="32"/>
      <c r="G287" s="32"/>
      <c r="H287" s="32"/>
      <c r="I287" s="32"/>
      <c r="J287" s="32"/>
      <c r="K287" s="32"/>
      <c r="L287" s="32"/>
      <c r="M287" s="32"/>
      <c r="N287" s="32"/>
      <c r="O287" s="32"/>
      <c r="P287" s="32"/>
      <c r="Q287" s="32"/>
      <c r="R287" s="32"/>
      <c r="S287" s="32"/>
      <c r="T287" s="91"/>
      <c r="U287" s="91"/>
      <c r="V287" s="91"/>
      <c r="W287" s="91"/>
      <c r="X287" s="91"/>
      <c r="Y287" s="91"/>
      <c r="Z287" s="91"/>
    </row>
    <row r="288" spans="1:26" ht="12.75" customHeight="1">
      <c r="A288" s="32"/>
      <c r="B288" s="32"/>
      <c r="C288" s="32"/>
      <c r="D288" s="32"/>
      <c r="E288" s="32"/>
      <c r="F288" s="32"/>
      <c r="G288" s="32"/>
      <c r="H288" s="32"/>
      <c r="I288" s="32"/>
      <c r="J288" s="32"/>
      <c r="K288" s="32"/>
      <c r="L288" s="32"/>
      <c r="M288" s="32"/>
      <c r="N288" s="32"/>
      <c r="O288" s="32"/>
      <c r="P288" s="32"/>
      <c r="Q288" s="32"/>
      <c r="R288" s="32"/>
      <c r="S288" s="32"/>
      <c r="T288" s="91"/>
      <c r="U288" s="91"/>
      <c r="V288" s="91"/>
      <c r="W288" s="91"/>
      <c r="X288" s="91"/>
      <c r="Y288" s="91"/>
      <c r="Z288" s="91"/>
    </row>
    <row r="289" spans="1:26" ht="12.75" customHeight="1">
      <c r="A289" s="32"/>
      <c r="B289" s="32"/>
      <c r="C289" s="32"/>
      <c r="D289" s="32"/>
      <c r="E289" s="32"/>
      <c r="F289" s="32"/>
      <c r="G289" s="32"/>
      <c r="H289" s="32"/>
      <c r="I289" s="32"/>
      <c r="J289" s="32"/>
      <c r="K289" s="32"/>
      <c r="L289" s="32"/>
      <c r="M289" s="32"/>
      <c r="N289" s="32"/>
      <c r="O289" s="32"/>
      <c r="P289" s="32"/>
      <c r="Q289" s="32"/>
      <c r="R289" s="32"/>
      <c r="S289" s="32"/>
      <c r="T289" s="91"/>
      <c r="U289" s="91"/>
      <c r="V289" s="91"/>
      <c r="W289" s="91"/>
      <c r="X289" s="91"/>
      <c r="Y289" s="91"/>
      <c r="Z289" s="91"/>
    </row>
    <row r="290" spans="1:26" ht="12.75" customHeight="1">
      <c r="A290" s="32"/>
      <c r="B290" s="32"/>
      <c r="C290" s="32"/>
      <c r="D290" s="32"/>
      <c r="E290" s="32"/>
      <c r="F290" s="32"/>
      <c r="G290" s="32"/>
      <c r="H290" s="32"/>
      <c r="I290" s="32"/>
      <c r="J290" s="32"/>
      <c r="K290" s="32"/>
      <c r="L290" s="32"/>
      <c r="M290" s="32"/>
      <c r="N290" s="32"/>
      <c r="O290" s="32"/>
      <c r="P290" s="32"/>
      <c r="Q290" s="32"/>
      <c r="R290" s="32"/>
      <c r="S290" s="32"/>
      <c r="T290" s="91"/>
      <c r="U290" s="91"/>
      <c r="V290" s="91"/>
      <c r="W290" s="91"/>
      <c r="X290" s="91"/>
      <c r="Y290" s="91"/>
      <c r="Z290" s="91"/>
    </row>
    <row r="291" spans="1:26" ht="12.75" customHeight="1">
      <c r="A291" s="32"/>
      <c r="B291" s="32"/>
      <c r="C291" s="32"/>
      <c r="D291" s="32"/>
      <c r="E291" s="32"/>
      <c r="F291" s="32"/>
      <c r="G291" s="32"/>
      <c r="H291" s="32"/>
      <c r="I291" s="32"/>
      <c r="J291" s="32"/>
      <c r="K291" s="32"/>
      <c r="L291" s="32"/>
      <c r="M291" s="32"/>
      <c r="N291" s="32"/>
      <c r="O291" s="32"/>
      <c r="P291" s="32"/>
      <c r="Q291" s="32"/>
      <c r="R291" s="32"/>
      <c r="S291" s="32"/>
      <c r="T291" s="91"/>
      <c r="U291" s="91"/>
      <c r="V291" s="91"/>
      <c r="W291" s="91"/>
      <c r="X291" s="91"/>
      <c r="Y291" s="91"/>
      <c r="Z291" s="91"/>
    </row>
    <row r="292" spans="1:26" ht="12.75" customHeight="1">
      <c r="A292" s="32"/>
      <c r="B292" s="32"/>
      <c r="C292" s="32"/>
      <c r="D292" s="32"/>
      <c r="E292" s="32"/>
      <c r="F292" s="32"/>
      <c r="G292" s="32"/>
      <c r="H292" s="32"/>
      <c r="I292" s="32"/>
      <c r="J292" s="32"/>
      <c r="K292" s="32"/>
      <c r="L292" s="32"/>
      <c r="M292" s="32"/>
      <c r="N292" s="32"/>
      <c r="O292" s="32"/>
      <c r="P292" s="32"/>
      <c r="Q292" s="32"/>
      <c r="R292" s="32"/>
      <c r="S292" s="32"/>
      <c r="T292" s="91"/>
      <c r="U292" s="91"/>
      <c r="V292" s="91"/>
      <c r="W292" s="91"/>
      <c r="X292" s="91"/>
      <c r="Y292" s="91"/>
      <c r="Z292" s="91"/>
    </row>
    <row r="293" spans="1:26" ht="12.75" customHeight="1">
      <c r="A293" s="32"/>
      <c r="B293" s="32"/>
      <c r="C293" s="32"/>
      <c r="D293" s="32"/>
      <c r="E293" s="32"/>
      <c r="F293" s="32"/>
      <c r="G293" s="32"/>
      <c r="H293" s="32"/>
      <c r="I293" s="32"/>
      <c r="J293" s="32"/>
      <c r="K293" s="32"/>
      <c r="L293" s="32"/>
      <c r="M293" s="32"/>
      <c r="N293" s="32"/>
      <c r="O293" s="32"/>
      <c r="P293" s="32"/>
      <c r="Q293" s="32"/>
      <c r="R293" s="32"/>
      <c r="S293" s="32"/>
      <c r="T293" s="91"/>
      <c r="U293" s="91"/>
      <c r="V293" s="91"/>
      <c r="W293" s="91"/>
      <c r="X293" s="91"/>
      <c r="Y293" s="91"/>
      <c r="Z293" s="91"/>
    </row>
    <row r="294" spans="1:26" ht="12.75" customHeight="1">
      <c r="A294" s="32"/>
      <c r="B294" s="32"/>
      <c r="C294" s="32"/>
      <c r="D294" s="32"/>
      <c r="E294" s="32"/>
      <c r="F294" s="32"/>
      <c r="G294" s="32"/>
      <c r="H294" s="32"/>
      <c r="I294" s="32"/>
      <c r="J294" s="32"/>
      <c r="K294" s="32"/>
      <c r="L294" s="32"/>
      <c r="M294" s="32"/>
      <c r="N294" s="32"/>
      <c r="O294" s="32"/>
      <c r="P294" s="32"/>
      <c r="Q294" s="32"/>
      <c r="R294" s="32"/>
      <c r="S294" s="32"/>
      <c r="T294" s="91"/>
      <c r="U294" s="91"/>
      <c r="V294" s="91"/>
      <c r="W294" s="91"/>
      <c r="X294" s="91"/>
      <c r="Y294" s="91"/>
      <c r="Z294" s="91"/>
    </row>
    <row r="295" spans="1:26" ht="12.75" customHeight="1">
      <c r="A295" s="32"/>
      <c r="B295" s="32"/>
      <c r="C295" s="32"/>
      <c r="D295" s="32"/>
      <c r="E295" s="32"/>
      <c r="F295" s="32"/>
      <c r="G295" s="32"/>
      <c r="H295" s="32"/>
      <c r="I295" s="32"/>
      <c r="J295" s="32"/>
      <c r="K295" s="32"/>
      <c r="L295" s="32"/>
      <c r="M295" s="32"/>
      <c r="N295" s="32"/>
      <c r="O295" s="32"/>
      <c r="P295" s="32"/>
      <c r="Q295" s="32"/>
      <c r="R295" s="32"/>
      <c r="S295" s="32"/>
      <c r="T295" s="91"/>
      <c r="U295" s="91"/>
      <c r="V295" s="91"/>
      <c r="W295" s="91"/>
      <c r="X295" s="91"/>
      <c r="Y295" s="91"/>
      <c r="Z295" s="91"/>
    </row>
    <row r="296" spans="1:26" ht="12.75" customHeight="1">
      <c r="A296" s="32"/>
      <c r="B296" s="32"/>
      <c r="C296" s="32"/>
      <c r="D296" s="32"/>
      <c r="E296" s="32"/>
      <c r="F296" s="32"/>
      <c r="G296" s="32"/>
      <c r="H296" s="32"/>
      <c r="I296" s="32"/>
      <c r="J296" s="32"/>
      <c r="K296" s="32"/>
      <c r="L296" s="32"/>
      <c r="M296" s="32"/>
      <c r="N296" s="32"/>
      <c r="O296" s="32"/>
      <c r="P296" s="32"/>
      <c r="Q296" s="32"/>
      <c r="R296" s="32"/>
      <c r="S296" s="32"/>
      <c r="T296" s="91"/>
      <c r="U296" s="91"/>
      <c r="V296" s="91"/>
      <c r="W296" s="91"/>
      <c r="X296" s="91"/>
      <c r="Y296" s="91"/>
      <c r="Z296" s="91"/>
    </row>
    <row r="297" spans="1:26" ht="12.75" customHeight="1">
      <c r="A297" s="32"/>
      <c r="B297" s="32"/>
      <c r="C297" s="32"/>
      <c r="D297" s="32"/>
      <c r="E297" s="32"/>
      <c r="F297" s="32"/>
      <c r="G297" s="32"/>
      <c r="H297" s="32"/>
      <c r="I297" s="32"/>
      <c r="J297" s="32"/>
      <c r="K297" s="32"/>
      <c r="L297" s="32"/>
      <c r="M297" s="32"/>
      <c r="N297" s="32"/>
      <c r="O297" s="32"/>
      <c r="P297" s="32"/>
      <c r="Q297" s="32"/>
      <c r="R297" s="32"/>
      <c r="S297" s="32"/>
      <c r="T297" s="91"/>
      <c r="U297" s="91"/>
      <c r="V297" s="91"/>
      <c r="W297" s="91"/>
      <c r="X297" s="91"/>
      <c r="Y297" s="91"/>
      <c r="Z297" s="91"/>
    </row>
    <row r="298" spans="1:26" ht="12.75" customHeight="1">
      <c r="A298" s="32"/>
      <c r="B298" s="32"/>
      <c r="C298" s="32"/>
      <c r="D298" s="32"/>
      <c r="E298" s="32"/>
      <c r="F298" s="32"/>
      <c r="G298" s="32"/>
      <c r="H298" s="32"/>
      <c r="I298" s="32"/>
      <c r="J298" s="32"/>
      <c r="K298" s="32"/>
      <c r="L298" s="32"/>
      <c r="M298" s="32"/>
      <c r="N298" s="32"/>
      <c r="O298" s="32"/>
      <c r="P298" s="32"/>
      <c r="Q298" s="32"/>
      <c r="R298" s="32"/>
      <c r="S298" s="32"/>
      <c r="T298" s="91"/>
      <c r="U298" s="91"/>
      <c r="V298" s="91"/>
      <c r="W298" s="91"/>
      <c r="X298" s="91"/>
      <c r="Y298" s="91"/>
      <c r="Z298" s="91"/>
    </row>
    <row r="299" spans="1:26" ht="12.75" customHeight="1">
      <c r="A299" s="32"/>
      <c r="B299" s="32"/>
      <c r="C299" s="32"/>
      <c r="D299" s="32"/>
      <c r="E299" s="32"/>
      <c r="F299" s="32"/>
      <c r="G299" s="32"/>
      <c r="H299" s="32"/>
      <c r="I299" s="32"/>
      <c r="J299" s="32"/>
      <c r="K299" s="32"/>
      <c r="L299" s="32"/>
      <c r="M299" s="32"/>
      <c r="N299" s="32"/>
      <c r="O299" s="32"/>
      <c r="P299" s="32"/>
      <c r="Q299" s="32"/>
      <c r="R299" s="32"/>
      <c r="S299" s="32"/>
      <c r="T299" s="91"/>
      <c r="U299" s="91"/>
      <c r="V299" s="91"/>
      <c r="W299" s="91"/>
      <c r="X299" s="91"/>
      <c r="Y299" s="91"/>
      <c r="Z299" s="91"/>
    </row>
    <row r="300" spans="1:26" ht="12.75" customHeight="1">
      <c r="A300" s="32"/>
      <c r="B300" s="32"/>
      <c r="C300" s="32"/>
      <c r="D300" s="32"/>
      <c r="E300" s="32"/>
      <c r="F300" s="32"/>
      <c r="G300" s="32"/>
      <c r="H300" s="32"/>
      <c r="I300" s="32"/>
      <c r="J300" s="32"/>
      <c r="K300" s="32"/>
      <c r="L300" s="32"/>
      <c r="M300" s="32"/>
      <c r="N300" s="32"/>
      <c r="O300" s="32"/>
      <c r="P300" s="32"/>
      <c r="Q300" s="32"/>
      <c r="R300" s="32"/>
      <c r="S300" s="32"/>
      <c r="T300" s="91"/>
      <c r="U300" s="91"/>
      <c r="V300" s="91"/>
      <c r="W300" s="91"/>
      <c r="X300" s="91"/>
      <c r="Y300" s="91"/>
      <c r="Z300" s="91"/>
    </row>
    <row r="301" spans="1:26" ht="12.75" customHeight="1">
      <c r="A301" s="32"/>
      <c r="B301" s="32"/>
      <c r="C301" s="32"/>
      <c r="D301" s="32"/>
      <c r="E301" s="32"/>
      <c r="F301" s="32"/>
      <c r="G301" s="32"/>
      <c r="H301" s="32"/>
      <c r="I301" s="32"/>
      <c r="J301" s="32"/>
      <c r="K301" s="32"/>
      <c r="L301" s="32"/>
      <c r="M301" s="32"/>
      <c r="N301" s="32"/>
      <c r="O301" s="32"/>
      <c r="P301" s="32"/>
      <c r="Q301" s="32"/>
      <c r="R301" s="32"/>
      <c r="S301" s="32"/>
      <c r="T301" s="91"/>
      <c r="U301" s="91"/>
      <c r="V301" s="91"/>
      <c r="W301" s="91"/>
      <c r="X301" s="91"/>
      <c r="Y301" s="91"/>
      <c r="Z301" s="91"/>
    </row>
    <row r="302" spans="1:26" ht="12.75" customHeight="1">
      <c r="A302" s="32"/>
      <c r="B302" s="32"/>
      <c r="C302" s="32"/>
      <c r="D302" s="32"/>
      <c r="E302" s="32"/>
      <c r="F302" s="32"/>
      <c r="G302" s="32"/>
      <c r="H302" s="32"/>
      <c r="I302" s="32"/>
      <c r="J302" s="32"/>
      <c r="K302" s="32"/>
      <c r="L302" s="32"/>
      <c r="M302" s="32"/>
      <c r="N302" s="32"/>
      <c r="O302" s="32"/>
      <c r="P302" s="32"/>
      <c r="Q302" s="32"/>
      <c r="R302" s="32"/>
      <c r="S302" s="32"/>
      <c r="T302" s="91"/>
      <c r="U302" s="91"/>
      <c r="V302" s="91"/>
      <c r="W302" s="91"/>
      <c r="X302" s="91"/>
      <c r="Y302" s="91"/>
      <c r="Z302" s="91"/>
    </row>
    <row r="303" spans="1:26" ht="12.75" customHeight="1">
      <c r="A303" s="32"/>
      <c r="B303" s="32"/>
      <c r="C303" s="32"/>
      <c r="D303" s="32"/>
      <c r="E303" s="32"/>
      <c r="F303" s="32"/>
      <c r="G303" s="32"/>
      <c r="H303" s="32"/>
      <c r="I303" s="32"/>
      <c r="J303" s="32"/>
      <c r="K303" s="32"/>
      <c r="L303" s="32"/>
      <c r="M303" s="32"/>
      <c r="N303" s="32"/>
      <c r="O303" s="32"/>
      <c r="P303" s="32"/>
      <c r="Q303" s="32"/>
      <c r="R303" s="32"/>
      <c r="S303" s="32"/>
      <c r="T303" s="91"/>
      <c r="U303" s="91"/>
      <c r="V303" s="91"/>
      <c r="W303" s="91"/>
      <c r="X303" s="91"/>
      <c r="Y303" s="91"/>
      <c r="Z303" s="91"/>
    </row>
    <row r="304" spans="1:26" ht="12.75" customHeight="1">
      <c r="A304" s="32"/>
      <c r="B304" s="32"/>
      <c r="C304" s="32"/>
      <c r="D304" s="32"/>
      <c r="E304" s="32"/>
      <c r="F304" s="32"/>
      <c r="G304" s="32"/>
      <c r="H304" s="32"/>
      <c r="I304" s="32"/>
      <c r="J304" s="32"/>
      <c r="K304" s="32"/>
      <c r="L304" s="32"/>
      <c r="M304" s="32"/>
      <c r="N304" s="32"/>
      <c r="O304" s="32"/>
      <c r="P304" s="32"/>
      <c r="Q304" s="32"/>
      <c r="R304" s="32"/>
      <c r="S304" s="32"/>
      <c r="T304" s="91"/>
      <c r="U304" s="91"/>
      <c r="V304" s="91"/>
      <c r="W304" s="91"/>
      <c r="X304" s="91"/>
      <c r="Y304" s="91"/>
      <c r="Z304" s="91"/>
    </row>
    <row r="305" spans="1:26" ht="12.75" customHeight="1">
      <c r="A305" s="32"/>
      <c r="B305" s="32"/>
      <c r="C305" s="32"/>
      <c r="D305" s="32"/>
      <c r="E305" s="32"/>
      <c r="F305" s="32"/>
      <c r="G305" s="32"/>
      <c r="H305" s="32"/>
      <c r="I305" s="32"/>
      <c r="J305" s="32"/>
      <c r="K305" s="32"/>
      <c r="L305" s="32"/>
      <c r="M305" s="32"/>
      <c r="N305" s="32"/>
      <c r="O305" s="32"/>
      <c r="P305" s="32"/>
      <c r="Q305" s="32"/>
      <c r="R305" s="32"/>
      <c r="S305" s="32"/>
      <c r="T305" s="91"/>
      <c r="U305" s="91"/>
      <c r="V305" s="91"/>
      <c r="W305" s="91"/>
      <c r="X305" s="91"/>
      <c r="Y305" s="91"/>
      <c r="Z305" s="91"/>
    </row>
    <row r="306" spans="1:26" ht="12.75" customHeight="1">
      <c r="A306" s="32"/>
      <c r="B306" s="32"/>
      <c r="C306" s="32"/>
      <c r="D306" s="32"/>
      <c r="E306" s="32"/>
      <c r="F306" s="32"/>
      <c r="G306" s="32"/>
      <c r="H306" s="32"/>
      <c r="I306" s="32"/>
      <c r="J306" s="32"/>
      <c r="K306" s="32"/>
      <c r="L306" s="32"/>
      <c r="M306" s="32"/>
      <c r="N306" s="32"/>
      <c r="O306" s="32"/>
      <c r="P306" s="32"/>
      <c r="Q306" s="32"/>
      <c r="R306" s="32"/>
      <c r="S306" s="32"/>
      <c r="T306" s="91"/>
      <c r="U306" s="91"/>
      <c r="V306" s="91"/>
      <c r="W306" s="91"/>
      <c r="X306" s="91"/>
      <c r="Y306" s="91"/>
      <c r="Z306" s="91"/>
    </row>
    <row r="307" spans="1:26" ht="12.75" customHeight="1">
      <c r="A307" s="32"/>
      <c r="B307" s="32"/>
      <c r="C307" s="32"/>
      <c r="D307" s="32"/>
      <c r="E307" s="32"/>
      <c r="F307" s="32"/>
      <c r="G307" s="32"/>
      <c r="H307" s="32"/>
      <c r="I307" s="32"/>
      <c r="J307" s="32"/>
      <c r="K307" s="32"/>
      <c r="L307" s="32"/>
      <c r="M307" s="32"/>
      <c r="N307" s="32"/>
      <c r="O307" s="32"/>
      <c r="P307" s="32"/>
      <c r="Q307" s="32"/>
      <c r="R307" s="32"/>
      <c r="S307" s="32"/>
      <c r="T307" s="91"/>
      <c r="U307" s="91"/>
      <c r="V307" s="91"/>
      <c r="W307" s="91"/>
      <c r="X307" s="91"/>
      <c r="Y307" s="91"/>
      <c r="Z307" s="91"/>
    </row>
    <row r="308" spans="1:26" ht="12.75" customHeight="1">
      <c r="A308" s="32"/>
      <c r="B308" s="32"/>
      <c r="C308" s="32"/>
      <c r="D308" s="32"/>
      <c r="E308" s="32"/>
      <c r="F308" s="32"/>
      <c r="G308" s="32"/>
      <c r="H308" s="32"/>
      <c r="I308" s="32"/>
      <c r="J308" s="32"/>
      <c r="K308" s="32"/>
      <c r="L308" s="32"/>
      <c r="M308" s="32"/>
      <c r="N308" s="32"/>
      <c r="O308" s="32"/>
      <c r="P308" s="32"/>
      <c r="Q308" s="32"/>
      <c r="R308" s="32"/>
      <c r="S308" s="32"/>
      <c r="T308" s="91"/>
      <c r="U308" s="91"/>
      <c r="V308" s="91"/>
      <c r="W308" s="91"/>
      <c r="X308" s="91"/>
      <c r="Y308" s="91"/>
      <c r="Z308" s="91"/>
    </row>
    <row r="309" spans="1:26" ht="12.75" customHeight="1">
      <c r="A309" s="32"/>
      <c r="B309" s="32"/>
      <c r="C309" s="32"/>
      <c r="D309" s="32"/>
      <c r="E309" s="32"/>
      <c r="F309" s="32"/>
      <c r="G309" s="32"/>
      <c r="H309" s="32"/>
      <c r="I309" s="32"/>
      <c r="J309" s="32"/>
      <c r="K309" s="32"/>
      <c r="L309" s="32"/>
      <c r="M309" s="32"/>
      <c r="N309" s="32"/>
      <c r="O309" s="32"/>
      <c r="P309" s="32"/>
      <c r="Q309" s="32"/>
      <c r="R309" s="32"/>
      <c r="S309" s="32"/>
      <c r="T309" s="91"/>
      <c r="U309" s="91"/>
      <c r="V309" s="91"/>
      <c r="W309" s="91"/>
      <c r="X309" s="91"/>
      <c r="Y309" s="91"/>
      <c r="Z309" s="91"/>
    </row>
    <row r="310" spans="1:26" ht="12.75" customHeight="1">
      <c r="A310" s="32"/>
      <c r="B310" s="32"/>
      <c r="C310" s="32"/>
      <c r="D310" s="32"/>
      <c r="E310" s="32"/>
      <c r="F310" s="32"/>
      <c r="G310" s="32"/>
      <c r="H310" s="32"/>
      <c r="I310" s="32"/>
      <c r="J310" s="32"/>
      <c r="K310" s="32"/>
      <c r="L310" s="32"/>
      <c r="M310" s="32"/>
      <c r="N310" s="32"/>
      <c r="O310" s="32"/>
      <c r="P310" s="32"/>
      <c r="Q310" s="32"/>
      <c r="R310" s="32"/>
      <c r="S310" s="32"/>
      <c r="T310" s="91"/>
      <c r="U310" s="91"/>
      <c r="V310" s="91"/>
      <c r="W310" s="91"/>
      <c r="X310" s="91"/>
      <c r="Y310" s="91"/>
      <c r="Z310" s="91"/>
    </row>
    <row r="311" spans="1:26" ht="12.75" customHeight="1">
      <c r="A311" s="32"/>
      <c r="B311" s="32"/>
      <c r="C311" s="32"/>
      <c r="D311" s="32"/>
      <c r="E311" s="32"/>
      <c r="F311" s="32"/>
      <c r="G311" s="32"/>
      <c r="H311" s="32"/>
      <c r="I311" s="32"/>
      <c r="J311" s="32"/>
      <c r="K311" s="32"/>
      <c r="L311" s="32"/>
      <c r="M311" s="32"/>
      <c r="N311" s="32"/>
      <c r="O311" s="32"/>
      <c r="P311" s="32"/>
      <c r="Q311" s="32"/>
      <c r="R311" s="32"/>
      <c r="S311" s="32"/>
      <c r="T311" s="91"/>
      <c r="U311" s="91"/>
      <c r="V311" s="91"/>
      <c r="W311" s="91"/>
      <c r="X311" s="91"/>
      <c r="Y311" s="91"/>
      <c r="Z311" s="91"/>
    </row>
    <row r="312" spans="1:26" ht="12.75" customHeight="1">
      <c r="A312" s="32"/>
      <c r="B312" s="32"/>
      <c r="C312" s="32"/>
      <c r="D312" s="32"/>
      <c r="E312" s="32"/>
      <c r="F312" s="32"/>
      <c r="G312" s="32"/>
      <c r="H312" s="32"/>
      <c r="I312" s="32"/>
      <c r="J312" s="32"/>
      <c r="K312" s="32"/>
      <c r="L312" s="32"/>
      <c r="M312" s="32"/>
      <c r="N312" s="32"/>
      <c r="O312" s="32"/>
      <c r="P312" s="32"/>
      <c r="Q312" s="32"/>
      <c r="R312" s="32"/>
      <c r="S312" s="32"/>
      <c r="T312" s="91"/>
      <c r="U312" s="91"/>
      <c r="V312" s="91"/>
      <c r="W312" s="91"/>
      <c r="X312" s="91"/>
      <c r="Y312" s="91"/>
      <c r="Z312" s="91"/>
    </row>
    <row r="313" spans="1:26" ht="12.75" customHeight="1">
      <c r="A313" s="32"/>
      <c r="B313" s="32"/>
      <c r="C313" s="32"/>
      <c r="D313" s="32"/>
      <c r="E313" s="32"/>
      <c r="F313" s="32"/>
      <c r="G313" s="32"/>
      <c r="H313" s="32"/>
      <c r="I313" s="32"/>
      <c r="J313" s="32"/>
      <c r="K313" s="32"/>
      <c r="L313" s="32"/>
      <c r="M313" s="32"/>
      <c r="N313" s="32"/>
      <c r="O313" s="32"/>
      <c r="P313" s="32"/>
      <c r="Q313" s="32"/>
      <c r="R313" s="32"/>
      <c r="S313" s="32"/>
      <c r="T313" s="91"/>
      <c r="U313" s="91"/>
      <c r="V313" s="91"/>
      <c r="W313" s="91"/>
      <c r="X313" s="91"/>
      <c r="Y313" s="91"/>
      <c r="Z313" s="91"/>
    </row>
    <row r="314" spans="1:26" ht="12.75" customHeight="1">
      <c r="A314" s="32"/>
      <c r="B314" s="32"/>
      <c r="C314" s="32"/>
      <c r="D314" s="32"/>
      <c r="E314" s="32"/>
      <c r="F314" s="32"/>
      <c r="G314" s="32"/>
      <c r="H314" s="32"/>
      <c r="I314" s="32"/>
      <c r="J314" s="32"/>
      <c r="K314" s="32"/>
      <c r="L314" s="32"/>
      <c r="M314" s="32"/>
      <c r="N314" s="32"/>
      <c r="O314" s="32"/>
      <c r="P314" s="32"/>
      <c r="Q314" s="32"/>
      <c r="R314" s="32"/>
      <c r="S314" s="32"/>
      <c r="T314" s="91"/>
      <c r="U314" s="91"/>
      <c r="V314" s="91"/>
      <c r="W314" s="91"/>
      <c r="X314" s="91"/>
      <c r="Y314" s="91"/>
      <c r="Z314" s="91"/>
    </row>
    <row r="315" spans="1:26" ht="12.75" customHeight="1">
      <c r="A315" s="32"/>
      <c r="B315" s="32"/>
      <c r="C315" s="32"/>
      <c r="D315" s="32"/>
      <c r="E315" s="32"/>
      <c r="F315" s="32"/>
      <c r="G315" s="32"/>
      <c r="H315" s="32"/>
      <c r="I315" s="32"/>
      <c r="J315" s="32"/>
      <c r="K315" s="32"/>
      <c r="L315" s="32"/>
      <c r="M315" s="32"/>
      <c r="N315" s="32"/>
      <c r="O315" s="32"/>
      <c r="P315" s="32"/>
      <c r="Q315" s="32"/>
      <c r="R315" s="32"/>
      <c r="S315" s="32"/>
      <c r="T315" s="91"/>
      <c r="U315" s="91"/>
      <c r="V315" s="91"/>
      <c r="W315" s="91"/>
      <c r="X315" s="91"/>
      <c r="Y315" s="91"/>
      <c r="Z315" s="91"/>
    </row>
    <row r="316" spans="1:26" ht="12.75" customHeight="1">
      <c r="A316" s="32"/>
      <c r="B316" s="32"/>
      <c r="C316" s="32"/>
      <c r="D316" s="32"/>
      <c r="E316" s="32"/>
      <c r="F316" s="32"/>
      <c r="G316" s="32"/>
      <c r="H316" s="32"/>
      <c r="I316" s="32"/>
      <c r="J316" s="32"/>
      <c r="K316" s="32"/>
      <c r="L316" s="32"/>
      <c r="M316" s="32"/>
      <c r="N316" s="32"/>
      <c r="O316" s="32"/>
      <c r="P316" s="32"/>
      <c r="Q316" s="32"/>
      <c r="R316" s="32"/>
      <c r="S316" s="32"/>
      <c r="T316" s="91"/>
      <c r="U316" s="91"/>
      <c r="V316" s="91"/>
      <c r="W316" s="91"/>
      <c r="X316" s="91"/>
      <c r="Y316" s="91"/>
      <c r="Z316" s="91"/>
    </row>
    <row r="317" spans="1:26" ht="12.75" customHeight="1">
      <c r="A317" s="32"/>
      <c r="B317" s="32"/>
      <c r="C317" s="32"/>
      <c r="D317" s="32"/>
      <c r="E317" s="32"/>
      <c r="F317" s="32"/>
      <c r="G317" s="32"/>
      <c r="H317" s="32"/>
      <c r="I317" s="32"/>
      <c r="J317" s="32"/>
      <c r="K317" s="32"/>
      <c r="L317" s="32"/>
      <c r="M317" s="32"/>
      <c r="N317" s="32"/>
      <c r="O317" s="32"/>
      <c r="P317" s="32"/>
      <c r="Q317" s="32"/>
      <c r="R317" s="32"/>
      <c r="S317" s="32"/>
      <c r="T317" s="91"/>
      <c r="U317" s="91"/>
      <c r="V317" s="91"/>
      <c r="W317" s="91"/>
      <c r="X317" s="91"/>
      <c r="Y317" s="91"/>
      <c r="Z317" s="91"/>
    </row>
    <row r="318" spans="1:26" ht="12.75" customHeight="1">
      <c r="A318" s="32"/>
      <c r="B318" s="32"/>
      <c r="C318" s="32"/>
      <c r="D318" s="32"/>
      <c r="E318" s="32"/>
      <c r="F318" s="32"/>
      <c r="G318" s="32"/>
      <c r="H318" s="32"/>
      <c r="I318" s="32"/>
      <c r="J318" s="32"/>
      <c r="K318" s="32"/>
      <c r="L318" s="32"/>
      <c r="M318" s="32"/>
      <c r="N318" s="32"/>
      <c r="O318" s="32"/>
      <c r="P318" s="32"/>
      <c r="Q318" s="32"/>
      <c r="R318" s="32"/>
      <c r="S318" s="32"/>
      <c r="T318" s="91"/>
      <c r="U318" s="91"/>
      <c r="V318" s="91"/>
      <c r="W318" s="91"/>
      <c r="X318" s="91"/>
      <c r="Y318" s="91"/>
      <c r="Z318" s="91"/>
    </row>
    <row r="319" spans="1:26" ht="12.75" customHeight="1">
      <c r="A319" s="32"/>
      <c r="B319" s="32"/>
      <c r="C319" s="32"/>
      <c r="D319" s="32"/>
      <c r="E319" s="32"/>
      <c r="F319" s="32"/>
      <c r="G319" s="32"/>
      <c r="H319" s="32"/>
      <c r="I319" s="32"/>
      <c r="J319" s="32"/>
      <c r="K319" s="32"/>
      <c r="L319" s="32"/>
      <c r="M319" s="32"/>
      <c r="N319" s="32"/>
      <c r="O319" s="32"/>
      <c r="P319" s="32"/>
      <c r="Q319" s="32"/>
      <c r="R319" s="32"/>
      <c r="S319" s="32"/>
      <c r="T319" s="91"/>
      <c r="U319" s="91"/>
      <c r="V319" s="91"/>
      <c r="W319" s="91"/>
      <c r="X319" s="91"/>
      <c r="Y319" s="91"/>
      <c r="Z319" s="91"/>
    </row>
    <row r="320" spans="1:26" ht="12.75" customHeight="1">
      <c r="A320" s="32"/>
      <c r="B320" s="32"/>
      <c r="C320" s="32"/>
      <c r="D320" s="32"/>
      <c r="E320" s="32"/>
      <c r="F320" s="32"/>
      <c r="G320" s="32"/>
      <c r="H320" s="32"/>
      <c r="I320" s="32"/>
      <c r="J320" s="32"/>
      <c r="K320" s="32"/>
      <c r="L320" s="32"/>
      <c r="M320" s="32"/>
      <c r="N320" s="32"/>
      <c r="O320" s="32"/>
      <c r="P320" s="32"/>
      <c r="Q320" s="32"/>
      <c r="R320" s="32"/>
      <c r="S320" s="32"/>
      <c r="T320" s="91"/>
      <c r="U320" s="91"/>
      <c r="V320" s="91"/>
      <c r="W320" s="91"/>
      <c r="X320" s="91"/>
      <c r="Y320" s="91"/>
      <c r="Z320" s="91"/>
    </row>
    <row r="321" spans="1:26" ht="12.75" customHeight="1">
      <c r="A321" s="32"/>
      <c r="B321" s="32"/>
      <c r="C321" s="32"/>
      <c r="D321" s="32"/>
      <c r="E321" s="32"/>
      <c r="F321" s="32"/>
      <c r="G321" s="32"/>
      <c r="H321" s="32"/>
      <c r="I321" s="32"/>
      <c r="J321" s="32"/>
      <c r="K321" s="32"/>
      <c r="L321" s="32"/>
      <c r="M321" s="32"/>
      <c r="N321" s="32"/>
      <c r="O321" s="32"/>
      <c r="P321" s="32"/>
      <c r="Q321" s="32"/>
      <c r="R321" s="32"/>
      <c r="S321" s="32"/>
      <c r="T321" s="91"/>
      <c r="U321" s="91"/>
      <c r="V321" s="91"/>
      <c r="W321" s="91"/>
      <c r="X321" s="91"/>
      <c r="Y321" s="91"/>
      <c r="Z321" s="91"/>
    </row>
    <row r="322" spans="1:26" ht="12.75" customHeight="1">
      <c r="A322" s="32"/>
      <c r="B322" s="32"/>
      <c r="C322" s="32"/>
      <c r="D322" s="32"/>
      <c r="E322" s="32"/>
      <c r="F322" s="32"/>
      <c r="G322" s="32"/>
      <c r="H322" s="32"/>
      <c r="I322" s="32"/>
      <c r="J322" s="32"/>
      <c r="K322" s="32"/>
      <c r="L322" s="32"/>
      <c r="M322" s="32"/>
      <c r="N322" s="32"/>
      <c r="O322" s="32"/>
      <c r="P322" s="32"/>
      <c r="Q322" s="32"/>
      <c r="R322" s="32"/>
      <c r="S322" s="32"/>
      <c r="T322" s="91"/>
      <c r="U322" s="91"/>
      <c r="V322" s="91"/>
      <c r="W322" s="91"/>
      <c r="X322" s="91"/>
      <c r="Y322" s="91"/>
      <c r="Z322" s="91"/>
    </row>
    <row r="323" spans="1:26" ht="12.75" customHeight="1">
      <c r="A323" s="32"/>
      <c r="B323" s="32"/>
      <c r="C323" s="32"/>
      <c r="D323" s="32"/>
      <c r="E323" s="32"/>
      <c r="F323" s="32"/>
      <c r="G323" s="32"/>
      <c r="H323" s="32"/>
      <c r="I323" s="32"/>
      <c r="J323" s="32"/>
      <c r="K323" s="32"/>
      <c r="L323" s="32"/>
      <c r="M323" s="32"/>
      <c r="N323" s="32"/>
      <c r="O323" s="32"/>
      <c r="P323" s="32"/>
      <c r="Q323" s="32"/>
      <c r="R323" s="32"/>
      <c r="S323" s="32"/>
      <c r="T323" s="91"/>
      <c r="U323" s="91"/>
      <c r="V323" s="91"/>
      <c r="W323" s="91"/>
      <c r="X323" s="91"/>
      <c r="Y323" s="91"/>
      <c r="Z323" s="91"/>
    </row>
    <row r="324" spans="1:26" ht="12.75" customHeight="1">
      <c r="A324" s="32"/>
      <c r="B324" s="32"/>
      <c r="C324" s="32"/>
      <c r="D324" s="32"/>
      <c r="E324" s="32"/>
      <c r="F324" s="32"/>
      <c r="G324" s="32"/>
      <c r="H324" s="32"/>
      <c r="I324" s="32"/>
      <c r="J324" s="32"/>
      <c r="K324" s="32"/>
      <c r="L324" s="32"/>
      <c r="M324" s="32"/>
      <c r="N324" s="32"/>
      <c r="O324" s="32"/>
      <c r="P324" s="32"/>
      <c r="Q324" s="32"/>
      <c r="R324" s="32"/>
      <c r="S324" s="32"/>
      <c r="T324" s="91"/>
      <c r="U324" s="91"/>
      <c r="V324" s="91"/>
      <c r="W324" s="91"/>
      <c r="X324" s="91"/>
      <c r="Y324" s="91"/>
      <c r="Z324" s="91"/>
    </row>
    <row r="325" spans="1:26" ht="12.75" customHeight="1">
      <c r="A325" s="32"/>
      <c r="B325" s="32"/>
      <c r="C325" s="32"/>
      <c r="D325" s="32"/>
      <c r="E325" s="32"/>
      <c r="F325" s="32"/>
      <c r="G325" s="32"/>
      <c r="H325" s="32"/>
      <c r="I325" s="32"/>
      <c r="J325" s="32"/>
      <c r="K325" s="32"/>
      <c r="L325" s="32"/>
      <c r="M325" s="32"/>
      <c r="N325" s="32"/>
      <c r="O325" s="32"/>
      <c r="P325" s="32"/>
      <c r="Q325" s="32"/>
      <c r="R325" s="32"/>
      <c r="S325" s="32"/>
      <c r="T325" s="91"/>
      <c r="U325" s="91"/>
      <c r="V325" s="91"/>
      <c r="W325" s="91"/>
      <c r="X325" s="91"/>
      <c r="Y325" s="91"/>
      <c r="Z325" s="91"/>
    </row>
    <row r="326" spans="1:26" ht="12.75" customHeight="1">
      <c r="A326" s="32"/>
      <c r="B326" s="32"/>
      <c r="C326" s="32"/>
      <c r="D326" s="32"/>
      <c r="E326" s="32"/>
      <c r="F326" s="32"/>
      <c r="G326" s="32"/>
      <c r="H326" s="32"/>
      <c r="I326" s="32"/>
      <c r="J326" s="32"/>
      <c r="K326" s="32"/>
      <c r="L326" s="32"/>
      <c r="M326" s="32"/>
      <c r="N326" s="32"/>
      <c r="O326" s="32"/>
      <c r="P326" s="32"/>
      <c r="Q326" s="32"/>
      <c r="R326" s="32"/>
      <c r="S326" s="32"/>
      <c r="T326" s="91"/>
      <c r="U326" s="91"/>
      <c r="V326" s="91"/>
      <c r="W326" s="91"/>
      <c r="X326" s="91"/>
      <c r="Y326" s="91"/>
      <c r="Z326" s="91"/>
    </row>
    <row r="327" spans="1:26" ht="12.75" customHeight="1">
      <c r="A327" s="32"/>
      <c r="B327" s="32"/>
      <c r="C327" s="32"/>
      <c r="D327" s="32"/>
      <c r="E327" s="32"/>
      <c r="F327" s="32"/>
      <c r="G327" s="32"/>
      <c r="H327" s="32"/>
      <c r="I327" s="32"/>
      <c r="J327" s="32"/>
      <c r="K327" s="32"/>
      <c r="L327" s="32"/>
      <c r="M327" s="32"/>
      <c r="N327" s="32"/>
      <c r="O327" s="32"/>
      <c r="P327" s="32"/>
      <c r="Q327" s="32"/>
      <c r="R327" s="32"/>
      <c r="S327" s="32"/>
      <c r="T327" s="91"/>
      <c r="U327" s="91"/>
      <c r="V327" s="91"/>
      <c r="W327" s="91"/>
      <c r="X327" s="91"/>
      <c r="Y327" s="91"/>
      <c r="Z327" s="91"/>
    </row>
    <row r="328" spans="1:26" ht="12.75" customHeight="1">
      <c r="A328" s="32"/>
      <c r="B328" s="32"/>
      <c r="C328" s="32"/>
      <c r="D328" s="32"/>
      <c r="E328" s="32"/>
      <c r="F328" s="32"/>
      <c r="G328" s="32"/>
      <c r="H328" s="32"/>
      <c r="I328" s="32"/>
      <c r="J328" s="32"/>
      <c r="K328" s="32"/>
      <c r="L328" s="32"/>
      <c r="M328" s="32"/>
      <c r="N328" s="32"/>
      <c r="O328" s="32"/>
      <c r="P328" s="32"/>
      <c r="Q328" s="32"/>
      <c r="R328" s="32"/>
      <c r="S328" s="32"/>
      <c r="T328" s="91"/>
      <c r="U328" s="91"/>
      <c r="V328" s="91"/>
      <c r="W328" s="91"/>
      <c r="X328" s="91"/>
      <c r="Y328" s="91"/>
      <c r="Z328" s="91"/>
    </row>
    <row r="329" spans="1:26" ht="12.75" customHeight="1">
      <c r="A329" s="32"/>
      <c r="B329" s="32"/>
      <c r="C329" s="32"/>
      <c r="D329" s="32"/>
      <c r="E329" s="32"/>
      <c r="F329" s="32"/>
      <c r="G329" s="32"/>
      <c r="H329" s="32"/>
      <c r="I329" s="32"/>
      <c r="J329" s="32"/>
      <c r="K329" s="32"/>
      <c r="L329" s="32"/>
      <c r="M329" s="32"/>
      <c r="N329" s="32"/>
      <c r="O329" s="32"/>
      <c r="P329" s="32"/>
      <c r="Q329" s="32"/>
      <c r="R329" s="32"/>
      <c r="S329" s="32"/>
      <c r="T329" s="91"/>
      <c r="U329" s="91"/>
      <c r="V329" s="91"/>
      <c r="W329" s="91"/>
      <c r="X329" s="91"/>
      <c r="Y329" s="91"/>
      <c r="Z329" s="91"/>
    </row>
    <row r="330" spans="1:26" ht="12.75" customHeight="1">
      <c r="A330" s="32"/>
      <c r="B330" s="32"/>
      <c r="C330" s="32"/>
      <c r="D330" s="32"/>
      <c r="E330" s="32"/>
      <c r="F330" s="32"/>
      <c r="G330" s="32"/>
      <c r="H330" s="32"/>
      <c r="I330" s="32"/>
      <c r="J330" s="32"/>
      <c r="K330" s="32"/>
      <c r="L330" s="32"/>
      <c r="M330" s="32"/>
      <c r="N330" s="32"/>
      <c r="O330" s="32"/>
      <c r="P330" s="32"/>
      <c r="Q330" s="32"/>
      <c r="R330" s="32"/>
      <c r="S330" s="32"/>
      <c r="T330" s="91"/>
      <c r="U330" s="91"/>
      <c r="V330" s="91"/>
      <c r="W330" s="91"/>
      <c r="X330" s="91"/>
      <c r="Y330" s="91"/>
      <c r="Z330" s="91"/>
    </row>
    <row r="331" spans="1:26" ht="12.75" customHeight="1">
      <c r="A331" s="32"/>
      <c r="B331" s="32"/>
      <c r="C331" s="32"/>
      <c r="D331" s="32"/>
      <c r="E331" s="32"/>
      <c r="F331" s="32"/>
      <c r="G331" s="32"/>
      <c r="H331" s="32"/>
      <c r="I331" s="32"/>
      <c r="J331" s="32"/>
      <c r="K331" s="32"/>
      <c r="L331" s="32"/>
      <c r="M331" s="32"/>
      <c r="N331" s="32"/>
      <c r="O331" s="32"/>
      <c r="P331" s="32"/>
      <c r="Q331" s="32"/>
      <c r="R331" s="32"/>
      <c r="S331" s="32"/>
      <c r="T331" s="91"/>
      <c r="U331" s="91"/>
      <c r="V331" s="91"/>
      <c r="W331" s="91"/>
      <c r="X331" s="91"/>
      <c r="Y331" s="91"/>
      <c r="Z331" s="91"/>
    </row>
    <row r="332" spans="1:26" ht="12.75" customHeight="1">
      <c r="A332" s="32"/>
      <c r="B332" s="32"/>
      <c r="C332" s="32"/>
      <c r="D332" s="32"/>
      <c r="E332" s="32"/>
      <c r="F332" s="32"/>
      <c r="G332" s="32"/>
      <c r="H332" s="32"/>
      <c r="I332" s="32"/>
      <c r="J332" s="32"/>
      <c r="K332" s="32"/>
      <c r="L332" s="32"/>
      <c r="M332" s="32"/>
      <c r="N332" s="32"/>
      <c r="O332" s="32"/>
      <c r="P332" s="32"/>
      <c r="Q332" s="32"/>
      <c r="R332" s="32"/>
      <c r="S332" s="32"/>
      <c r="T332" s="91"/>
      <c r="U332" s="91"/>
      <c r="V332" s="91"/>
      <c r="W332" s="91"/>
      <c r="X332" s="91"/>
      <c r="Y332" s="91"/>
      <c r="Z332" s="91"/>
    </row>
    <row r="333" spans="1:26" ht="12.75" customHeight="1">
      <c r="A333" s="32"/>
      <c r="B333" s="32"/>
      <c r="C333" s="32"/>
      <c r="D333" s="32"/>
      <c r="E333" s="32"/>
      <c r="F333" s="32"/>
      <c r="G333" s="32"/>
      <c r="H333" s="32"/>
      <c r="I333" s="32"/>
      <c r="J333" s="32"/>
      <c r="K333" s="32"/>
      <c r="L333" s="32"/>
      <c r="M333" s="32"/>
      <c r="N333" s="32"/>
      <c r="O333" s="32"/>
      <c r="P333" s="32"/>
      <c r="Q333" s="32"/>
      <c r="R333" s="32"/>
      <c r="S333" s="32"/>
      <c r="T333" s="91"/>
      <c r="U333" s="91"/>
      <c r="V333" s="91"/>
      <c r="W333" s="91"/>
      <c r="X333" s="91"/>
      <c r="Y333" s="91"/>
      <c r="Z333" s="91"/>
    </row>
    <row r="334" spans="1:26" ht="12.75" customHeight="1">
      <c r="A334" s="32"/>
      <c r="B334" s="32"/>
      <c r="C334" s="32"/>
      <c r="D334" s="32"/>
      <c r="E334" s="32"/>
      <c r="F334" s="32"/>
      <c r="G334" s="32"/>
      <c r="H334" s="32"/>
      <c r="I334" s="32"/>
      <c r="J334" s="32"/>
      <c r="K334" s="32"/>
      <c r="L334" s="32"/>
      <c r="M334" s="32"/>
      <c r="N334" s="32"/>
      <c r="O334" s="32"/>
      <c r="P334" s="32"/>
      <c r="Q334" s="32"/>
      <c r="R334" s="32"/>
      <c r="S334" s="32"/>
      <c r="T334" s="91"/>
      <c r="U334" s="91"/>
      <c r="V334" s="91"/>
      <c r="W334" s="91"/>
      <c r="X334" s="91"/>
      <c r="Y334" s="91"/>
      <c r="Z334" s="91"/>
    </row>
    <row r="335" spans="1:26" ht="12.75" customHeight="1">
      <c r="A335" s="32"/>
      <c r="B335" s="32"/>
      <c r="C335" s="32"/>
      <c r="D335" s="32"/>
      <c r="E335" s="32"/>
      <c r="F335" s="32"/>
      <c r="G335" s="32"/>
      <c r="H335" s="32"/>
      <c r="I335" s="32"/>
      <c r="J335" s="32"/>
      <c r="K335" s="32"/>
      <c r="L335" s="32"/>
      <c r="M335" s="32"/>
      <c r="N335" s="32"/>
      <c r="O335" s="32"/>
      <c r="P335" s="32"/>
      <c r="Q335" s="32"/>
      <c r="R335" s="32"/>
      <c r="S335" s="32"/>
      <c r="T335" s="91"/>
      <c r="U335" s="91"/>
      <c r="V335" s="91"/>
      <c r="W335" s="91"/>
      <c r="X335" s="91"/>
      <c r="Y335" s="91"/>
      <c r="Z335" s="91"/>
    </row>
    <row r="336" spans="1:26" ht="12.75" customHeight="1">
      <c r="A336" s="32"/>
      <c r="B336" s="32"/>
      <c r="C336" s="32"/>
      <c r="D336" s="32"/>
      <c r="E336" s="32"/>
      <c r="F336" s="32"/>
      <c r="G336" s="32"/>
      <c r="H336" s="32"/>
      <c r="I336" s="32"/>
      <c r="J336" s="32"/>
      <c r="K336" s="32"/>
      <c r="L336" s="32"/>
      <c r="M336" s="32"/>
      <c r="N336" s="32"/>
      <c r="O336" s="32"/>
      <c r="P336" s="32"/>
      <c r="Q336" s="32"/>
      <c r="R336" s="32"/>
      <c r="S336" s="32"/>
      <c r="T336" s="91"/>
      <c r="U336" s="91"/>
      <c r="V336" s="91"/>
      <c r="W336" s="91"/>
      <c r="X336" s="91"/>
      <c r="Y336" s="91"/>
      <c r="Z336" s="91"/>
    </row>
    <row r="337" spans="1:26" ht="12.75" customHeight="1">
      <c r="A337" s="32"/>
      <c r="B337" s="32"/>
      <c r="C337" s="32"/>
      <c r="D337" s="32"/>
      <c r="E337" s="32"/>
      <c r="F337" s="32"/>
      <c r="G337" s="32"/>
      <c r="H337" s="32"/>
      <c r="I337" s="32"/>
      <c r="J337" s="32"/>
      <c r="K337" s="32"/>
      <c r="L337" s="32"/>
      <c r="M337" s="32"/>
      <c r="N337" s="32"/>
      <c r="O337" s="32"/>
      <c r="P337" s="32"/>
      <c r="Q337" s="32"/>
      <c r="R337" s="32"/>
      <c r="S337" s="32"/>
      <c r="T337" s="91"/>
      <c r="U337" s="91"/>
      <c r="V337" s="91"/>
      <c r="W337" s="91"/>
      <c r="X337" s="91"/>
      <c r="Y337" s="91"/>
      <c r="Z337" s="91"/>
    </row>
    <row r="338" spans="1:26" ht="12.75" customHeight="1">
      <c r="A338" s="32"/>
      <c r="B338" s="32"/>
      <c r="C338" s="32"/>
      <c r="D338" s="32"/>
      <c r="E338" s="32"/>
      <c r="F338" s="32"/>
      <c r="G338" s="32"/>
      <c r="H338" s="32"/>
      <c r="I338" s="32"/>
      <c r="J338" s="32"/>
      <c r="K338" s="32"/>
      <c r="L338" s="32"/>
      <c r="M338" s="32"/>
      <c r="N338" s="32"/>
      <c r="O338" s="32"/>
      <c r="P338" s="32"/>
      <c r="Q338" s="32"/>
      <c r="R338" s="32"/>
      <c r="S338" s="32"/>
      <c r="T338" s="91"/>
      <c r="U338" s="91"/>
      <c r="V338" s="91"/>
      <c r="W338" s="91"/>
      <c r="X338" s="91"/>
      <c r="Y338" s="91"/>
      <c r="Z338" s="91"/>
    </row>
    <row r="339" spans="1:26" ht="12.75" customHeight="1">
      <c r="A339" s="32"/>
      <c r="B339" s="32"/>
      <c r="C339" s="32"/>
      <c r="D339" s="32"/>
      <c r="E339" s="32"/>
      <c r="F339" s="32"/>
      <c r="G339" s="32"/>
      <c r="H339" s="32"/>
      <c r="I339" s="32"/>
      <c r="J339" s="32"/>
      <c r="K339" s="32"/>
      <c r="L339" s="32"/>
      <c r="M339" s="32"/>
      <c r="N339" s="32"/>
      <c r="O339" s="32"/>
      <c r="P339" s="32"/>
      <c r="Q339" s="32"/>
      <c r="R339" s="32"/>
      <c r="S339" s="32"/>
      <c r="T339" s="91"/>
      <c r="U339" s="91"/>
      <c r="V339" s="91"/>
      <c r="W339" s="91"/>
      <c r="X339" s="91"/>
      <c r="Y339" s="91"/>
      <c r="Z339" s="91"/>
    </row>
    <row r="340" spans="1:26" ht="12.75" customHeight="1">
      <c r="A340" s="32"/>
      <c r="B340" s="32"/>
      <c r="C340" s="32"/>
      <c r="D340" s="32"/>
      <c r="E340" s="32"/>
      <c r="F340" s="32"/>
      <c r="G340" s="32"/>
      <c r="H340" s="32"/>
      <c r="I340" s="32"/>
      <c r="J340" s="32"/>
      <c r="K340" s="32"/>
      <c r="L340" s="32"/>
      <c r="M340" s="32"/>
      <c r="N340" s="32"/>
      <c r="O340" s="32"/>
      <c r="P340" s="32"/>
      <c r="Q340" s="32"/>
      <c r="R340" s="32"/>
      <c r="S340" s="32"/>
      <c r="T340" s="91"/>
      <c r="U340" s="91"/>
      <c r="V340" s="91"/>
      <c r="W340" s="91"/>
      <c r="X340" s="91"/>
      <c r="Y340" s="91"/>
      <c r="Z340" s="91"/>
    </row>
    <row r="341" spans="1:26" ht="12.75" customHeight="1">
      <c r="A341" s="32"/>
      <c r="B341" s="32"/>
      <c r="C341" s="32"/>
      <c r="D341" s="32"/>
      <c r="E341" s="32"/>
      <c r="F341" s="32"/>
      <c r="G341" s="32"/>
      <c r="H341" s="32"/>
      <c r="I341" s="32"/>
      <c r="J341" s="32"/>
      <c r="K341" s="32"/>
      <c r="L341" s="32"/>
      <c r="M341" s="32"/>
      <c r="N341" s="32"/>
      <c r="O341" s="32"/>
      <c r="P341" s="32"/>
      <c r="Q341" s="32"/>
      <c r="R341" s="32"/>
      <c r="S341" s="32"/>
      <c r="T341" s="91"/>
      <c r="U341" s="91"/>
      <c r="V341" s="91"/>
      <c r="W341" s="91"/>
      <c r="X341" s="91"/>
      <c r="Y341" s="91"/>
      <c r="Z341" s="91"/>
    </row>
    <row r="342" spans="1:26" ht="12.75" customHeight="1">
      <c r="A342" s="32"/>
      <c r="B342" s="32"/>
      <c r="C342" s="32"/>
      <c r="D342" s="32"/>
      <c r="E342" s="32"/>
      <c r="F342" s="32"/>
      <c r="G342" s="32"/>
      <c r="H342" s="32"/>
      <c r="I342" s="32"/>
      <c r="J342" s="32"/>
      <c r="K342" s="32"/>
      <c r="L342" s="32"/>
      <c r="M342" s="32"/>
      <c r="N342" s="32"/>
      <c r="O342" s="32"/>
      <c r="P342" s="32"/>
      <c r="Q342" s="32"/>
      <c r="R342" s="32"/>
      <c r="S342" s="32"/>
      <c r="T342" s="91"/>
      <c r="U342" s="91"/>
      <c r="V342" s="91"/>
      <c r="W342" s="91"/>
      <c r="X342" s="91"/>
      <c r="Y342" s="91"/>
      <c r="Z342" s="91"/>
    </row>
    <row r="343" spans="1:26" ht="12.75" customHeight="1">
      <c r="A343" s="32"/>
      <c r="B343" s="32"/>
      <c r="C343" s="32"/>
      <c r="D343" s="32"/>
      <c r="E343" s="32"/>
      <c r="F343" s="32"/>
      <c r="G343" s="32"/>
      <c r="H343" s="32"/>
      <c r="I343" s="32"/>
      <c r="J343" s="32"/>
      <c r="K343" s="32"/>
      <c r="L343" s="32"/>
      <c r="M343" s="32"/>
      <c r="N343" s="32"/>
      <c r="O343" s="32"/>
      <c r="P343" s="32"/>
      <c r="Q343" s="32"/>
      <c r="R343" s="32"/>
      <c r="S343" s="32"/>
      <c r="T343" s="91"/>
      <c r="U343" s="91"/>
      <c r="V343" s="91"/>
      <c r="W343" s="91"/>
      <c r="X343" s="91"/>
      <c r="Y343" s="91"/>
      <c r="Z343" s="91"/>
    </row>
    <row r="344" spans="1:26" ht="12.75" customHeight="1">
      <c r="A344" s="32"/>
      <c r="B344" s="32"/>
      <c r="C344" s="32"/>
      <c r="D344" s="32"/>
      <c r="E344" s="32"/>
      <c r="F344" s="32"/>
      <c r="G344" s="32"/>
      <c r="H344" s="32"/>
      <c r="I344" s="32"/>
      <c r="J344" s="32"/>
      <c r="K344" s="32"/>
      <c r="L344" s="32"/>
      <c r="M344" s="32"/>
      <c r="N344" s="32"/>
      <c r="O344" s="32"/>
      <c r="P344" s="32"/>
      <c r="Q344" s="32"/>
      <c r="R344" s="32"/>
      <c r="S344" s="32"/>
      <c r="T344" s="91"/>
      <c r="U344" s="91"/>
      <c r="V344" s="91"/>
      <c r="W344" s="91"/>
      <c r="X344" s="91"/>
      <c r="Y344" s="91"/>
      <c r="Z344" s="91"/>
    </row>
    <row r="345" spans="1:26" ht="12.75" customHeight="1">
      <c r="A345" s="32"/>
      <c r="B345" s="32"/>
      <c r="C345" s="32"/>
      <c r="D345" s="32"/>
      <c r="E345" s="32"/>
      <c r="F345" s="32"/>
      <c r="G345" s="32"/>
      <c r="H345" s="32"/>
      <c r="I345" s="32"/>
      <c r="J345" s="32"/>
      <c r="K345" s="32"/>
      <c r="L345" s="32"/>
      <c r="M345" s="32"/>
      <c r="N345" s="32"/>
      <c r="O345" s="32"/>
      <c r="P345" s="32"/>
      <c r="Q345" s="32"/>
      <c r="R345" s="32"/>
      <c r="S345" s="32"/>
      <c r="T345" s="91"/>
      <c r="U345" s="91"/>
      <c r="V345" s="91"/>
      <c r="W345" s="91"/>
      <c r="X345" s="91"/>
      <c r="Y345" s="91"/>
      <c r="Z345" s="91"/>
    </row>
    <row r="346" spans="1:26" ht="12.75" customHeight="1">
      <c r="A346" s="32"/>
      <c r="B346" s="32"/>
      <c r="C346" s="32"/>
      <c r="D346" s="32"/>
      <c r="E346" s="32"/>
      <c r="F346" s="32"/>
      <c r="G346" s="32"/>
      <c r="H346" s="32"/>
      <c r="I346" s="32"/>
      <c r="J346" s="32"/>
      <c r="K346" s="32"/>
      <c r="L346" s="32"/>
      <c r="M346" s="32"/>
      <c r="N346" s="32"/>
      <c r="O346" s="32"/>
      <c r="P346" s="32"/>
      <c r="Q346" s="32"/>
      <c r="R346" s="32"/>
      <c r="S346" s="32"/>
      <c r="T346" s="91"/>
      <c r="U346" s="91"/>
      <c r="V346" s="91"/>
      <c r="W346" s="91"/>
      <c r="X346" s="91"/>
      <c r="Y346" s="91"/>
      <c r="Z346" s="91"/>
    </row>
    <row r="347" spans="1:26" ht="12.75" customHeight="1">
      <c r="A347" s="32"/>
      <c r="B347" s="32"/>
      <c r="C347" s="32"/>
      <c r="D347" s="32"/>
      <c r="E347" s="32"/>
      <c r="F347" s="32"/>
      <c r="G347" s="32"/>
      <c r="H347" s="32"/>
      <c r="I347" s="32"/>
      <c r="J347" s="32"/>
      <c r="K347" s="32"/>
      <c r="L347" s="32"/>
      <c r="M347" s="32"/>
      <c r="N347" s="32"/>
      <c r="O347" s="32"/>
      <c r="P347" s="32"/>
      <c r="Q347" s="32"/>
      <c r="R347" s="32"/>
      <c r="S347" s="32"/>
      <c r="T347" s="91"/>
      <c r="U347" s="91"/>
      <c r="V347" s="91"/>
      <c r="W347" s="91"/>
      <c r="X347" s="91"/>
      <c r="Y347" s="91"/>
      <c r="Z347" s="91"/>
    </row>
    <row r="348" spans="1:26" ht="12.75" customHeight="1">
      <c r="A348" s="32"/>
      <c r="B348" s="32"/>
      <c r="C348" s="32"/>
      <c r="D348" s="32"/>
      <c r="E348" s="32"/>
      <c r="F348" s="32"/>
      <c r="G348" s="32"/>
      <c r="H348" s="32"/>
      <c r="I348" s="32"/>
      <c r="J348" s="32"/>
      <c r="K348" s="32"/>
      <c r="L348" s="32"/>
      <c r="M348" s="32"/>
      <c r="N348" s="32"/>
      <c r="O348" s="32"/>
      <c r="P348" s="32"/>
      <c r="Q348" s="32"/>
      <c r="R348" s="32"/>
      <c r="S348" s="32"/>
      <c r="T348" s="91"/>
      <c r="U348" s="91"/>
      <c r="V348" s="91"/>
      <c r="W348" s="91"/>
      <c r="X348" s="91"/>
      <c r="Y348" s="91"/>
      <c r="Z348" s="91"/>
    </row>
    <row r="349" spans="1:26" ht="12.75" customHeight="1">
      <c r="A349" s="32"/>
      <c r="B349" s="32"/>
      <c r="C349" s="32"/>
      <c r="D349" s="32"/>
      <c r="E349" s="32"/>
      <c r="F349" s="32"/>
      <c r="G349" s="32"/>
      <c r="H349" s="32"/>
      <c r="I349" s="32"/>
      <c r="J349" s="32"/>
      <c r="K349" s="32"/>
      <c r="L349" s="32"/>
      <c r="M349" s="32"/>
      <c r="N349" s="32"/>
      <c r="O349" s="32"/>
      <c r="P349" s="32"/>
      <c r="Q349" s="32"/>
      <c r="R349" s="32"/>
      <c r="S349" s="32"/>
      <c r="T349" s="91"/>
      <c r="U349" s="91"/>
      <c r="V349" s="91"/>
      <c r="W349" s="91"/>
      <c r="X349" s="91"/>
      <c r="Y349" s="91"/>
      <c r="Z349" s="91"/>
    </row>
    <row r="350" spans="1:26" ht="12.75" customHeight="1">
      <c r="A350" s="32"/>
      <c r="B350" s="32"/>
      <c r="C350" s="32"/>
      <c r="D350" s="32"/>
      <c r="E350" s="32"/>
      <c r="F350" s="32"/>
      <c r="G350" s="32"/>
      <c r="H350" s="32"/>
      <c r="I350" s="32"/>
      <c r="J350" s="32"/>
      <c r="K350" s="32"/>
      <c r="L350" s="32"/>
      <c r="M350" s="32"/>
      <c r="N350" s="32"/>
      <c r="O350" s="32"/>
      <c r="P350" s="32"/>
      <c r="Q350" s="32"/>
      <c r="R350" s="32"/>
      <c r="S350" s="32"/>
      <c r="T350" s="91"/>
      <c r="U350" s="91"/>
      <c r="V350" s="91"/>
      <c r="W350" s="91"/>
      <c r="X350" s="91"/>
      <c r="Y350" s="91"/>
      <c r="Z350" s="91"/>
    </row>
    <row r="351" spans="1:26" ht="12.75" customHeight="1">
      <c r="A351" s="32"/>
      <c r="B351" s="32"/>
      <c r="C351" s="32"/>
      <c r="D351" s="32"/>
      <c r="E351" s="32"/>
      <c r="F351" s="32"/>
      <c r="G351" s="32"/>
      <c r="H351" s="32"/>
      <c r="I351" s="32"/>
      <c r="J351" s="32"/>
      <c r="K351" s="32"/>
      <c r="L351" s="32"/>
      <c r="M351" s="32"/>
      <c r="N351" s="32"/>
      <c r="O351" s="32"/>
      <c r="P351" s="32"/>
      <c r="Q351" s="32"/>
      <c r="R351" s="32"/>
      <c r="S351" s="32"/>
      <c r="T351" s="91"/>
      <c r="U351" s="91"/>
      <c r="V351" s="91"/>
      <c r="W351" s="91"/>
      <c r="X351" s="91"/>
      <c r="Y351" s="91"/>
      <c r="Z351" s="91"/>
    </row>
    <row r="352" spans="1:26" ht="12.75" customHeight="1">
      <c r="A352" s="32"/>
      <c r="B352" s="32"/>
      <c r="C352" s="32"/>
      <c r="D352" s="32"/>
      <c r="E352" s="32"/>
      <c r="F352" s="32"/>
      <c r="G352" s="32"/>
      <c r="H352" s="32"/>
      <c r="I352" s="32"/>
      <c r="J352" s="32"/>
      <c r="K352" s="32"/>
      <c r="L352" s="32"/>
      <c r="M352" s="32"/>
      <c r="N352" s="32"/>
      <c r="O352" s="32"/>
      <c r="P352" s="32"/>
      <c r="Q352" s="32"/>
      <c r="R352" s="32"/>
      <c r="S352" s="32"/>
      <c r="T352" s="91"/>
      <c r="U352" s="91"/>
      <c r="V352" s="91"/>
      <c r="W352" s="91"/>
      <c r="X352" s="91"/>
      <c r="Y352" s="91"/>
      <c r="Z352" s="91"/>
    </row>
    <row r="353" spans="1:26" ht="12.75" customHeight="1">
      <c r="A353" s="32"/>
      <c r="B353" s="32"/>
      <c r="C353" s="32"/>
      <c r="D353" s="32"/>
      <c r="E353" s="32"/>
      <c r="F353" s="32"/>
      <c r="G353" s="32"/>
      <c r="H353" s="32"/>
      <c r="I353" s="32"/>
      <c r="J353" s="32"/>
      <c r="K353" s="32"/>
      <c r="L353" s="32"/>
      <c r="M353" s="32"/>
      <c r="N353" s="32"/>
      <c r="O353" s="32"/>
      <c r="P353" s="32"/>
      <c r="Q353" s="32"/>
      <c r="R353" s="32"/>
      <c r="S353" s="32"/>
      <c r="T353" s="91"/>
      <c r="U353" s="91"/>
      <c r="V353" s="91"/>
      <c r="W353" s="91"/>
      <c r="X353" s="91"/>
      <c r="Y353" s="91"/>
      <c r="Z353" s="91"/>
    </row>
    <row r="354" spans="1:26" ht="12.75" customHeight="1">
      <c r="A354" s="32"/>
      <c r="B354" s="32"/>
      <c r="C354" s="32"/>
      <c r="D354" s="32"/>
      <c r="E354" s="32"/>
      <c r="F354" s="32"/>
      <c r="G354" s="32"/>
      <c r="H354" s="32"/>
      <c r="I354" s="32"/>
      <c r="J354" s="32"/>
      <c r="K354" s="32"/>
      <c r="L354" s="32"/>
      <c r="M354" s="32"/>
      <c r="N354" s="32"/>
      <c r="O354" s="32"/>
      <c r="P354" s="32"/>
      <c r="Q354" s="32"/>
      <c r="R354" s="32"/>
      <c r="S354" s="32"/>
      <c r="T354" s="91"/>
      <c r="U354" s="91"/>
      <c r="V354" s="91"/>
      <c r="W354" s="91"/>
      <c r="X354" s="91"/>
      <c r="Y354" s="91"/>
      <c r="Z354" s="91"/>
    </row>
    <row r="355" spans="1:26" ht="12.75" customHeight="1">
      <c r="A355" s="32"/>
      <c r="B355" s="32"/>
      <c r="C355" s="32"/>
      <c r="D355" s="32"/>
      <c r="E355" s="32"/>
      <c r="F355" s="32"/>
      <c r="G355" s="32"/>
      <c r="H355" s="32"/>
      <c r="I355" s="32"/>
      <c r="J355" s="32"/>
      <c r="K355" s="32"/>
      <c r="L355" s="32"/>
      <c r="M355" s="32"/>
      <c r="N355" s="32"/>
      <c r="O355" s="32"/>
      <c r="P355" s="32"/>
      <c r="Q355" s="32"/>
      <c r="R355" s="32"/>
      <c r="S355" s="32"/>
      <c r="T355" s="91"/>
      <c r="U355" s="91"/>
      <c r="V355" s="91"/>
      <c r="W355" s="91"/>
      <c r="X355" s="91"/>
      <c r="Y355" s="91"/>
      <c r="Z355" s="91"/>
    </row>
    <row r="356" spans="1:26" ht="12.75" customHeight="1">
      <c r="A356" s="32"/>
      <c r="B356" s="32"/>
      <c r="C356" s="32"/>
      <c r="D356" s="32"/>
      <c r="E356" s="32"/>
      <c r="F356" s="32"/>
      <c r="G356" s="32"/>
      <c r="H356" s="32"/>
      <c r="I356" s="32"/>
      <c r="J356" s="32"/>
      <c r="K356" s="32"/>
      <c r="L356" s="32"/>
      <c r="M356" s="32"/>
      <c r="N356" s="32"/>
      <c r="O356" s="32"/>
      <c r="P356" s="32"/>
      <c r="Q356" s="32"/>
      <c r="R356" s="32"/>
      <c r="S356" s="32"/>
      <c r="T356" s="91"/>
      <c r="U356" s="91"/>
      <c r="V356" s="91"/>
      <c r="W356" s="91"/>
      <c r="X356" s="91"/>
      <c r="Y356" s="91"/>
      <c r="Z356" s="91"/>
    </row>
    <row r="357" spans="1:26" ht="12.75" customHeight="1">
      <c r="A357" s="32"/>
      <c r="B357" s="32"/>
      <c r="C357" s="32"/>
      <c r="D357" s="32"/>
      <c r="E357" s="32"/>
      <c r="F357" s="32"/>
      <c r="G357" s="32"/>
      <c r="H357" s="32"/>
      <c r="I357" s="32"/>
      <c r="J357" s="32"/>
      <c r="K357" s="32"/>
      <c r="L357" s="32"/>
      <c r="M357" s="32"/>
      <c r="N357" s="32"/>
      <c r="O357" s="32"/>
      <c r="P357" s="32"/>
      <c r="Q357" s="32"/>
      <c r="R357" s="32"/>
      <c r="S357" s="32"/>
      <c r="T357" s="91"/>
      <c r="U357" s="91"/>
      <c r="V357" s="91"/>
      <c r="W357" s="91"/>
      <c r="X357" s="91"/>
      <c r="Y357" s="91"/>
      <c r="Z357" s="91"/>
    </row>
    <row r="358" spans="1:26" ht="12.75" customHeight="1">
      <c r="A358" s="32"/>
      <c r="B358" s="32"/>
      <c r="C358" s="32"/>
      <c r="D358" s="32"/>
      <c r="E358" s="32"/>
      <c r="F358" s="32"/>
      <c r="G358" s="32"/>
      <c r="H358" s="32"/>
      <c r="I358" s="32"/>
      <c r="J358" s="32"/>
      <c r="K358" s="32"/>
      <c r="L358" s="32"/>
      <c r="M358" s="32"/>
      <c r="N358" s="32"/>
      <c r="O358" s="32"/>
      <c r="P358" s="32"/>
      <c r="Q358" s="32"/>
      <c r="R358" s="32"/>
      <c r="S358" s="32"/>
      <c r="T358" s="91"/>
      <c r="U358" s="91"/>
      <c r="V358" s="91"/>
      <c r="W358" s="91"/>
      <c r="X358" s="91"/>
      <c r="Y358" s="91"/>
      <c r="Z358" s="91"/>
    </row>
    <row r="359" spans="1:26" ht="12.75" customHeight="1">
      <c r="A359" s="32"/>
      <c r="B359" s="32"/>
      <c r="C359" s="32"/>
      <c r="D359" s="32"/>
      <c r="E359" s="32"/>
      <c r="F359" s="32"/>
      <c r="G359" s="32"/>
      <c r="H359" s="32"/>
      <c r="I359" s="32"/>
      <c r="J359" s="32"/>
      <c r="K359" s="32"/>
      <c r="L359" s="32"/>
      <c r="M359" s="32"/>
      <c r="N359" s="32"/>
      <c r="O359" s="32"/>
      <c r="P359" s="32"/>
      <c r="Q359" s="32"/>
      <c r="R359" s="32"/>
      <c r="S359" s="32"/>
      <c r="T359" s="91"/>
      <c r="U359" s="91"/>
      <c r="V359" s="91"/>
      <c r="W359" s="91"/>
      <c r="X359" s="91"/>
      <c r="Y359" s="91"/>
      <c r="Z359" s="91"/>
    </row>
    <row r="360" spans="1:26" ht="12.75" customHeight="1">
      <c r="A360" s="32"/>
      <c r="B360" s="32"/>
      <c r="C360" s="32"/>
      <c r="D360" s="32"/>
      <c r="E360" s="32"/>
      <c r="F360" s="32"/>
      <c r="G360" s="32"/>
      <c r="H360" s="32"/>
      <c r="I360" s="32"/>
      <c r="J360" s="32"/>
      <c r="K360" s="32"/>
      <c r="L360" s="32"/>
      <c r="M360" s="32"/>
      <c r="N360" s="32"/>
      <c r="O360" s="32"/>
      <c r="P360" s="32"/>
      <c r="Q360" s="32"/>
      <c r="R360" s="32"/>
      <c r="S360" s="32"/>
      <c r="T360" s="91"/>
      <c r="U360" s="91"/>
      <c r="V360" s="91"/>
      <c r="W360" s="91"/>
      <c r="X360" s="91"/>
      <c r="Y360" s="91"/>
      <c r="Z360" s="91"/>
    </row>
    <row r="361" spans="1:26" ht="12.75" customHeight="1">
      <c r="A361" s="32"/>
      <c r="B361" s="32"/>
      <c r="C361" s="32"/>
      <c r="D361" s="32"/>
      <c r="E361" s="32"/>
      <c r="F361" s="32"/>
      <c r="G361" s="32"/>
      <c r="H361" s="32"/>
      <c r="I361" s="32"/>
      <c r="J361" s="32"/>
      <c r="K361" s="32"/>
      <c r="L361" s="32"/>
      <c r="M361" s="32"/>
      <c r="N361" s="32"/>
      <c r="O361" s="32"/>
      <c r="P361" s="32"/>
      <c r="Q361" s="32"/>
      <c r="R361" s="32"/>
      <c r="S361" s="32"/>
      <c r="T361" s="91"/>
      <c r="U361" s="91"/>
      <c r="V361" s="91"/>
      <c r="W361" s="91"/>
      <c r="X361" s="91"/>
      <c r="Y361" s="91"/>
      <c r="Z361" s="91"/>
    </row>
    <row r="362" spans="1:26" ht="12.75" customHeight="1">
      <c r="A362" s="32"/>
      <c r="B362" s="32"/>
      <c r="C362" s="32"/>
      <c r="D362" s="32"/>
      <c r="E362" s="32"/>
      <c r="F362" s="32"/>
      <c r="G362" s="32"/>
      <c r="H362" s="32"/>
      <c r="I362" s="32"/>
      <c r="J362" s="32"/>
      <c r="K362" s="32"/>
      <c r="L362" s="32"/>
      <c r="M362" s="32"/>
      <c r="N362" s="32"/>
      <c r="O362" s="32"/>
      <c r="P362" s="32"/>
      <c r="Q362" s="32"/>
      <c r="R362" s="32"/>
      <c r="S362" s="32"/>
      <c r="T362" s="91"/>
      <c r="U362" s="91"/>
      <c r="V362" s="91"/>
      <c r="W362" s="91"/>
      <c r="X362" s="91"/>
      <c r="Y362" s="91"/>
      <c r="Z362" s="91"/>
    </row>
    <row r="363" spans="1:26" ht="12.75" customHeight="1">
      <c r="A363" s="32"/>
      <c r="B363" s="32"/>
      <c r="C363" s="32"/>
      <c r="D363" s="32"/>
      <c r="E363" s="32"/>
      <c r="F363" s="32"/>
      <c r="G363" s="32"/>
      <c r="H363" s="32"/>
      <c r="I363" s="32"/>
      <c r="J363" s="32"/>
      <c r="K363" s="32"/>
      <c r="L363" s="32"/>
      <c r="M363" s="32"/>
      <c r="N363" s="32"/>
      <c r="O363" s="32"/>
      <c r="P363" s="32"/>
      <c r="Q363" s="32"/>
      <c r="R363" s="32"/>
      <c r="S363" s="32"/>
      <c r="T363" s="91"/>
      <c r="U363" s="91"/>
      <c r="V363" s="91"/>
      <c r="W363" s="91"/>
      <c r="X363" s="91"/>
      <c r="Y363" s="91"/>
      <c r="Z363" s="91"/>
    </row>
    <row r="364" spans="1:26" ht="12.75" customHeight="1">
      <c r="A364" s="32"/>
      <c r="B364" s="32"/>
      <c r="C364" s="32"/>
      <c r="D364" s="32"/>
      <c r="E364" s="32"/>
      <c r="F364" s="32"/>
      <c r="G364" s="32"/>
      <c r="H364" s="32"/>
      <c r="I364" s="32"/>
      <c r="J364" s="32"/>
      <c r="K364" s="32"/>
      <c r="L364" s="32"/>
      <c r="M364" s="32"/>
      <c r="N364" s="32"/>
      <c r="O364" s="32"/>
      <c r="P364" s="32"/>
      <c r="Q364" s="32"/>
      <c r="R364" s="32"/>
      <c r="S364" s="32"/>
      <c r="T364" s="91"/>
      <c r="U364" s="91"/>
      <c r="V364" s="91"/>
      <c r="W364" s="91"/>
      <c r="X364" s="91"/>
      <c r="Y364" s="91"/>
      <c r="Z364" s="91"/>
    </row>
    <row r="365" spans="1:26" ht="12.75" customHeight="1">
      <c r="A365" s="32"/>
      <c r="B365" s="32"/>
      <c r="C365" s="32"/>
      <c r="D365" s="32"/>
      <c r="E365" s="32"/>
      <c r="F365" s="32"/>
      <c r="G365" s="32"/>
      <c r="H365" s="32"/>
      <c r="I365" s="32"/>
      <c r="J365" s="32"/>
      <c r="K365" s="32"/>
      <c r="L365" s="32"/>
      <c r="M365" s="32"/>
      <c r="N365" s="32"/>
      <c r="O365" s="32"/>
      <c r="P365" s="32"/>
      <c r="Q365" s="32"/>
      <c r="R365" s="32"/>
      <c r="S365" s="32"/>
      <c r="T365" s="91"/>
      <c r="U365" s="91"/>
      <c r="V365" s="91"/>
      <c r="W365" s="91"/>
      <c r="X365" s="91"/>
      <c r="Y365" s="91"/>
      <c r="Z365" s="91"/>
    </row>
    <row r="366" spans="1:26" ht="12.75" customHeight="1">
      <c r="A366" s="32"/>
      <c r="B366" s="32"/>
      <c r="C366" s="32"/>
      <c r="D366" s="32"/>
      <c r="E366" s="32"/>
      <c r="F366" s="32"/>
      <c r="G366" s="32"/>
      <c r="H366" s="32"/>
      <c r="I366" s="32"/>
      <c r="J366" s="32"/>
      <c r="K366" s="32"/>
      <c r="L366" s="32"/>
      <c r="M366" s="32"/>
      <c r="N366" s="32"/>
      <c r="O366" s="32"/>
      <c r="P366" s="32"/>
      <c r="Q366" s="32"/>
      <c r="R366" s="32"/>
      <c r="S366" s="32"/>
      <c r="T366" s="91"/>
      <c r="U366" s="91"/>
      <c r="V366" s="91"/>
      <c r="W366" s="91"/>
      <c r="X366" s="91"/>
      <c r="Y366" s="91"/>
      <c r="Z366" s="91"/>
    </row>
    <row r="367" spans="1:26" ht="12.75" customHeight="1">
      <c r="A367" s="32"/>
      <c r="B367" s="32"/>
      <c r="C367" s="32"/>
      <c r="D367" s="32"/>
      <c r="E367" s="32"/>
      <c r="F367" s="32"/>
      <c r="G367" s="32"/>
      <c r="H367" s="32"/>
      <c r="I367" s="32"/>
      <c r="J367" s="32"/>
      <c r="K367" s="32"/>
      <c r="L367" s="32"/>
      <c r="M367" s="32"/>
      <c r="N367" s="32"/>
      <c r="O367" s="32"/>
      <c r="P367" s="32"/>
      <c r="Q367" s="32"/>
      <c r="R367" s="32"/>
      <c r="S367" s="32"/>
      <c r="T367" s="91"/>
      <c r="U367" s="91"/>
      <c r="V367" s="91"/>
      <c r="W367" s="91"/>
      <c r="X367" s="91"/>
      <c r="Y367" s="91"/>
      <c r="Z367" s="91"/>
    </row>
    <row r="368" spans="1:26" ht="12.75" customHeight="1">
      <c r="A368" s="32"/>
      <c r="B368" s="32"/>
      <c r="C368" s="32"/>
      <c r="D368" s="32"/>
      <c r="E368" s="32"/>
      <c r="F368" s="32"/>
      <c r="G368" s="32"/>
      <c r="H368" s="32"/>
      <c r="I368" s="32"/>
      <c r="J368" s="32"/>
      <c r="K368" s="32"/>
      <c r="L368" s="32"/>
      <c r="M368" s="32"/>
      <c r="N368" s="32"/>
      <c r="O368" s="32"/>
      <c r="P368" s="32"/>
      <c r="Q368" s="32"/>
      <c r="R368" s="32"/>
      <c r="S368" s="32"/>
      <c r="T368" s="91"/>
      <c r="U368" s="91"/>
      <c r="V368" s="91"/>
      <c r="W368" s="91"/>
      <c r="X368" s="91"/>
      <c r="Y368" s="91"/>
      <c r="Z368" s="91"/>
    </row>
    <row r="369" spans="1:26" ht="12.75" customHeight="1">
      <c r="A369" s="32"/>
      <c r="B369" s="32"/>
      <c r="C369" s="32"/>
      <c r="D369" s="32"/>
      <c r="E369" s="32"/>
      <c r="F369" s="32"/>
      <c r="G369" s="32"/>
      <c r="H369" s="32"/>
      <c r="I369" s="32"/>
      <c r="J369" s="32"/>
      <c r="K369" s="32"/>
      <c r="L369" s="32"/>
      <c r="M369" s="32"/>
      <c r="N369" s="32"/>
      <c r="O369" s="32"/>
      <c r="P369" s="32"/>
      <c r="Q369" s="32"/>
      <c r="R369" s="32"/>
      <c r="S369" s="32"/>
      <c r="T369" s="91"/>
      <c r="U369" s="91"/>
      <c r="V369" s="91"/>
      <c r="W369" s="91"/>
      <c r="X369" s="91"/>
      <c r="Y369" s="91"/>
      <c r="Z369" s="91"/>
    </row>
    <row r="370" spans="1:26" ht="12.75" customHeight="1">
      <c r="A370" s="32"/>
      <c r="B370" s="32"/>
      <c r="C370" s="32"/>
      <c r="D370" s="32"/>
      <c r="E370" s="32"/>
      <c r="F370" s="32"/>
      <c r="G370" s="32"/>
      <c r="H370" s="32"/>
      <c r="I370" s="32"/>
      <c r="J370" s="32"/>
      <c r="K370" s="32"/>
      <c r="L370" s="32"/>
      <c r="M370" s="32"/>
      <c r="N370" s="32"/>
      <c r="O370" s="32"/>
      <c r="P370" s="32"/>
      <c r="Q370" s="32"/>
      <c r="R370" s="32"/>
      <c r="S370" s="32"/>
      <c r="T370" s="91"/>
      <c r="U370" s="91"/>
      <c r="V370" s="91"/>
      <c r="W370" s="91"/>
      <c r="X370" s="91"/>
      <c r="Y370" s="91"/>
      <c r="Z370" s="91"/>
    </row>
    <row r="371" spans="1:26" ht="12.75" customHeight="1">
      <c r="A371" s="32"/>
      <c r="B371" s="32"/>
      <c r="C371" s="32"/>
      <c r="D371" s="32"/>
      <c r="E371" s="32"/>
      <c r="F371" s="32"/>
      <c r="G371" s="32"/>
      <c r="H371" s="32"/>
      <c r="I371" s="32"/>
      <c r="J371" s="32"/>
      <c r="K371" s="32"/>
      <c r="L371" s="32"/>
      <c r="M371" s="32"/>
      <c r="N371" s="32"/>
      <c r="O371" s="32"/>
      <c r="P371" s="32"/>
      <c r="Q371" s="32"/>
      <c r="R371" s="32"/>
      <c r="S371" s="32"/>
      <c r="T371" s="91"/>
      <c r="U371" s="91"/>
      <c r="V371" s="91"/>
      <c r="W371" s="91"/>
      <c r="X371" s="91"/>
      <c r="Y371" s="91"/>
      <c r="Z371" s="91"/>
    </row>
    <row r="372" spans="1:26" ht="12.75" customHeight="1">
      <c r="A372" s="32"/>
      <c r="B372" s="32"/>
      <c r="C372" s="32"/>
      <c r="D372" s="32"/>
      <c r="E372" s="32"/>
      <c r="F372" s="32"/>
      <c r="G372" s="32"/>
      <c r="H372" s="32"/>
      <c r="I372" s="32"/>
      <c r="J372" s="32"/>
      <c r="K372" s="32"/>
      <c r="L372" s="32"/>
      <c r="M372" s="32"/>
      <c r="N372" s="32"/>
      <c r="O372" s="32"/>
      <c r="P372" s="32"/>
      <c r="Q372" s="32"/>
      <c r="R372" s="32"/>
      <c r="S372" s="32"/>
      <c r="T372" s="91"/>
      <c r="U372" s="91"/>
      <c r="V372" s="91"/>
      <c r="W372" s="91"/>
      <c r="X372" s="91"/>
      <c r="Y372" s="91"/>
      <c r="Z372" s="91"/>
    </row>
    <row r="373" spans="1:26" ht="12.75" customHeight="1">
      <c r="A373" s="32"/>
      <c r="B373" s="32"/>
      <c r="C373" s="32"/>
      <c r="D373" s="32"/>
      <c r="E373" s="32"/>
      <c r="F373" s="32"/>
      <c r="G373" s="32"/>
      <c r="H373" s="32"/>
      <c r="I373" s="32"/>
      <c r="J373" s="32"/>
      <c r="K373" s="32"/>
      <c r="L373" s="32"/>
      <c r="M373" s="32"/>
      <c r="N373" s="32"/>
      <c r="O373" s="32"/>
      <c r="P373" s="32"/>
      <c r="Q373" s="32"/>
      <c r="R373" s="32"/>
      <c r="S373" s="32"/>
      <c r="T373" s="91"/>
      <c r="U373" s="91"/>
      <c r="V373" s="91"/>
      <c r="W373" s="91"/>
      <c r="X373" s="91"/>
      <c r="Y373" s="91"/>
      <c r="Z373" s="91"/>
    </row>
    <row r="374" spans="1:26" ht="12.75" customHeight="1">
      <c r="A374" s="32"/>
      <c r="B374" s="32"/>
      <c r="C374" s="32"/>
      <c r="D374" s="32"/>
      <c r="E374" s="32"/>
      <c r="F374" s="32"/>
      <c r="G374" s="32"/>
      <c r="H374" s="32"/>
      <c r="I374" s="32"/>
      <c r="J374" s="32"/>
      <c r="K374" s="32"/>
      <c r="L374" s="32"/>
      <c r="M374" s="32"/>
      <c r="N374" s="32"/>
      <c r="O374" s="32"/>
      <c r="P374" s="32"/>
      <c r="Q374" s="32"/>
      <c r="R374" s="32"/>
      <c r="S374" s="32"/>
      <c r="T374" s="91"/>
      <c r="U374" s="91"/>
      <c r="V374" s="91"/>
      <c r="W374" s="91"/>
      <c r="X374" s="91"/>
      <c r="Y374" s="91"/>
      <c r="Z374" s="91"/>
    </row>
    <row r="375" spans="1:26" ht="12.75" customHeight="1">
      <c r="A375" s="32"/>
      <c r="B375" s="32"/>
      <c r="C375" s="32"/>
      <c r="D375" s="32"/>
      <c r="E375" s="32"/>
      <c r="F375" s="32"/>
      <c r="G375" s="32"/>
      <c r="H375" s="32"/>
      <c r="I375" s="32"/>
      <c r="J375" s="32"/>
      <c r="K375" s="32"/>
      <c r="L375" s="32"/>
      <c r="M375" s="32"/>
      <c r="N375" s="32"/>
      <c r="O375" s="32"/>
      <c r="P375" s="32"/>
      <c r="Q375" s="32"/>
      <c r="R375" s="32"/>
      <c r="S375" s="32"/>
      <c r="T375" s="91"/>
      <c r="U375" s="91"/>
      <c r="V375" s="91"/>
      <c r="W375" s="91"/>
      <c r="X375" s="91"/>
      <c r="Y375" s="91"/>
      <c r="Z375" s="91"/>
    </row>
    <row r="376" spans="1:26" ht="12.75" customHeight="1">
      <c r="A376" s="32"/>
      <c r="B376" s="32"/>
      <c r="C376" s="32"/>
      <c r="D376" s="32"/>
      <c r="E376" s="32"/>
      <c r="F376" s="32"/>
      <c r="G376" s="32"/>
      <c r="H376" s="32"/>
      <c r="I376" s="32"/>
      <c r="J376" s="32"/>
      <c r="K376" s="32"/>
      <c r="L376" s="32"/>
      <c r="M376" s="32"/>
      <c r="N376" s="32"/>
      <c r="O376" s="32"/>
      <c r="P376" s="32"/>
      <c r="Q376" s="32"/>
      <c r="R376" s="32"/>
      <c r="S376" s="32"/>
      <c r="T376" s="91"/>
      <c r="U376" s="91"/>
      <c r="V376" s="91"/>
      <c r="W376" s="91"/>
      <c r="X376" s="91"/>
      <c r="Y376" s="91"/>
      <c r="Z376" s="91"/>
    </row>
    <row r="377" spans="1:26" ht="12.75" customHeight="1">
      <c r="A377" s="32"/>
      <c r="B377" s="32"/>
      <c r="C377" s="32"/>
      <c r="D377" s="32"/>
      <c r="E377" s="32"/>
      <c r="F377" s="32"/>
      <c r="G377" s="32"/>
      <c r="H377" s="32"/>
      <c r="I377" s="32"/>
      <c r="J377" s="32"/>
      <c r="K377" s="32"/>
      <c r="L377" s="32"/>
      <c r="M377" s="32"/>
      <c r="N377" s="32"/>
      <c r="O377" s="32"/>
      <c r="P377" s="32"/>
      <c r="Q377" s="32"/>
      <c r="R377" s="32"/>
      <c r="S377" s="32"/>
      <c r="T377" s="91"/>
      <c r="U377" s="91"/>
      <c r="V377" s="91"/>
      <c r="W377" s="91"/>
      <c r="X377" s="91"/>
      <c r="Y377" s="91"/>
      <c r="Z377" s="91"/>
    </row>
    <row r="378" spans="1:26" ht="12.75" customHeight="1">
      <c r="A378" s="32"/>
      <c r="B378" s="32"/>
      <c r="C378" s="32"/>
      <c r="D378" s="32"/>
      <c r="E378" s="32"/>
      <c r="F378" s="32"/>
      <c r="G378" s="32"/>
      <c r="H378" s="32"/>
      <c r="I378" s="32"/>
      <c r="J378" s="32"/>
      <c r="K378" s="32"/>
      <c r="L378" s="32"/>
      <c r="M378" s="32"/>
      <c r="N378" s="32"/>
      <c r="O378" s="32"/>
      <c r="P378" s="32"/>
      <c r="Q378" s="32"/>
      <c r="R378" s="32"/>
      <c r="S378" s="32"/>
      <c r="T378" s="91"/>
      <c r="U378" s="91"/>
      <c r="V378" s="91"/>
      <c r="W378" s="91"/>
      <c r="X378" s="91"/>
      <c r="Y378" s="91"/>
      <c r="Z378" s="91"/>
    </row>
    <row r="379" spans="1:26" ht="12.75" customHeight="1">
      <c r="A379" s="32"/>
      <c r="B379" s="32"/>
      <c r="C379" s="32"/>
      <c r="D379" s="32"/>
      <c r="E379" s="32"/>
      <c r="F379" s="32"/>
      <c r="G379" s="32"/>
      <c r="H379" s="32"/>
      <c r="I379" s="32"/>
      <c r="J379" s="32"/>
      <c r="K379" s="32"/>
      <c r="L379" s="32"/>
      <c r="M379" s="32"/>
      <c r="N379" s="32"/>
      <c r="O379" s="32"/>
      <c r="P379" s="32"/>
      <c r="Q379" s="32"/>
      <c r="R379" s="32"/>
      <c r="S379" s="32"/>
      <c r="T379" s="91"/>
      <c r="U379" s="91"/>
      <c r="V379" s="91"/>
      <c r="W379" s="91"/>
      <c r="X379" s="91"/>
      <c r="Y379" s="91"/>
      <c r="Z379" s="91"/>
    </row>
    <row r="380" spans="1:26" ht="12.75" customHeight="1">
      <c r="A380" s="32"/>
      <c r="B380" s="32"/>
      <c r="C380" s="32"/>
      <c r="D380" s="32"/>
      <c r="E380" s="32"/>
      <c r="F380" s="32"/>
      <c r="G380" s="32"/>
      <c r="H380" s="32"/>
      <c r="I380" s="32"/>
      <c r="J380" s="32"/>
      <c r="K380" s="32"/>
      <c r="L380" s="32"/>
      <c r="M380" s="32"/>
      <c r="N380" s="32"/>
      <c r="O380" s="32"/>
      <c r="P380" s="32"/>
      <c r="Q380" s="32"/>
      <c r="R380" s="32"/>
      <c r="S380" s="32"/>
      <c r="T380" s="91"/>
      <c r="U380" s="91"/>
      <c r="V380" s="91"/>
      <c r="W380" s="91"/>
      <c r="X380" s="91"/>
      <c r="Y380" s="91"/>
      <c r="Z380" s="91"/>
    </row>
    <row r="381" spans="1:26" ht="12.75" customHeight="1">
      <c r="A381" s="32"/>
      <c r="B381" s="32"/>
      <c r="C381" s="32"/>
      <c r="D381" s="32"/>
      <c r="E381" s="32"/>
      <c r="F381" s="32"/>
      <c r="G381" s="32"/>
      <c r="H381" s="32"/>
      <c r="I381" s="32"/>
      <c r="J381" s="32"/>
      <c r="K381" s="32"/>
      <c r="L381" s="32"/>
      <c r="M381" s="32"/>
      <c r="N381" s="32"/>
      <c r="O381" s="32"/>
      <c r="P381" s="32"/>
      <c r="Q381" s="32"/>
      <c r="R381" s="32"/>
      <c r="S381" s="32"/>
      <c r="T381" s="91"/>
      <c r="U381" s="91"/>
      <c r="V381" s="91"/>
      <c r="W381" s="91"/>
      <c r="X381" s="91"/>
      <c r="Y381" s="91"/>
      <c r="Z381" s="91"/>
    </row>
    <row r="382" spans="1:26" ht="12.75" customHeight="1">
      <c r="A382" s="32"/>
      <c r="B382" s="32"/>
      <c r="C382" s="32"/>
      <c r="D382" s="32"/>
      <c r="E382" s="32"/>
      <c r="F382" s="32"/>
      <c r="G382" s="32"/>
      <c r="H382" s="32"/>
      <c r="I382" s="32"/>
      <c r="J382" s="32"/>
      <c r="K382" s="32"/>
      <c r="L382" s="32"/>
      <c r="M382" s="32"/>
      <c r="N382" s="32"/>
      <c r="O382" s="32"/>
      <c r="P382" s="32"/>
      <c r="Q382" s="32"/>
      <c r="R382" s="32"/>
      <c r="S382" s="32"/>
      <c r="T382" s="91"/>
      <c r="U382" s="91"/>
      <c r="V382" s="91"/>
      <c r="W382" s="91"/>
      <c r="X382" s="91"/>
      <c r="Y382" s="91"/>
      <c r="Z382" s="91"/>
    </row>
    <row r="383" spans="1:26" ht="12.75" customHeight="1">
      <c r="A383" s="32"/>
      <c r="B383" s="32"/>
      <c r="C383" s="32"/>
      <c r="D383" s="32"/>
      <c r="E383" s="32"/>
      <c r="F383" s="32"/>
      <c r="G383" s="32"/>
      <c r="H383" s="32"/>
      <c r="I383" s="32"/>
      <c r="J383" s="32"/>
      <c r="K383" s="32"/>
      <c r="L383" s="32"/>
      <c r="M383" s="32"/>
      <c r="N383" s="32"/>
      <c r="O383" s="32"/>
      <c r="P383" s="32"/>
      <c r="Q383" s="32"/>
      <c r="R383" s="32"/>
      <c r="S383" s="32"/>
      <c r="T383" s="91"/>
      <c r="U383" s="91"/>
      <c r="V383" s="91"/>
      <c r="W383" s="91"/>
      <c r="X383" s="91"/>
      <c r="Y383" s="91"/>
      <c r="Z383" s="91"/>
    </row>
    <row r="384" spans="1:26" ht="12.75" customHeight="1">
      <c r="A384" s="32"/>
      <c r="B384" s="32"/>
      <c r="C384" s="32"/>
      <c r="D384" s="32"/>
      <c r="E384" s="32"/>
      <c r="F384" s="32"/>
      <c r="G384" s="32"/>
      <c r="H384" s="32"/>
      <c r="I384" s="32"/>
      <c r="J384" s="32"/>
      <c r="K384" s="32"/>
      <c r="L384" s="32"/>
      <c r="M384" s="32"/>
      <c r="N384" s="32"/>
      <c r="O384" s="32"/>
      <c r="P384" s="32"/>
      <c r="Q384" s="32"/>
      <c r="R384" s="32"/>
      <c r="S384" s="32"/>
      <c r="T384" s="91"/>
      <c r="U384" s="91"/>
      <c r="V384" s="91"/>
      <c r="W384" s="91"/>
      <c r="X384" s="91"/>
      <c r="Y384" s="91"/>
      <c r="Z384" s="91"/>
    </row>
    <row r="385" spans="1:26" ht="12.75" customHeight="1">
      <c r="A385" s="32"/>
      <c r="B385" s="32"/>
      <c r="C385" s="32"/>
      <c r="D385" s="32"/>
      <c r="E385" s="32"/>
      <c r="F385" s="32"/>
      <c r="G385" s="32"/>
      <c r="H385" s="32"/>
      <c r="I385" s="32"/>
      <c r="J385" s="32"/>
      <c r="K385" s="32"/>
      <c r="L385" s="32"/>
      <c r="M385" s="32"/>
      <c r="N385" s="32"/>
      <c r="O385" s="32"/>
      <c r="P385" s="32"/>
      <c r="Q385" s="32"/>
      <c r="R385" s="32"/>
      <c r="S385" s="32"/>
      <c r="T385" s="91"/>
      <c r="U385" s="91"/>
      <c r="V385" s="91"/>
      <c r="W385" s="91"/>
      <c r="X385" s="91"/>
      <c r="Y385" s="91"/>
      <c r="Z385" s="91"/>
    </row>
    <row r="386" spans="1:26" ht="12.75" customHeight="1">
      <c r="A386" s="32"/>
      <c r="B386" s="32"/>
      <c r="C386" s="32"/>
      <c r="D386" s="32"/>
      <c r="E386" s="32"/>
      <c r="F386" s="32"/>
      <c r="G386" s="32"/>
      <c r="H386" s="32"/>
      <c r="I386" s="32"/>
      <c r="J386" s="32"/>
      <c r="K386" s="32"/>
      <c r="L386" s="32"/>
      <c r="M386" s="32"/>
      <c r="N386" s="32"/>
      <c r="O386" s="32"/>
      <c r="P386" s="32"/>
      <c r="Q386" s="32"/>
      <c r="R386" s="32"/>
      <c r="S386" s="32"/>
      <c r="T386" s="91"/>
      <c r="U386" s="91"/>
      <c r="V386" s="91"/>
      <c r="W386" s="91"/>
      <c r="X386" s="91"/>
      <c r="Y386" s="91"/>
      <c r="Z386" s="91"/>
    </row>
    <row r="387" spans="1:26" ht="12.75" customHeight="1">
      <c r="A387" s="32"/>
      <c r="B387" s="32"/>
      <c r="C387" s="32"/>
      <c r="D387" s="32"/>
      <c r="E387" s="32"/>
      <c r="F387" s="32"/>
      <c r="G387" s="32"/>
      <c r="H387" s="32"/>
      <c r="I387" s="32"/>
      <c r="J387" s="32"/>
      <c r="K387" s="32"/>
      <c r="L387" s="32"/>
      <c r="M387" s="32"/>
      <c r="N387" s="32"/>
      <c r="O387" s="32"/>
      <c r="P387" s="32"/>
      <c r="Q387" s="32"/>
      <c r="R387" s="32"/>
      <c r="S387" s="32"/>
      <c r="T387" s="91"/>
      <c r="U387" s="91"/>
      <c r="V387" s="91"/>
      <c r="W387" s="91"/>
      <c r="X387" s="91"/>
      <c r="Y387" s="91"/>
      <c r="Z387" s="91"/>
    </row>
    <row r="388" spans="1:26" ht="12.75" customHeight="1">
      <c r="A388" s="32"/>
      <c r="B388" s="32"/>
      <c r="C388" s="32"/>
      <c r="D388" s="32"/>
      <c r="E388" s="32"/>
      <c r="F388" s="32"/>
      <c r="G388" s="32"/>
      <c r="H388" s="32"/>
      <c r="I388" s="32"/>
      <c r="J388" s="32"/>
      <c r="K388" s="32"/>
      <c r="L388" s="32"/>
      <c r="M388" s="32"/>
      <c r="N388" s="32"/>
      <c r="O388" s="32"/>
      <c r="P388" s="32"/>
      <c r="Q388" s="32"/>
      <c r="R388" s="32"/>
      <c r="S388" s="32"/>
      <c r="T388" s="91"/>
      <c r="U388" s="91"/>
      <c r="V388" s="91"/>
      <c r="W388" s="91"/>
      <c r="X388" s="91"/>
      <c r="Y388" s="91"/>
      <c r="Z388" s="91"/>
    </row>
    <row r="389" spans="1:26" ht="12.75" customHeight="1">
      <c r="A389" s="32"/>
      <c r="B389" s="32"/>
      <c r="C389" s="32"/>
      <c r="D389" s="32"/>
      <c r="E389" s="32"/>
      <c r="F389" s="32"/>
      <c r="G389" s="32"/>
      <c r="H389" s="32"/>
      <c r="I389" s="32"/>
      <c r="J389" s="32"/>
      <c r="K389" s="32"/>
      <c r="L389" s="32"/>
      <c r="M389" s="32"/>
      <c r="N389" s="32"/>
      <c r="O389" s="32"/>
      <c r="P389" s="32"/>
      <c r="Q389" s="32"/>
      <c r="R389" s="32"/>
      <c r="S389" s="32"/>
      <c r="T389" s="91"/>
      <c r="U389" s="91"/>
      <c r="V389" s="91"/>
      <c r="W389" s="91"/>
      <c r="X389" s="91"/>
      <c r="Y389" s="91"/>
      <c r="Z389" s="91"/>
    </row>
    <row r="390" spans="1:26" ht="12.75" customHeight="1">
      <c r="A390" s="32"/>
      <c r="B390" s="32"/>
      <c r="C390" s="32"/>
      <c r="D390" s="32"/>
      <c r="E390" s="32"/>
      <c r="F390" s="32"/>
      <c r="G390" s="32"/>
      <c r="H390" s="32"/>
      <c r="I390" s="32"/>
      <c r="J390" s="32"/>
      <c r="K390" s="32"/>
      <c r="L390" s="32"/>
      <c r="M390" s="32"/>
      <c r="N390" s="32"/>
      <c r="O390" s="32"/>
      <c r="P390" s="32"/>
      <c r="Q390" s="32"/>
      <c r="R390" s="32"/>
      <c r="S390" s="32"/>
      <c r="T390" s="91"/>
      <c r="U390" s="91"/>
      <c r="V390" s="91"/>
      <c r="W390" s="91"/>
      <c r="X390" s="91"/>
      <c r="Y390" s="91"/>
      <c r="Z390" s="91"/>
    </row>
    <row r="391" spans="1:26" ht="12.75" customHeight="1">
      <c r="A391" s="32"/>
      <c r="B391" s="32"/>
      <c r="C391" s="32"/>
      <c r="D391" s="32"/>
      <c r="E391" s="32"/>
      <c r="F391" s="32"/>
      <c r="G391" s="32"/>
      <c r="H391" s="32"/>
      <c r="I391" s="32"/>
      <c r="J391" s="32"/>
      <c r="K391" s="32"/>
      <c r="L391" s="32"/>
      <c r="M391" s="32"/>
      <c r="N391" s="32"/>
      <c r="O391" s="32"/>
      <c r="P391" s="32"/>
      <c r="Q391" s="32"/>
      <c r="R391" s="32"/>
      <c r="S391" s="32"/>
      <c r="T391" s="91"/>
      <c r="U391" s="91"/>
      <c r="V391" s="91"/>
      <c r="W391" s="91"/>
      <c r="X391" s="91"/>
      <c r="Y391" s="91"/>
      <c r="Z391" s="91"/>
    </row>
    <row r="392" spans="1:26" ht="12.75" customHeight="1">
      <c r="A392" s="32"/>
      <c r="B392" s="32"/>
      <c r="C392" s="32"/>
      <c r="D392" s="32"/>
      <c r="E392" s="32"/>
      <c r="F392" s="32"/>
      <c r="G392" s="32"/>
      <c r="H392" s="32"/>
      <c r="I392" s="32"/>
      <c r="J392" s="32"/>
      <c r="K392" s="32"/>
      <c r="L392" s="32"/>
      <c r="M392" s="32"/>
      <c r="N392" s="32"/>
      <c r="O392" s="32"/>
      <c r="P392" s="32"/>
      <c r="Q392" s="32"/>
      <c r="R392" s="32"/>
      <c r="S392" s="32"/>
      <c r="T392" s="91"/>
      <c r="U392" s="91"/>
      <c r="V392" s="91"/>
      <c r="W392" s="91"/>
      <c r="X392" s="91"/>
      <c r="Y392" s="91"/>
      <c r="Z392" s="91"/>
    </row>
    <row r="393" spans="1:26" ht="12.75" customHeight="1">
      <c r="A393" s="32"/>
      <c r="B393" s="32"/>
      <c r="C393" s="32"/>
      <c r="D393" s="32"/>
      <c r="E393" s="32"/>
      <c r="F393" s="32"/>
      <c r="G393" s="32"/>
      <c r="H393" s="32"/>
      <c r="I393" s="32"/>
      <c r="J393" s="32"/>
      <c r="K393" s="32"/>
      <c r="L393" s="32"/>
      <c r="M393" s="32"/>
      <c r="N393" s="32"/>
      <c r="O393" s="32"/>
      <c r="P393" s="32"/>
      <c r="Q393" s="32"/>
      <c r="R393" s="32"/>
      <c r="S393" s="32"/>
      <c r="T393" s="91"/>
      <c r="U393" s="91"/>
      <c r="V393" s="91"/>
      <c r="W393" s="91"/>
      <c r="X393" s="91"/>
      <c r="Y393" s="91"/>
      <c r="Z393" s="91"/>
    </row>
    <row r="394" spans="1:26" ht="12.75" customHeight="1">
      <c r="A394" s="32"/>
      <c r="B394" s="32"/>
      <c r="C394" s="32"/>
      <c r="D394" s="32"/>
      <c r="E394" s="32"/>
      <c r="F394" s="32"/>
      <c r="G394" s="32"/>
      <c r="H394" s="32"/>
      <c r="I394" s="32"/>
      <c r="J394" s="32"/>
      <c r="K394" s="32"/>
      <c r="L394" s="32"/>
      <c r="M394" s="32"/>
      <c r="N394" s="32"/>
      <c r="O394" s="32"/>
      <c r="P394" s="32"/>
      <c r="Q394" s="32"/>
      <c r="R394" s="32"/>
      <c r="S394" s="32"/>
      <c r="T394" s="91"/>
      <c r="U394" s="91"/>
      <c r="V394" s="91"/>
      <c r="W394" s="91"/>
      <c r="X394" s="91"/>
      <c r="Y394" s="91"/>
      <c r="Z394" s="91"/>
    </row>
    <row r="395" spans="1:26" ht="12.75" customHeight="1">
      <c r="A395" s="32"/>
      <c r="B395" s="32"/>
      <c r="C395" s="32"/>
      <c r="D395" s="32"/>
      <c r="E395" s="32"/>
      <c r="F395" s="32"/>
      <c r="G395" s="32"/>
      <c r="H395" s="32"/>
      <c r="I395" s="32"/>
      <c r="J395" s="32"/>
      <c r="K395" s="32"/>
      <c r="L395" s="32"/>
      <c r="M395" s="32"/>
      <c r="N395" s="32"/>
      <c r="O395" s="32"/>
      <c r="P395" s="32"/>
      <c r="Q395" s="32"/>
      <c r="R395" s="32"/>
      <c r="S395" s="32"/>
      <c r="T395" s="91"/>
      <c r="U395" s="91"/>
      <c r="V395" s="91"/>
      <c r="W395" s="91"/>
      <c r="X395" s="91"/>
      <c r="Y395" s="91"/>
      <c r="Z395" s="91"/>
    </row>
    <row r="396" spans="1:26" ht="12.75" customHeight="1">
      <c r="A396" s="32"/>
      <c r="B396" s="32"/>
      <c r="C396" s="32"/>
      <c r="D396" s="32"/>
      <c r="E396" s="32"/>
      <c r="F396" s="32"/>
      <c r="G396" s="32"/>
      <c r="H396" s="32"/>
      <c r="I396" s="32"/>
      <c r="J396" s="32"/>
      <c r="K396" s="32"/>
      <c r="L396" s="32"/>
      <c r="M396" s="32"/>
      <c r="N396" s="32"/>
      <c r="O396" s="32"/>
      <c r="P396" s="32"/>
      <c r="Q396" s="32"/>
      <c r="R396" s="32"/>
      <c r="S396" s="32"/>
      <c r="T396" s="91"/>
      <c r="U396" s="91"/>
      <c r="V396" s="91"/>
      <c r="W396" s="91"/>
      <c r="X396" s="91"/>
      <c r="Y396" s="91"/>
      <c r="Z396" s="91"/>
    </row>
    <row r="397" spans="1:26" ht="12.75" customHeight="1">
      <c r="A397" s="32"/>
      <c r="B397" s="32"/>
      <c r="C397" s="32"/>
      <c r="D397" s="32"/>
      <c r="E397" s="32"/>
      <c r="F397" s="32"/>
      <c r="G397" s="32"/>
      <c r="H397" s="32"/>
      <c r="I397" s="32"/>
      <c r="J397" s="32"/>
      <c r="K397" s="32"/>
      <c r="L397" s="32"/>
      <c r="M397" s="32"/>
      <c r="N397" s="32"/>
      <c r="O397" s="32"/>
      <c r="P397" s="32"/>
      <c r="Q397" s="32"/>
      <c r="R397" s="32"/>
      <c r="S397" s="32"/>
      <c r="T397" s="91"/>
      <c r="U397" s="91"/>
      <c r="V397" s="91"/>
      <c r="W397" s="91"/>
      <c r="X397" s="91"/>
      <c r="Y397" s="91"/>
      <c r="Z397" s="91"/>
    </row>
    <row r="398" spans="1:26" ht="12.75" customHeight="1">
      <c r="A398" s="32"/>
      <c r="B398" s="32"/>
      <c r="C398" s="32"/>
      <c r="D398" s="32"/>
      <c r="E398" s="32"/>
      <c r="F398" s="32"/>
      <c r="G398" s="32"/>
      <c r="H398" s="32"/>
      <c r="I398" s="32"/>
      <c r="J398" s="32"/>
      <c r="K398" s="32"/>
      <c r="L398" s="32"/>
      <c r="M398" s="32"/>
      <c r="N398" s="32"/>
      <c r="O398" s="32"/>
      <c r="P398" s="32"/>
      <c r="Q398" s="32"/>
      <c r="R398" s="32"/>
      <c r="S398" s="32"/>
      <c r="T398" s="91"/>
      <c r="U398" s="91"/>
      <c r="V398" s="91"/>
      <c r="W398" s="91"/>
      <c r="X398" s="91"/>
      <c r="Y398" s="91"/>
      <c r="Z398" s="91"/>
    </row>
    <row r="399" spans="1:26" ht="12.75" customHeight="1">
      <c r="A399" s="32"/>
      <c r="B399" s="32"/>
      <c r="C399" s="32"/>
      <c r="D399" s="32"/>
      <c r="E399" s="32"/>
      <c r="F399" s="32"/>
      <c r="G399" s="32"/>
      <c r="H399" s="32"/>
      <c r="I399" s="32"/>
      <c r="J399" s="32"/>
      <c r="K399" s="32"/>
      <c r="L399" s="32"/>
      <c r="M399" s="32"/>
      <c r="N399" s="32"/>
      <c r="O399" s="32"/>
      <c r="P399" s="32"/>
      <c r="Q399" s="32"/>
      <c r="R399" s="32"/>
      <c r="S399" s="32"/>
      <c r="T399" s="91"/>
      <c r="U399" s="91"/>
      <c r="V399" s="91"/>
      <c r="W399" s="91"/>
      <c r="X399" s="91"/>
      <c r="Y399" s="91"/>
      <c r="Z399" s="91"/>
    </row>
    <row r="400" spans="1:26" ht="12.75" customHeight="1">
      <c r="A400" s="32"/>
      <c r="B400" s="32"/>
      <c r="C400" s="32"/>
      <c r="D400" s="32"/>
      <c r="E400" s="32"/>
      <c r="F400" s="32"/>
      <c r="G400" s="32"/>
      <c r="H400" s="32"/>
      <c r="I400" s="32"/>
      <c r="J400" s="32"/>
      <c r="K400" s="32"/>
      <c r="L400" s="32"/>
      <c r="M400" s="32"/>
      <c r="N400" s="32"/>
      <c r="O400" s="32"/>
      <c r="P400" s="32"/>
      <c r="Q400" s="32"/>
      <c r="R400" s="32"/>
      <c r="S400" s="32"/>
      <c r="T400" s="91"/>
      <c r="U400" s="91"/>
      <c r="V400" s="91"/>
      <c r="W400" s="91"/>
      <c r="X400" s="91"/>
      <c r="Y400" s="91"/>
      <c r="Z400" s="91"/>
    </row>
    <row r="401" spans="1:26" ht="12.75" customHeight="1">
      <c r="A401" s="32"/>
      <c r="B401" s="32"/>
      <c r="C401" s="32"/>
      <c r="D401" s="32"/>
      <c r="E401" s="32"/>
      <c r="F401" s="32"/>
      <c r="G401" s="32"/>
      <c r="H401" s="32"/>
      <c r="I401" s="32"/>
      <c r="J401" s="32"/>
      <c r="K401" s="32"/>
      <c r="L401" s="32"/>
      <c r="M401" s="32"/>
      <c r="N401" s="32"/>
      <c r="O401" s="32"/>
      <c r="P401" s="32"/>
      <c r="Q401" s="32"/>
      <c r="R401" s="32"/>
      <c r="S401" s="32"/>
      <c r="T401" s="91"/>
      <c r="U401" s="91"/>
      <c r="V401" s="91"/>
      <c r="W401" s="91"/>
      <c r="X401" s="91"/>
      <c r="Y401" s="91"/>
      <c r="Z401" s="91"/>
    </row>
    <row r="402" spans="1:26" ht="12.75" customHeight="1">
      <c r="A402" s="32"/>
      <c r="B402" s="32"/>
      <c r="C402" s="32"/>
      <c r="D402" s="32"/>
      <c r="E402" s="32"/>
      <c r="F402" s="32"/>
      <c r="G402" s="32"/>
      <c r="H402" s="32"/>
      <c r="I402" s="32"/>
      <c r="J402" s="32"/>
      <c r="K402" s="32"/>
      <c r="L402" s="32"/>
      <c r="M402" s="32"/>
      <c r="N402" s="32"/>
      <c r="O402" s="32"/>
      <c r="P402" s="32"/>
      <c r="Q402" s="32"/>
      <c r="R402" s="32"/>
      <c r="S402" s="32"/>
      <c r="T402" s="91"/>
      <c r="U402" s="91"/>
      <c r="V402" s="91"/>
      <c r="W402" s="91"/>
      <c r="X402" s="91"/>
      <c r="Y402" s="91"/>
      <c r="Z402" s="91"/>
    </row>
    <row r="403" spans="1:26" ht="12.75" customHeight="1">
      <c r="A403" s="32"/>
      <c r="B403" s="32"/>
      <c r="C403" s="32"/>
      <c r="D403" s="32"/>
      <c r="E403" s="32"/>
      <c r="F403" s="32"/>
      <c r="G403" s="32"/>
      <c r="H403" s="32"/>
      <c r="I403" s="32"/>
      <c r="J403" s="32"/>
      <c r="K403" s="32"/>
      <c r="L403" s="32"/>
      <c r="M403" s="32"/>
      <c r="N403" s="32"/>
      <c r="O403" s="32"/>
      <c r="P403" s="32"/>
      <c r="Q403" s="32"/>
      <c r="R403" s="32"/>
      <c r="S403" s="32"/>
      <c r="T403" s="91"/>
      <c r="U403" s="91"/>
      <c r="V403" s="91"/>
      <c r="W403" s="91"/>
      <c r="X403" s="91"/>
      <c r="Y403" s="91"/>
      <c r="Z403" s="91"/>
    </row>
    <row r="404" spans="1:26" ht="12.75" customHeight="1">
      <c r="A404" s="32"/>
      <c r="B404" s="32"/>
      <c r="C404" s="32"/>
      <c r="D404" s="32"/>
      <c r="E404" s="32"/>
      <c r="F404" s="32"/>
      <c r="G404" s="32"/>
      <c r="H404" s="32"/>
      <c r="I404" s="32"/>
      <c r="J404" s="32"/>
      <c r="K404" s="32"/>
      <c r="L404" s="32"/>
      <c r="M404" s="32"/>
      <c r="N404" s="32"/>
      <c r="O404" s="32"/>
      <c r="P404" s="32"/>
      <c r="Q404" s="32"/>
      <c r="R404" s="32"/>
      <c r="S404" s="32"/>
      <c r="T404" s="91"/>
      <c r="U404" s="91"/>
      <c r="V404" s="91"/>
      <c r="W404" s="91"/>
      <c r="X404" s="91"/>
      <c r="Y404" s="91"/>
      <c r="Z404" s="91"/>
    </row>
    <row r="405" spans="1:26" ht="12.75" customHeight="1">
      <c r="A405" s="32"/>
      <c r="B405" s="32"/>
      <c r="C405" s="32"/>
      <c r="D405" s="32"/>
      <c r="E405" s="32"/>
      <c r="F405" s="32"/>
      <c r="G405" s="32"/>
      <c r="H405" s="32"/>
      <c r="I405" s="32"/>
      <c r="J405" s="32"/>
      <c r="K405" s="32"/>
      <c r="L405" s="32"/>
      <c r="M405" s="32"/>
      <c r="N405" s="32"/>
      <c r="O405" s="32"/>
      <c r="P405" s="32"/>
      <c r="Q405" s="32"/>
      <c r="R405" s="32"/>
      <c r="S405" s="32"/>
      <c r="T405" s="91"/>
      <c r="U405" s="91"/>
      <c r="V405" s="91"/>
      <c r="W405" s="91"/>
      <c r="X405" s="91"/>
      <c r="Y405" s="91"/>
      <c r="Z405" s="91"/>
    </row>
    <row r="406" spans="1:26" ht="12.75" customHeight="1">
      <c r="A406" s="32"/>
      <c r="B406" s="32"/>
      <c r="C406" s="32"/>
      <c r="D406" s="32"/>
      <c r="E406" s="32"/>
      <c r="F406" s="32"/>
      <c r="G406" s="32"/>
      <c r="H406" s="32"/>
      <c r="I406" s="32"/>
      <c r="J406" s="32"/>
      <c r="K406" s="32"/>
      <c r="L406" s="32"/>
      <c r="M406" s="32"/>
      <c r="N406" s="32"/>
      <c r="O406" s="32"/>
      <c r="P406" s="32"/>
      <c r="Q406" s="32"/>
      <c r="R406" s="32"/>
      <c r="S406" s="32"/>
      <c r="T406" s="91"/>
      <c r="U406" s="91"/>
      <c r="V406" s="91"/>
      <c r="W406" s="91"/>
      <c r="X406" s="91"/>
      <c r="Y406" s="91"/>
      <c r="Z406" s="91"/>
    </row>
    <row r="407" spans="1:26" ht="12.75" customHeight="1">
      <c r="A407" s="32"/>
      <c r="B407" s="32"/>
      <c r="C407" s="32"/>
      <c r="D407" s="32"/>
      <c r="E407" s="32"/>
      <c r="F407" s="32"/>
      <c r="G407" s="32"/>
      <c r="H407" s="32"/>
      <c r="I407" s="32"/>
      <c r="J407" s="32"/>
      <c r="K407" s="32"/>
      <c r="L407" s="32"/>
      <c r="M407" s="32"/>
      <c r="N407" s="32"/>
      <c r="O407" s="32"/>
      <c r="P407" s="32"/>
      <c r="Q407" s="32"/>
      <c r="R407" s="32"/>
      <c r="S407" s="32"/>
      <c r="T407" s="91"/>
      <c r="U407" s="91"/>
      <c r="V407" s="91"/>
      <c r="W407" s="91"/>
      <c r="X407" s="91"/>
      <c r="Y407" s="91"/>
      <c r="Z407" s="91"/>
    </row>
    <row r="408" spans="1:26" ht="12.75" customHeight="1">
      <c r="A408" s="32"/>
      <c r="B408" s="32"/>
      <c r="C408" s="32"/>
      <c r="D408" s="32"/>
      <c r="E408" s="32"/>
      <c r="F408" s="32"/>
      <c r="G408" s="32"/>
      <c r="H408" s="32"/>
      <c r="I408" s="32"/>
      <c r="J408" s="32"/>
      <c r="K408" s="32"/>
      <c r="L408" s="32"/>
      <c r="M408" s="32"/>
      <c r="N408" s="32"/>
      <c r="O408" s="32"/>
      <c r="P408" s="32"/>
      <c r="Q408" s="32"/>
      <c r="R408" s="32"/>
      <c r="S408" s="32"/>
      <c r="T408" s="91"/>
      <c r="U408" s="91"/>
      <c r="V408" s="91"/>
      <c r="W408" s="91"/>
      <c r="X408" s="91"/>
      <c r="Y408" s="91"/>
      <c r="Z408" s="91"/>
    </row>
    <row r="409" spans="1:26" ht="12.75" customHeight="1">
      <c r="A409" s="32"/>
      <c r="B409" s="32"/>
      <c r="C409" s="32"/>
      <c r="D409" s="32"/>
      <c r="E409" s="32"/>
      <c r="F409" s="32"/>
      <c r="G409" s="32"/>
      <c r="H409" s="32"/>
      <c r="I409" s="32"/>
      <c r="J409" s="32"/>
      <c r="K409" s="32"/>
      <c r="L409" s="32"/>
      <c r="M409" s="32"/>
      <c r="N409" s="32"/>
      <c r="O409" s="32"/>
      <c r="P409" s="32"/>
      <c r="Q409" s="32"/>
      <c r="R409" s="32"/>
      <c r="S409" s="32"/>
      <c r="T409" s="91"/>
      <c r="U409" s="91"/>
      <c r="V409" s="91"/>
      <c r="W409" s="91"/>
      <c r="X409" s="91"/>
      <c r="Y409" s="91"/>
      <c r="Z409" s="91"/>
    </row>
    <row r="410" spans="1:26" ht="12.75" customHeight="1">
      <c r="A410" s="32"/>
      <c r="B410" s="32"/>
      <c r="C410" s="32"/>
      <c r="D410" s="32"/>
      <c r="E410" s="32"/>
      <c r="F410" s="32"/>
      <c r="G410" s="32"/>
      <c r="H410" s="32"/>
      <c r="I410" s="32"/>
      <c r="J410" s="32"/>
      <c r="K410" s="32"/>
      <c r="L410" s="32"/>
      <c r="M410" s="32"/>
      <c r="N410" s="32"/>
      <c r="O410" s="32"/>
      <c r="P410" s="32"/>
      <c r="Q410" s="32"/>
      <c r="R410" s="32"/>
      <c r="S410" s="32"/>
      <c r="T410" s="91"/>
      <c r="U410" s="91"/>
      <c r="V410" s="91"/>
      <c r="W410" s="91"/>
      <c r="X410" s="91"/>
      <c r="Y410" s="91"/>
      <c r="Z410" s="91"/>
    </row>
    <row r="411" spans="1:26" ht="12.75" customHeight="1">
      <c r="A411" s="32"/>
      <c r="B411" s="32"/>
      <c r="C411" s="32"/>
      <c r="D411" s="32"/>
      <c r="E411" s="32"/>
      <c r="F411" s="32"/>
      <c r="G411" s="32"/>
      <c r="H411" s="32"/>
      <c r="I411" s="32"/>
      <c r="J411" s="32"/>
      <c r="K411" s="32"/>
      <c r="L411" s="32"/>
      <c r="M411" s="32"/>
      <c r="N411" s="32"/>
      <c r="O411" s="32"/>
      <c r="P411" s="32"/>
      <c r="Q411" s="32"/>
      <c r="R411" s="32"/>
      <c r="S411" s="32"/>
      <c r="T411" s="91"/>
      <c r="U411" s="91"/>
      <c r="V411" s="91"/>
      <c r="W411" s="91"/>
      <c r="X411" s="91"/>
      <c r="Y411" s="91"/>
      <c r="Z411" s="91"/>
    </row>
    <row r="412" spans="1:26" ht="15.75" customHeight="1"/>
    <row r="413" spans="1:26" ht="15.75" customHeight="1"/>
    <row r="414" spans="1:26" ht="15.75" customHeight="1"/>
    <row r="415" spans="1:26" ht="15.75" customHeight="1"/>
    <row r="416" spans="1:2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workbookViewId="0">
      <pane xSplit="2" ySplit="1" topLeftCell="C2" activePane="bottomRight" state="frozen"/>
      <selection pane="topRight" activeCell="C1" sqref="C1"/>
      <selection pane="bottomLeft" activeCell="A2" sqref="A2"/>
      <selection pane="bottomRight" activeCell="C2" sqref="C2"/>
    </sheetView>
  </sheetViews>
  <sheetFormatPr defaultColWidth="14.42578125" defaultRowHeight="15" customHeight="1"/>
  <cols>
    <col min="1" max="1" width="9.140625" customWidth="1"/>
    <col min="2" max="31" width="15.7109375" customWidth="1"/>
  </cols>
  <sheetData>
    <row r="1" spans="1:31" ht="12.75" customHeight="1">
      <c r="A1" s="2"/>
      <c r="B1" s="45" t="s">
        <v>914</v>
      </c>
      <c r="C1" s="45" t="s">
        <v>252</v>
      </c>
      <c r="D1" s="45" t="s">
        <v>256</v>
      </c>
      <c r="E1" s="45" t="s">
        <v>254</v>
      </c>
      <c r="F1" s="45" t="s">
        <v>255</v>
      </c>
      <c r="G1" s="45" t="s">
        <v>253</v>
      </c>
      <c r="H1" s="45" t="s">
        <v>314</v>
      </c>
      <c r="I1" s="45" t="s">
        <v>915</v>
      </c>
      <c r="J1" s="45" t="s">
        <v>315</v>
      </c>
      <c r="K1" s="45" t="s">
        <v>316</v>
      </c>
      <c r="L1" s="2"/>
      <c r="M1" s="46" t="s">
        <v>916</v>
      </c>
      <c r="N1" s="46" t="s">
        <v>917</v>
      </c>
      <c r="O1" s="46" t="s">
        <v>918</v>
      </c>
      <c r="P1" s="46" t="s">
        <v>919</v>
      </c>
      <c r="Q1" s="46" t="s">
        <v>920</v>
      </c>
      <c r="R1" s="226"/>
      <c r="S1" s="46" t="s">
        <v>921</v>
      </c>
      <c r="T1" s="46" t="s">
        <v>922</v>
      </c>
      <c r="U1" s="46" t="s">
        <v>923</v>
      </c>
      <c r="V1" s="46" t="s">
        <v>924</v>
      </c>
      <c r="W1" s="46" t="s">
        <v>925</v>
      </c>
      <c r="X1" s="2"/>
      <c r="Y1" s="2"/>
      <c r="Z1" s="2"/>
      <c r="AA1" s="2"/>
      <c r="AB1" s="2"/>
      <c r="AC1" s="2"/>
      <c r="AD1" s="2"/>
      <c r="AE1" s="2"/>
    </row>
    <row r="2" spans="1:31" ht="12.75" customHeight="1">
      <c r="A2" s="2"/>
      <c r="B2" s="2" t="s">
        <v>926</v>
      </c>
      <c r="C2" s="2"/>
      <c r="D2" s="2"/>
      <c r="E2" s="2"/>
      <c r="F2" s="2"/>
      <c r="G2" s="2"/>
      <c r="H2" s="2"/>
      <c r="I2" s="2"/>
      <c r="J2" s="2"/>
      <c r="K2" s="2"/>
      <c r="L2" s="2"/>
      <c r="M2" s="2"/>
      <c r="N2" s="2"/>
      <c r="O2" s="2"/>
      <c r="P2" s="2"/>
      <c r="Q2" s="2"/>
      <c r="R2" s="2"/>
      <c r="S2" s="2"/>
      <c r="T2" s="2"/>
      <c r="U2" s="2"/>
      <c r="V2" s="2"/>
      <c r="W2" s="2"/>
      <c r="X2" s="2"/>
      <c r="Y2" s="2"/>
      <c r="Z2" s="2"/>
      <c r="AA2" s="2"/>
      <c r="AB2" s="2"/>
      <c r="AC2" s="2"/>
      <c r="AD2" s="2"/>
      <c r="AE2" s="2"/>
    </row>
    <row r="3" spans="1:31" ht="12.75" customHeight="1">
      <c r="A3" s="2"/>
      <c r="B3" s="32" t="s">
        <v>296</v>
      </c>
      <c r="C3" s="32">
        <v>0</v>
      </c>
      <c r="D3" s="32">
        <v>0</v>
      </c>
      <c r="E3" s="32">
        <v>0</v>
      </c>
      <c r="F3" s="32">
        <v>0</v>
      </c>
      <c r="G3" s="32">
        <v>0</v>
      </c>
      <c r="H3" s="32">
        <v>0</v>
      </c>
      <c r="I3" s="32">
        <v>0</v>
      </c>
      <c r="J3" s="31">
        <v>0</v>
      </c>
      <c r="K3" s="31">
        <v>2</v>
      </c>
      <c r="L3" s="2"/>
      <c r="M3" s="226">
        <v>0</v>
      </c>
      <c r="N3" s="226">
        <v>0</v>
      </c>
      <c r="O3" s="226">
        <v>0</v>
      </c>
      <c r="P3" s="226">
        <v>0</v>
      </c>
      <c r="Q3" s="226">
        <v>0</v>
      </c>
      <c r="R3" s="226"/>
      <c r="S3" s="226">
        <v>0</v>
      </c>
      <c r="T3" s="226">
        <v>0</v>
      </c>
      <c r="U3" s="226">
        <v>0</v>
      </c>
      <c r="V3" s="226">
        <v>0</v>
      </c>
      <c r="W3" s="226">
        <v>0</v>
      </c>
      <c r="X3" s="2"/>
      <c r="Y3" s="2"/>
      <c r="Z3" s="2"/>
      <c r="AA3" s="2"/>
      <c r="AB3" s="2"/>
      <c r="AC3" s="2"/>
      <c r="AD3" s="2"/>
      <c r="AE3" s="2"/>
    </row>
    <row r="4" spans="1:31" ht="12.75" customHeight="1">
      <c r="A4" s="32" t="s">
        <v>927</v>
      </c>
      <c r="B4" s="32" t="s">
        <v>928</v>
      </c>
      <c r="C4" s="32">
        <v>7</v>
      </c>
      <c r="D4" s="32">
        <v>1</v>
      </c>
      <c r="E4" s="32" t="s">
        <v>929</v>
      </c>
      <c r="F4" s="32" t="s">
        <v>305</v>
      </c>
      <c r="G4" s="32" t="s">
        <v>930</v>
      </c>
      <c r="H4" s="33" t="str">
        <f>IF(Roster!$J$24="English",S4,(IF(Roster!$J$24="Español",T4,(IF(Roster!$J$24="Deutsch",U4,(IF(Roster!$J$24="Français",V4)))))))</f>
        <v>Claws, Dauntless, Dodge, Frenzy, Jump Up, Loner (4+), No Hands, Sidestep, Stunty, Titchy</v>
      </c>
      <c r="I4" s="33" t="str">
        <f>IF(Roster!$J$24="English",M4,(IF(Roster!$J$24="Español",N4,(IF(Roster!$J$24="Deutsch",O4,(IF(Roster!$J$24="Français",P4)))))))</f>
        <v>Blind Rage: Akhorne may choose to re-roll the D6 when rolling for the Dauntless skill</v>
      </c>
      <c r="J4" s="31">
        <v>80000</v>
      </c>
      <c r="K4" s="31">
        <v>1</v>
      </c>
      <c r="L4" s="2"/>
      <c r="M4" s="226" t="s">
        <v>931</v>
      </c>
      <c r="N4" s="226" t="s">
        <v>932</v>
      </c>
      <c r="O4" s="226" t="s">
        <v>933</v>
      </c>
      <c r="P4" s="226" t="s">
        <v>934</v>
      </c>
      <c r="Q4" s="226"/>
      <c r="R4" s="226"/>
      <c r="S4" s="226" t="s">
        <v>935</v>
      </c>
      <c r="T4" s="226" t="s">
        <v>936</v>
      </c>
      <c r="U4" s="226" t="s">
        <v>937</v>
      </c>
      <c r="V4" s="226" t="s">
        <v>938</v>
      </c>
      <c r="W4" s="226"/>
      <c r="X4" s="2"/>
      <c r="Y4" s="2"/>
      <c r="Z4" s="2"/>
      <c r="AA4" s="2"/>
      <c r="AB4" s="2"/>
      <c r="AC4" s="2"/>
      <c r="AD4" s="2"/>
      <c r="AE4" s="2"/>
    </row>
    <row r="5" spans="1:31" ht="12.75" customHeight="1">
      <c r="A5" s="32" t="s">
        <v>939</v>
      </c>
      <c r="B5" s="32" t="s">
        <v>940</v>
      </c>
      <c r="C5" s="32">
        <v>6</v>
      </c>
      <c r="D5" s="32">
        <v>3</v>
      </c>
      <c r="E5" s="32" t="s">
        <v>941</v>
      </c>
      <c r="F5" s="32" t="s">
        <v>305</v>
      </c>
      <c r="G5" s="32" t="s">
        <v>942</v>
      </c>
      <c r="H5" s="33" t="str">
        <f>IF(Roster!$J$24="English",S5,(IF(Roster!$J$24="Español",T5,(IF(Roster!$J$24="Deutsch",U5,(IF(Roster!$J$24="Français",V5)))))))</f>
        <v>Chainsaw, Loner (4+), Pro, Secret Weapon, Stand Firm</v>
      </c>
      <c r="I5" s="33" t="str">
        <f>IF(Roster!$J$24="English",M5,(IF(Roster!$J$24="Español",N5,(IF(Roster!$J$24="Deutsch",O5,(IF(Roster!$J$24="Français",P5)))))))</f>
        <v>Old Pro: Once per game, Helmut may use his Pro skill to re-roll a single dice rolled as part of an Armour roll</v>
      </c>
      <c r="J5" s="31">
        <v>140000</v>
      </c>
      <c r="K5" s="31">
        <v>1</v>
      </c>
      <c r="L5" s="2"/>
      <c r="M5" s="226" t="s">
        <v>943</v>
      </c>
      <c r="N5" s="226" t="s">
        <v>944</v>
      </c>
      <c r="O5" s="226" t="s">
        <v>945</v>
      </c>
      <c r="P5" s="226" t="s">
        <v>946</v>
      </c>
      <c r="Q5" s="226"/>
      <c r="R5" s="226"/>
      <c r="S5" s="226" t="s">
        <v>947</v>
      </c>
      <c r="T5" s="226" t="s">
        <v>948</v>
      </c>
      <c r="U5" s="226" t="s">
        <v>949</v>
      </c>
      <c r="V5" s="226" t="s">
        <v>950</v>
      </c>
      <c r="W5" s="226"/>
      <c r="X5" s="2"/>
      <c r="Y5" s="2"/>
      <c r="Z5" s="2"/>
      <c r="AA5" s="2"/>
      <c r="AB5" s="2"/>
      <c r="AC5" s="2"/>
      <c r="AD5" s="2"/>
      <c r="AE5" s="2"/>
    </row>
    <row r="6" spans="1:31" ht="12.75" customHeight="1">
      <c r="A6" s="32" t="s">
        <v>951</v>
      </c>
      <c r="B6" s="32" t="s">
        <v>952</v>
      </c>
      <c r="C6" s="32">
        <v>6</v>
      </c>
      <c r="D6" s="32">
        <v>2</v>
      </c>
      <c r="E6" s="32" t="s">
        <v>941</v>
      </c>
      <c r="F6" s="32" t="s">
        <v>941</v>
      </c>
      <c r="G6" s="32" t="s">
        <v>942</v>
      </c>
      <c r="H6" s="33" t="str">
        <f>IF(Roster!$J$24="English",S6,(IF(Roster!$J$24="Español",T6,(IF(Roster!$J$24="Deutsch",U6,(IF(Roster!$J$24="Français",V6)))))))</f>
        <v>Bombardier, Disturbing Presence, Dodge, Loner (3+), Side Step, Sneaky Git, Stab, Stunty</v>
      </c>
      <c r="I6" s="33" t="str">
        <f>IF(Roster!$J$24="English",M6,(IF(Roster!$J$24="Español",N6,(IF(Roster!$J$24="Deutsch",O6,(IF(Roster!$J$24="Français",P6)))))))</f>
        <v>Sneakiest of the Lot: If your team includes the Black Gobbo, you may commit two Foul actions per team turn, provided one of your Foul actions is committed by the Black Gobbo himself</v>
      </c>
      <c r="J6" s="31">
        <v>225000</v>
      </c>
      <c r="K6" s="31">
        <v>1</v>
      </c>
      <c r="L6" s="2"/>
      <c r="M6" s="226" t="s">
        <v>953</v>
      </c>
      <c r="N6" s="226" t="s">
        <v>954</v>
      </c>
      <c r="O6" s="226" t="s">
        <v>955</v>
      </c>
      <c r="P6" s="226" t="s">
        <v>956</v>
      </c>
      <c r="Q6" s="226"/>
      <c r="R6" s="226"/>
      <c r="S6" s="226" t="s">
        <v>957</v>
      </c>
      <c r="T6" s="226" t="s">
        <v>958</v>
      </c>
      <c r="U6" s="226" t="s">
        <v>959</v>
      </c>
      <c r="V6" s="226" t="s">
        <v>960</v>
      </c>
      <c r="W6" s="226"/>
      <c r="X6" s="2"/>
      <c r="Y6" s="2"/>
      <c r="Z6" s="2"/>
      <c r="AA6" s="2"/>
      <c r="AB6" s="2"/>
      <c r="AC6" s="2"/>
      <c r="AD6" s="2"/>
      <c r="AE6" s="2"/>
    </row>
    <row r="7" spans="1:31" ht="12.75" customHeight="1">
      <c r="A7" s="32" t="s">
        <v>961</v>
      </c>
      <c r="B7" s="32" t="s">
        <v>962</v>
      </c>
      <c r="C7" s="32">
        <v>5</v>
      </c>
      <c r="D7" s="32">
        <v>5</v>
      </c>
      <c r="E7" s="32" t="s">
        <v>963</v>
      </c>
      <c r="F7" s="32" t="s">
        <v>963</v>
      </c>
      <c r="G7" s="32" t="s">
        <v>964</v>
      </c>
      <c r="H7" s="33" t="str">
        <f>IF(Roster!$J$24="English",S7,(IF(Roster!$J$24="Español",T7,(IF(Roster!$J$24="Deutsch",U7,(IF(Roster!$J$24="Français",V7)))))))</f>
        <v>Bone Head, Kick Team-mate, Loner (4+), Mighty Blow (+1), Thick Skull</v>
      </c>
      <c r="I7" s="33" t="str">
        <f>IF(Roster!$J$24="English",M7,(IF(Roster!$J$24="Español",N7,(IF(Roster!$J$24="Deutsch",O7,(IF(Roster!$J$24="Français",P7)))))))</f>
        <v>Two for One: Grak and Crumbleberry must be hired as a pair and count as two Star Players. However, if either Grak or Crumbleberry is removed from play due to suffering a KO’d or Casualty! result on the Injury table, the other replaces the Loner (4+) trait with the Loner (2+) trait</v>
      </c>
      <c r="J7" s="31">
        <v>250000</v>
      </c>
      <c r="K7" s="31">
        <v>1</v>
      </c>
      <c r="L7" s="2"/>
      <c r="M7" s="226" t="s">
        <v>965</v>
      </c>
      <c r="N7" s="226" t="s">
        <v>966</v>
      </c>
      <c r="O7" s="226" t="s">
        <v>967</v>
      </c>
      <c r="P7" s="226" t="s">
        <v>968</v>
      </c>
      <c r="Q7" s="226"/>
      <c r="R7" s="226"/>
      <c r="S7" s="226" t="s">
        <v>969</v>
      </c>
      <c r="T7" s="226" t="s">
        <v>970</v>
      </c>
      <c r="U7" s="226" t="s">
        <v>971</v>
      </c>
      <c r="V7" s="226" t="s">
        <v>972</v>
      </c>
      <c r="W7" s="226"/>
      <c r="X7" s="2"/>
      <c r="Y7" s="2"/>
      <c r="Z7" s="2"/>
      <c r="AA7" s="2"/>
      <c r="AB7" s="2"/>
      <c r="AC7" s="2"/>
      <c r="AD7" s="2"/>
      <c r="AE7" s="2"/>
    </row>
    <row r="8" spans="1:31" ht="12.75" customHeight="1">
      <c r="A8" s="32" t="s">
        <v>973</v>
      </c>
      <c r="B8" s="32" t="s">
        <v>974</v>
      </c>
      <c r="C8" s="32">
        <v>5</v>
      </c>
      <c r="D8" s="32">
        <v>2</v>
      </c>
      <c r="E8" s="32" t="s">
        <v>941</v>
      </c>
      <c r="F8" s="32" t="s">
        <v>930</v>
      </c>
      <c r="G8" s="32" t="s">
        <v>975</v>
      </c>
      <c r="H8" s="33" t="str">
        <f>IF(Roster!$J$24="English",S8,(IF(Roster!$J$24="Español",T8,(IF(Roster!$J$24="Deutsch",U8,(IF(Roster!$J$24="Français",V8)))))))</f>
        <v>Dodge, Loner (4+), Right Stuff, Stunty, Sure Hands</v>
      </c>
      <c r="I8" s="33" t="str">
        <f>IF(Roster!$J$24="English",M8,(IF(Roster!$J$24="Español",N8,(IF(Roster!$J$24="Deutsch",O8,(IF(Roster!$J$24="Français",P8)))))))</f>
        <v>Two for One: Grak and Crumbleberry must be hired as a pair and count as two Star Players. However, if either Grak or Crumbleberry is removed from play due to suffering a KO’d or Casualty! result on the Injury table, the other replaces the Loner (4+) trait with the Loner (2+) trait</v>
      </c>
      <c r="J8" s="31">
        <v>0</v>
      </c>
      <c r="K8" s="31">
        <v>1</v>
      </c>
      <c r="L8" s="2"/>
      <c r="M8" s="226" t="s">
        <v>965</v>
      </c>
      <c r="N8" s="226" t="s">
        <v>966</v>
      </c>
      <c r="O8" s="226" t="s">
        <v>967</v>
      </c>
      <c r="P8" s="226" t="s">
        <v>968</v>
      </c>
      <c r="Q8" s="226"/>
      <c r="R8" s="226"/>
      <c r="S8" s="226" t="s">
        <v>976</v>
      </c>
      <c r="T8" s="226" t="s">
        <v>977</v>
      </c>
      <c r="U8" s="226" t="s">
        <v>978</v>
      </c>
      <c r="V8" s="226" t="s">
        <v>979</v>
      </c>
      <c r="W8" s="226"/>
      <c r="X8" s="2"/>
      <c r="Y8" s="2"/>
      <c r="Z8" s="2"/>
      <c r="AA8" s="2"/>
      <c r="AB8" s="2"/>
      <c r="AC8" s="2"/>
      <c r="AD8" s="2"/>
      <c r="AE8" s="2"/>
    </row>
    <row r="9" spans="1:31" ht="12.75" customHeight="1">
      <c r="A9" s="32" t="s">
        <v>980</v>
      </c>
      <c r="B9" s="32" t="s">
        <v>981</v>
      </c>
      <c r="C9" s="32">
        <v>6</v>
      </c>
      <c r="D9" s="32">
        <v>5</v>
      </c>
      <c r="E9" s="32" t="s">
        <v>941</v>
      </c>
      <c r="F9" s="32" t="s">
        <v>982</v>
      </c>
      <c r="G9" s="32" t="s">
        <v>964</v>
      </c>
      <c r="H9" s="33" t="str">
        <f>IF(Roster!$J$24="English",S9,(IF(Roster!$J$24="Español",T9,(IF(Roster!$J$24="Deutsch",U9,(IF(Roster!$J$24="Français",V9)))))))</f>
        <v>Block, Jump Up, Loner (4+), Mighty Blow (+1), Thick Skull</v>
      </c>
      <c r="I9" s="33" t="str">
        <f>IF(Roster!$J$24="English",M9,(IF(Roster!$J$24="Español",N9,(IF(Roster!$J$24="Deutsch",O9,(IF(Roster!$J$24="Français",P9)))))))</f>
        <v>Crushing Blow: Once per game, when an opposition player is Knocked Down as the result of a Block action performed by Varag, you may apply an additional +1 modifier to the Armour roll. This modifier may be applied after the roll has been made</v>
      </c>
      <c r="J9" s="31">
        <v>280000</v>
      </c>
      <c r="K9" s="31">
        <v>1</v>
      </c>
      <c r="L9" s="2"/>
      <c r="M9" s="226" t="s">
        <v>983</v>
      </c>
      <c r="N9" s="226" t="s">
        <v>984</v>
      </c>
      <c r="O9" s="226" t="s">
        <v>985</v>
      </c>
      <c r="P9" s="226" t="s">
        <v>986</v>
      </c>
      <c r="Q9" s="226"/>
      <c r="R9" s="226"/>
      <c r="S9" s="226" t="s">
        <v>987</v>
      </c>
      <c r="T9" s="226" t="s">
        <v>988</v>
      </c>
      <c r="U9" s="226" t="s">
        <v>989</v>
      </c>
      <c r="V9" s="226" t="s">
        <v>990</v>
      </c>
      <c r="W9" s="226"/>
      <c r="X9" s="2"/>
      <c r="Y9" s="2"/>
      <c r="Z9" s="2"/>
      <c r="AA9" s="2"/>
      <c r="AB9" s="2"/>
      <c r="AC9" s="2"/>
      <c r="AD9" s="2"/>
      <c r="AE9" s="2"/>
    </row>
    <row r="10" spans="1:31" ht="12.75" customHeight="1">
      <c r="A10" s="32" t="s">
        <v>991</v>
      </c>
      <c r="B10" s="32" t="s">
        <v>992</v>
      </c>
      <c r="C10" s="32">
        <v>6</v>
      </c>
      <c r="D10" s="32">
        <v>6</v>
      </c>
      <c r="E10" s="32" t="s">
        <v>941</v>
      </c>
      <c r="F10" s="32" t="s">
        <v>963</v>
      </c>
      <c r="G10" s="32" t="s">
        <v>993</v>
      </c>
      <c r="H10" s="33" t="str">
        <f>IF(Roster!$J$24="English",S10,(IF(Roster!$J$24="Español",T10,(IF(Roster!$J$24="Deutsch",U10,(IF(Roster!$J$24="Français",V10)))))))</f>
        <v>Block, Loner (4+), Mighty Blow (+2), Thick Skull, Throw Team-mate</v>
      </c>
      <c r="I10" s="33" t="str">
        <f>IF(Roster!$J$24="English",M10,(IF(Roster!$J$24="Español",N10,(IF(Roster!$J$24="Deutsch",O10,(IF(Roster!$J$24="Français",P10)))))))</f>
        <v>The Ballista: Once per game, if Morg fails the Passing Ability test when making a Pass action or a Throw Team-mate action, you may re-roll the D6</v>
      </c>
      <c r="J10" s="31">
        <v>340000</v>
      </c>
      <c r="K10" s="31">
        <v>1</v>
      </c>
      <c r="L10" s="2"/>
      <c r="M10" s="226" t="s">
        <v>994</v>
      </c>
      <c r="N10" s="226" t="s">
        <v>995</v>
      </c>
      <c r="O10" s="226" t="s">
        <v>996</v>
      </c>
      <c r="P10" s="226" t="s">
        <v>997</v>
      </c>
      <c r="Q10" s="226"/>
      <c r="R10" s="226"/>
      <c r="S10" s="226" t="s">
        <v>998</v>
      </c>
      <c r="T10" s="226" t="s">
        <v>999</v>
      </c>
      <c r="U10" s="226" t="s">
        <v>1000</v>
      </c>
      <c r="V10" s="226" t="s">
        <v>1001</v>
      </c>
      <c r="W10" s="226"/>
      <c r="X10" s="2"/>
      <c r="Y10" s="2"/>
      <c r="Z10" s="2"/>
      <c r="AA10" s="2"/>
      <c r="AB10" s="2"/>
      <c r="AC10" s="2"/>
      <c r="AD10" s="2"/>
      <c r="AE10" s="2"/>
    </row>
    <row r="11" spans="1:31" ht="12.75" customHeight="1">
      <c r="A11" s="32" t="s">
        <v>1002</v>
      </c>
      <c r="B11" s="32" t="s">
        <v>1003</v>
      </c>
      <c r="C11" s="32">
        <v>9</v>
      </c>
      <c r="D11" s="32">
        <v>3</v>
      </c>
      <c r="E11" s="32" t="s">
        <v>929</v>
      </c>
      <c r="F11" s="32" t="s">
        <v>941</v>
      </c>
      <c r="G11" s="32" t="s">
        <v>1004</v>
      </c>
      <c r="H11" s="33" t="str">
        <f>IF(Roster!$J$24="English",S11,(IF(Roster!$J$24="Español",T11,(IF(Roster!$J$24="Deutsch",U11,(IF(Roster!$J$24="Français",V11)))))))</f>
        <v>Dodge, Extra Arms, Loner (4+), Prehensile Tail, Two Heads</v>
      </c>
      <c r="I11" s="33" t="str">
        <f>IF(Roster!$J$24="English",M11,(IF(Roster!$J$24="Español",N11,(IF(Roster!$J$24="Deutsch",O11,(IF(Roster!$J$24="Français",P11)))))))</f>
        <v>Treacherous: Once per game, if a team-mate in an adjacent square to Hakflem is in possession of the ball when Hakflem is activated, that player may immediately be Knocked Down and Hakflem may take possession of the ball. No Turnover is caused as a result of using this special rule</v>
      </c>
      <c r="J11" s="31">
        <v>180000</v>
      </c>
      <c r="K11" s="31">
        <v>1</v>
      </c>
      <c r="L11" s="2"/>
      <c r="M11" s="226" t="s">
        <v>1005</v>
      </c>
      <c r="N11" s="226" t="s">
        <v>1006</v>
      </c>
      <c r="O11" s="226" t="s">
        <v>1007</v>
      </c>
      <c r="P11" s="226" t="s">
        <v>1008</v>
      </c>
      <c r="Q11" s="226"/>
      <c r="R11" s="226"/>
      <c r="S11" s="226" t="s">
        <v>1009</v>
      </c>
      <c r="T11" s="226" t="s">
        <v>1010</v>
      </c>
      <c r="U11" s="226" t="s">
        <v>1011</v>
      </c>
      <c r="V11" s="226" t="s">
        <v>1012</v>
      </c>
      <c r="W11" s="226"/>
      <c r="X11" s="2"/>
      <c r="Y11" s="2"/>
      <c r="Z11" s="2"/>
      <c r="AA11" s="2"/>
      <c r="AB11" s="2"/>
      <c r="AC11" s="2"/>
      <c r="AD11" s="2"/>
      <c r="AE11" s="2"/>
    </row>
    <row r="12" spans="1:31" ht="12.75" customHeight="1">
      <c r="A12" s="32" t="s">
        <v>1013</v>
      </c>
      <c r="B12" s="32" t="s">
        <v>1014</v>
      </c>
      <c r="C12" s="32">
        <v>5</v>
      </c>
      <c r="D12" s="32">
        <v>4</v>
      </c>
      <c r="E12" s="32" t="s">
        <v>963</v>
      </c>
      <c r="F12" s="32" t="s">
        <v>305</v>
      </c>
      <c r="G12" s="32" t="s">
        <v>942</v>
      </c>
      <c r="H12" s="33" t="str">
        <f>IF(Roster!$J$24="English",S12,(IF(Roster!$J$24="Español",T12,(IF(Roster!$J$24="Deutsch",U12,(IF(Roster!$J$24="Français",V12)))))))</f>
        <v>Block, Claw, Grab, Juggernaut, Loner (4+), Stand Firm</v>
      </c>
      <c r="I12" s="33" t="str">
        <f>IF(Roster!$J$24="English",M12,(IF(Roster!$J$24="Español",N12,(IF(Roster!$J$24="Deutsch",O12,(IF(Roster!$J$24="Français",P12)))))))</f>
        <v>Frenzied Rush: Once per game, when Glart performs a Blitz action, he may gain the Frenzy skill. You must declare this special rule is being used when Glart is activated. Glart may not use the Grab skill during a turn in which he uses this special rule</v>
      </c>
      <c r="J12" s="31">
        <v>195000</v>
      </c>
      <c r="K12" s="31">
        <v>1</v>
      </c>
      <c r="L12" s="2"/>
      <c r="M12" s="226" t="s">
        <v>1015</v>
      </c>
      <c r="N12" s="226" t="s">
        <v>1016</v>
      </c>
      <c r="O12" s="226" t="s">
        <v>1017</v>
      </c>
      <c r="P12" s="226" t="s">
        <v>1018</v>
      </c>
      <c r="Q12" s="226"/>
      <c r="R12" s="226"/>
      <c r="S12" s="226" t="s">
        <v>1019</v>
      </c>
      <c r="T12" s="226" t="s">
        <v>1020</v>
      </c>
      <c r="U12" s="226" t="s">
        <v>1021</v>
      </c>
      <c r="V12" s="226" t="s">
        <v>1022</v>
      </c>
      <c r="W12" s="226"/>
      <c r="X12" s="2"/>
      <c r="Y12" s="2"/>
      <c r="Z12" s="2"/>
      <c r="AA12" s="2"/>
      <c r="AB12" s="2"/>
      <c r="AC12" s="2"/>
      <c r="AD12" s="2"/>
      <c r="AE12" s="2"/>
    </row>
    <row r="13" spans="1:31" ht="12.75" customHeight="1">
      <c r="A13" s="32" t="s">
        <v>1023</v>
      </c>
      <c r="B13" s="32" t="s">
        <v>1024</v>
      </c>
      <c r="C13" s="32">
        <v>6</v>
      </c>
      <c r="D13" s="32">
        <v>3</v>
      </c>
      <c r="E13" s="32" t="s">
        <v>941</v>
      </c>
      <c r="F13" s="32" t="s">
        <v>305</v>
      </c>
      <c r="G13" s="32" t="s">
        <v>1004</v>
      </c>
      <c r="H13" s="33" t="str">
        <f>IF(Roster!$J$24="English",S13,(IF(Roster!$J$24="Español",T13,(IF(Roster!$J$24="Deutsch",U13,(IF(Roster!$J$24="Français",V13)))))))</f>
        <v>Block, Horns, Juggernaut, Loner (4+), No Hands, Tackle, Thick Skull</v>
      </c>
      <c r="I13" s="33" t="str">
        <f>IF(Roster!$J$24="English",M13,(IF(Roster!$J$24="Español",N13,(IF(Roster!$J$24="Deutsch",O13,(IF(Roster!$J$24="Français",P13)))))))</f>
        <v>Ram: Once per game, when an opposition player is Knocked Down as the result of a Block action performed by Rumbelow, you may apply an additional +1 modifier to either the Armour roll or Injury roll. This modifier may be applied after the roll has been made.</v>
      </c>
      <c r="J13" s="31">
        <v>170000</v>
      </c>
      <c r="K13" s="31">
        <v>1</v>
      </c>
      <c r="L13" s="2"/>
      <c r="M13" s="226" t="s">
        <v>1025</v>
      </c>
      <c r="N13" s="226" t="s">
        <v>1026</v>
      </c>
      <c r="O13" s="226" t="s">
        <v>1027</v>
      </c>
      <c r="P13" s="226" t="s">
        <v>1028</v>
      </c>
      <c r="Q13" s="226"/>
      <c r="R13" s="226"/>
      <c r="S13" s="226" t="s">
        <v>1029</v>
      </c>
      <c r="T13" s="226" t="s">
        <v>1030</v>
      </c>
      <c r="U13" s="226" t="s">
        <v>1031</v>
      </c>
      <c r="V13" s="226" t="s">
        <v>1032</v>
      </c>
      <c r="W13" s="226"/>
      <c r="X13" s="2"/>
      <c r="Y13" s="2"/>
      <c r="Z13" s="2"/>
      <c r="AA13" s="2"/>
      <c r="AB13" s="2"/>
      <c r="AC13" s="2"/>
      <c r="AD13" s="2"/>
      <c r="AE13" s="2"/>
    </row>
    <row r="14" spans="1:31" ht="12.75" customHeight="1">
      <c r="A14" s="32" t="s">
        <v>1033</v>
      </c>
      <c r="B14" s="32" t="s">
        <v>1034</v>
      </c>
      <c r="C14" s="32">
        <v>5</v>
      </c>
      <c r="D14" s="32">
        <v>4</v>
      </c>
      <c r="E14" s="32" t="s">
        <v>941</v>
      </c>
      <c r="F14" s="32" t="s">
        <v>305</v>
      </c>
      <c r="G14" s="32" t="s">
        <v>942</v>
      </c>
      <c r="H14" s="33" t="str">
        <f>IF(Roster!$J$24="English",S14,(IF(Roster!$J$24="Español",T14,(IF(Roster!$J$24="Deutsch",U14,(IF(Roster!$J$24="Français",V14)))))))</f>
        <v>Block, Dauntless, Frenzy, Loner (4+), Multiple Block, Thick Skull</v>
      </c>
      <c r="I14" s="33" t="str">
        <f>IF(Roster!$J$24="English",M14,(IF(Roster!$J$24="Español",N14,(IF(Roster!$J$24="Deutsch",O14,(IF(Roster!$J$24="Français",P14)))))))</f>
        <v>Slayer: Once per game, when an opposition player with a Strength characteristic of 5 or more is Knocked Down as the result of a Block action performed by Grim, you may apply an additional +1 modifier to either the Armour roll or Injury roll. This modifier may be applied after the roll has been made.</v>
      </c>
      <c r="J14" s="31">
        <v>200000</v>
      </c>
      <c r="K14" s="31">
        <v>1</v>
      </c>
      <c r="L14" s="2"/>
      <c r="M14" s="226" t="s">
        <v>1035</v>
      </c>
      <c r="N14" s="226" t="s">
        <v>1036</v>
      </c>
      <c r="O14" s="226" t="s">
        <v>1037</v>
      </c>
      <c r="P14" s="226" t="s">
        <v>1038</v>
      </c>
      <c r="Q14" s="226"/>
      <c r="R14" s="226"/>
      <c r="S14" s="226" t="s">
        <v>1039</v>
      </c>
      <c r="T14" s="226" t="s">
        <v>1040</v>
      </c>
      <c r="U14" s="226" t="s">
        <v>1041</v>
      </c>
      <c r="V14" s="226" t="s">
        <v>1042</v>
      </c>
      <c r="W14" s="226"/>
      <c r="X14" s="2"/>
      <c r="Y14" s="2"/>
      <c r="Z14" s="2"/>
      <c r="AA14" s="2"/>
      <c r="AB14" s="2"/>
      <c r="AC14" s="2"/>
      <c r="AD14" s="2"/>
      <c r="AE14" s="2"/>
    </row>
    <row r="15" spans="1:31" ht="12.75" customHeight="1">
      <c r="A15" s="32" t="s">
        <v>1043</v>
      </c>
      <c r="B15" s="32" t="s">
        <v>1044</v>
      </c>
      <c r="C15" s="32">
        <v>5</v>
      </c>
      <c r="D15" s="32">
        <v>3</v>
      </c>
      <c r="E15" s="32" t="s">
        <v>941</v>
      </c>
      <c r="F15" s="32" t="s">
        <v>963</v>
      </c>
      <c r="G15" s="32" t="s">
        <v>964</v>
      </c>
      <c r="H15" s="33" t="str">
        <f>IF(Roster!$J$24="English",S15,(IF(Roster!$J$24="Español",T15,(IF(Roster!$J$24="Deutsch",U15,(IF(Roster!$J$24="Français",V15)))))))</f>
        <v>Block, Dauntless, Loner (4+), Mighty Blow (+1), Stand Firm, Thick Skull</v>
      </c>
      <c r="I15" s="33" t="str">
        <f>IF(Roster!$J$24="English",M15,(IF(Roster!$J$24="Español",N15,(IF(Roster!$J$24="Deutsch",O15,(IF(Roster!$J$24="Français",P15)))))))</f>
        <v>Wisdom of the White Dwarf: Once per team turn, when one of Grombrindal’s team-mates that is in an adjacent square is activated, that player gains either the Break Tackle, Dauntless, Mighty Blow (+1) or Sure Feet skill until the end of their activation</v>
      </c>
      <c r="J15" s="31">
        <v>210000</v>
      </c>
      <c r="K15" s="31">
        <v>1</v>
      </c>
      <c r="L15" s="2"/>
      <c r="M15" s="226" t="s">
        <v>1045</v>
      </c>
      <c r="N15" s="226" t="s">
        <v>1046</v>
      </c>
      <c r="O15" s="226" t="s">
        <v>1047</v>
      </c>
      <c r="P15" s="226" t="s">
        <v>1048</v>
      </c>
      <c r="Q15" s="226"/>
      <c r="R15" s="226"/>
      <c r="S15" s="226" t="s">
        <v>1049</v>
      </c>
      <c r="T15" s="226" t="s">
        <v>1050</v>
      </c>
      <c r="U15" s="226" t="s">
        <v>1051</v>
      </c>
      <c r="V15" s="226" t="s">
        <v>1052</v>
      </c>
      <c r="W15" s="226"/>
      <c r="X15" s="2"/>
      <c r="Y15" s="2"/>
      <c r="Z15" s="2"/>
      <c r="AA15" s="2"/>
      <c r="AB15" s="2"/>
      <c r="AC15" s="2"/>
      <c r="AD15" s="2"/>
      <c r="AE15" s="2"/>
    </row>
    <row r="16" spans="1:31" ht="12.75" customHeight="1">
      <c r="A16" s="32" t="s">
        <v>1053</v>
      </c>
      <c r="B16" s="32" t="s">
        <v>1054</v>
      </c>
      <c r="C16" s="32">
        <v>6</v>
      </c>
      <c r="D16" s="32">
        <v>4</v>
      </c>
      <c r="E16" s="32" t="s">
        <v>941</v>
      </c>
      <c r="F16" s="32" t="s">
        <v>963</v>
      </c>
      <c r="G16" s="32" t="s">
        <v>942</v>
      </c>
      <c r="H16" s="33" t="str">
        <f>IF(Roster!$J$24="English",S16,(IF(Roster!$J$24="Español",T16,(IF(Roster!$J$24="Deutsch",U16,(IF(Roster!$J$24="Français",V16)))))))</f>
        <v>Block, Dauntless, Dodge, Jump Up, Loner (4+)</v>
      </c>
      <c r="I16" s="33" t="str">
        <f>IF(Roster!$J$24="English",M16,(IF(Roster!$J$24="Español",N16,(IF(Roster!$J$24="Deutsch",O16,(IF(Roster!$J$24="Français",P16)))))))</f>
        <v>Indomitable: Once per game, when Karla successfully rolls to use her Dauntless skill, she may increase her Strength characteristic to double that of the nominated target of her Block action</v>
      </c>
      <c r="J16" s="31">
        <v>210000</v>
      </c>
      <c r="K16" s="31">
        <v>1</v>
      </c>
      <c r="L16" s="2"/>
      <c r="M16" s="226" t="s">
        <v>1055</v>
      </c>
      <c r="N16" s="226" t="s">
        <v>1056</v>
      </c>
      <c r="O16" s="226" t="s">
        <v>1057</v>
      </c>
      <c r="P16" s="226" t="s">
        <v>1058</v>
      </c>
      <c r="Q16" s="226"/>
      <c r="R16" s="226"/>
      <c r="S16" s="226" t="s">
        <v>1059</v>
      </c>
      <c r="T16" s="226" t="s">
        <v>1060</v>
      </c>
      <c r="U16" s="226" t="s">
        <v>1061</v>
      </c>
      <c r="V16" s="226" t="s">
        <v>1062</v>
      </c>
      <c r="W16" s="226"/>
      <c r="X16" s="2"/>
      <c r="Y16" s="2"/>
      <c r="Z16" s="2"/>
      <c r="AA16" s="2"/>
      <c r="AB16" s="2"/>
      <c r="AC16" s="2"/>
      <c r="AD16" s="2"/>
      <c r="AE16" s="2"/>
    </row>
    <row r="17" spans="1:31" ht="12.75" customHeight="1">
      <c r="A17" s="32" t="s">
        <v>1063</v>
      </c>
      <c r="B17" s="32" t="s">
        <v>1064</v>
      </c>
      <c r="C17" s="32">
        <v>2</v>
      </c>
      <c r="D17" s="32">
        <v>7</v>
      </c>
      <c r="E17" s="32" t="s">
        <v>982</v>
      </c>
      <c r="F17" s="32" t="s">
        <v>963</v>
      </c>
      <c r="G17" s="32" t="s">
        <v>993</v>
      </c>
      <c r="H17" s="33" t="str">
        <f>IF(Roster!$J$24="English",S17,(IF(Roster!$J$24="Español",T17,(IF(Roster!$J$24="Deutsch",U17,(IF(Roster!$J$24="Français",V17)))))))</f>
        <v>Block, Loner (4+), Mighty Blow (+2), Stand Firm, Strong Arm, Thick Skull, Throw Team-mate, Timmm-ber!</v>
      </c>
      <c r="I17" s="33" t="str">
        <f>IF(Roster!$J$24="English",M17,(IF(Roster!$J$24="Español",N17,(IF(Roster!$J$24="Deutsch",O17,(IF(Roster!$J$24="Français",P17)))))))</f>
        <v>Reliable: If Deeproot fumbles a Throw Team-mate action, the player that was to be thrown will bounce as normal but will automatically land safely</v>
      </c>
      <c r="J17" s="31">
        <v>280000</v>
      </c>
      <c r="K17" s="31">
        <v>1</v>
      </c>
      <c r="L17" s="2"/>
      <c r="M17" s="226" t="s">
        <v>1065</v>
      </c>
      <c r="N17" s="226" t="s">
        <v>1066</v>
      </c>
      <c r="O17" s="226" t="s">
        <v>1067</v>
      </c>
      <c r="P17" s="226" t="s">
        <v>1068</v>
      </c>
      <c r="Q17" s="226"/>
      <c r="R17" s="226"/>
      <c r="S17" s="226" t="s">
        <v>1069</v>
      </c>
      <c r="T17" s="226" t="s">
        <v>1070</v>
      </c>
      <c r="U17" s="226" t="s">
        <v>1071</v>
      </c>
      <c r="V17" s="226" t="s">
        <v>1072</v>
      </c>
      <c r="W17" s="226"/>
      <c r="X17" s="2"/>
      <c r="Y17" s="2"/>
      <c r="Z17" s="2"/>
      <c r="AA17" s="2"/>
      <c r="AB17" s="2"/>
      <c r="AC17" s="2"/>
      <c r="AD17" s="2"/>
      <c r="AE17" s="2"/>
    </row>
    <row r="18" spans="1:31" ht="12.75" customHeight="1">
      <c r="A18" s="32" t="s">
        <v>1073</v>
      </c>
      <c r="B18" s="32" t="s">
        <v>1074</v>
      </c>
      <c r="C18" s="32">
        <v>7</v>
      </c>
      <c r="D18" s="32">
        <v>4</v>
      </c>
      <c r="E18" s="32" t="s">
        <v>929</v>
      </c>
      <c r="F18" s="32" t="s">
        <v>941</v>
      </c>
      <c r="G18" s="32" t="s">
        <v>942</v>
      </c>
      <c r="H18" s="33" t="str">
        <f>IF(Roster!$J$24="English",S18,(IF(Roster!$J$24="Español",T18,(IF(Roster!$J$24="Deutsch",U18,(IF(Roster!$J$24="Français",V18)))))))</f>
        <v>Block, Dodge, Fend, Loner (3+), Sprint, Sure Feet</v>
      </c>
      <c r="I18" s="33" t="str">
        <f>IF(Roster!$J$24="English",M18,(IF(Roster!$J$24="Español",N18,(IF(Roster!$J$24="Deutsch",O18,(IF(Roster!$J$24="Français",P18)))))))</f>
        <v>Consummate Professional: Once per game, Griff may re-roll one dice that was rolled either as a single dice roll, as part of a multiple dice roll or as part of a dice pool (this cannot be a dice that was rolled as part of an Armour, Injury or Casualty roll)</v>
      </c>
      <c r="J18" s="31">
        <v>280000</v>
      </c>
      <c r="K18" s="31">
        <v>1</v>
      </c>
      <c r="L18" s="2"/>
      <c r="M18" s="226" t="s">
        <v>1075</v>
      </c>
      <c r="N18" s="226" t="s">
        <v>1076</v>
      </c>
      <c r="O18" s="226" t="s">
        <v>1077</v>
      </c>
      <c r="P18" s="226" t="s">
        <v>1078</v>
      </c>
      <c r="Q18" s="226"/>
      <c r="R18" s="226"/>
      <c r="S18" s="226" t="s">
        <v>1079</v>
      </c>
      <c r="T18" s="226" t="s">
        <v>1080</v>
      </c>
      <c r="U18" s="226" t="s">
        <v>1081</v>
      </c>
      <c r="V18" s="226" t="s">
        <v>1082</v>
      </c>
      <c r="W18" s="226"/>
      <c r="X18" s="2"/>
      <c r="Y18" s="2"/>
      <c r="Z18" s="2"/>
      <c r="AA18" s="2"/>
      <c r="AB18" s="2"/>
      <c r="AC18" s="2"/>
      <c r="AD18" s="2"/>
      <c r="AE18" s="2"/>
    </row>
    <row r="19" spans="1:31" ht="12.75" customHeight="1">
      <c r="A19" s="32" t="s">
        <v>1083</v>
      </c>
      <c r="B19" s="32" t="s">
        <v>1084</v>
      </c>
      <c r="C19" s="32">
        <v>4</v>
      </c>
      <c r="D19" s="32">
        <v>5</v>
      </c>
      <c r="E19" s="32" t="s">
        <v>963</v>
      </c>
      <c r="F19" s="32" t="s">
        <v>305</v>
      </c>
      <c r="G19" s="32" t="s">
        <v>964</v>
      </c>
      <c r="H19" s="33" t="str">
        <f>IF(Roster!$J$24="English",S19,(IF(Roster!$J$24="Español",T19,(IF(Roster!$J$24="Deutsch",U19,(IF(Roster!$J$24="Français",V19)))))))</f>
        <v>Break Tackle, Loner (4+), Mighty Blow (+1), Regeneration, Stand Firm, Thick Skull</v>
      </c>
      <c r="I19" s="33" t="str">
        <f>IF(Roster!$J$24="English",M19,(IF(Roster!$J$24="Español",N19,(IF(Roster!$J$24="Deutsch",O19,(IF(Roster!$J$24="Français",P19)))))))</f>
        <v>Brutal Block: Once per game, when Frank 'n' Stein makes an Injury roll against an opponent as a result of a Block action, he may choose to add an additional +1 modifierto the Injury roll. This modifier may be applied after the roll has been made.</v>
      </c>
      <c r="J19" s="31">
        <v>250000</v>
      </c>
      <c r="K19" s="31">
        <v>1</v>
      </c>
      <c r="L19" s="2"/>
      <c r="M19" s="226" t="s">
        <v>1085</v>
      </c>
      <c r="N19" s="226"/>
      <c r="O19" s="226" t="s">
        <v>1086</v>
      </c>
      <c r="P19" s="226" t="s">
        <v>1087</v>
      </c>
      <c r="Q19" s="226"/>
      <c r="R19" s="226"/>
      <c r="S19" s="226" t="s">
        <v>1088</v>
      </c>
      <c r="T19" s="226" t="s">
        <v>1089</v>
      </c>
      <c r="U19" s="226" t="s">
        <v>1090</v>
      </c>
      <c r="V19" s="226" t="s">
        <v>1091</v>
      </c>
      <c r="W19" s="226"/>
      <c r="X19" s="2"/>
      <c r="Y19" s="2"/>
      <c r="Z19" s="2"/>
      <c r="AA19" s="2"/>
      <c r="AB19" s="2"/>
      <c r="AC19" s="2"/>
      <c r="AD19" s="2"/>
      <c r="AE19" s="2"/>
    </row>
    <row r="20" spans="1:31" ht="12.75" customHeight="1">
      <c r="A20" s="32" t="s">
        <v>1092</v>
      </c>
      <c r="B20" s="32" t="s">
        <v>1093</v>
      </c>
      <c r="C20" s="32">
        <v>6</v>
      </c>
      <c r="D20" s="32">
        <v>3</v>
      </c>
      <c r="E20" s="32" t="s">
        <v>963</v>
      </c>
      <c r="F20" s="32" t="s">
        <v>963</v>
      </c>
      <c r="G20" s="32" t="s">
        <v>942</v>
      </c>
      <c r="H20" s="33" t="str">
        <f>IF(Roster!$J$24="English",S20,(IF(Roster!$J$24="Español",T20,(IF(Roster!$J$24="Deutsch",U20,(IF(Roster!$J$24="Français",V20)))))))</f>
        <v>Accurate, Loner (4+), Nerves of Steel, Pass, Regeneration, Sure Hands, Thick Skull</v>
      </c>
      <c r="I20" s="33" t="str">
        <f>IF(Roster!$J$24="English",M20,(IF(Roster!$J$24="Español",N20,(IF(Roster!$J$24="Deutsch",O20,(IF(Roster!$J$24="Français",P20)))))))</f>
        <v>Strong Passing Game: Once per game, after making a Passing Ability test to perform a Pass action, Skrull may choose to modify the dice roll by adding his Strength characteristic to it</v>
      </c>
      <c r="J20" s="31">
        <v>150000</v>
      </c>
      <c r="K20" s="31">
        <v>1</v>
      </c>
      <c r="L20" s="2"/>
      <c r="M20" s="226" t="s">
        <v>1094</v>
      </c>
      <c r="N20" s="226" t="s">
        <v>1095</v>
      </c>
      <c r="O20" s="226" t="s">
        <v>1096</v>
      </c>
      <c r="P20" s="226" t="s">
        <v>1097</v>
      </c>
      <c r="Q20" s="226"/>
      <c r="R20" s="226"/>
      <c r="S20" s="226" t="s">
        <v>1098</v>
      </c>
      <c r="T20" s="226" t="s">
        <v>1099</v>
      </c>
      <c r="U20" s="226" t="s">
        <v>1100</v>
      </c>
      <c r="V20" s="226" t="s">
        <v>1101</v>
      </c>
      <c r="W20" s="226"/>
      <c r="X20" s="2"/>
      <c r="Y20" s="2"/>
      <c r="Z20" s="2"/>
      <c r="AA20" s="2"/>
      <c r="AB20" s="2"/>
      <c r="AC20" s="2"/>
      <c r="AD20" s="2"/>
      <c r="AE20" s="2"/>
    </row>
    <row r="21" spans="1:31" ht="12.75" customHeight="1">
      <c r="A21" s="32" t="s">
        <v>1102</v>
      </c>
      <c r="B21" s="32" t="s">
        <v>1103</v>
      </c>
      <c r="C21" s="32">
        <v>7</v>
      </c>
      <c r="D21" s="32">
        <v>2</v>
      </c>
      <c r="E21" s="32" t="s">
        <v>929</v>
      </c>
      <c r="F21" s="32" t="s">
        <v>929</v>
      </c>
      <c r="G21" s="32" t="s">
        <v>1004</v>
      </c>
      <c r="H21" s="33" t="str">
        <f>IF(Roster!$J$24="English",S21,(IF(Roster!$J$24="Español",T21,(IF(Roster!$J$24="Deutsch",U21,(IF(Roster!$J$24="Français",V21)))))))</f>
        <v>Accurate, Dodge, Loner (3+), Pass, Side Step, Sure Hands</v>
      </c>
      <c r="I21" s="33" t="str">
        <f>IF(Roster!$J$24="English",M21,(IF(Roster!$J$24="Español",N21,(IF(Roster!$J$24="Deutsch",O21,(IF(Roster!$J$24="Français",P21)))))))</f>
        <v>Shot to Nothing: Once per game, when Gloriel performs a Pass action, she may gain the Hail Mary Pass skill. You must declare this special rule is being used when Gloriel is activated</v>
      </c>
      <c r="J21" s="31">
        <v>150000</v>
      </c>
      <c r="K21" s="31">
        <v>1</v>
      </c>
      <c r="L21" s="2"/>
      <c r="M21" s="226" t="s">
        <v>1104</v>
      </c>
      <c r="N21" s="226" t="s">
        <v>1105</v>
      </c>
      <c r="O21" s="226" t="s">
        <v>1106</v>
      </c>
      <c r="P21" s="226" t="s">
        <v>1107</v>
      </c>
      <c r="Q21" s="226"/>
      <c r="R21" s="226"/>
      <c r="S21" s="226" t="s">
        <v>1108</v>
      </c>
      <c r="T21" s="226" t="s">
        <v>1109</v>
      </c>
      <c r="U21" s="226" t="s">
        <v>1110</v>
      </c>
      <c r="V21" s="226" t="s">
        <v>1111</v>
      </c>
      <c r="W21" s="226"/>
      <c r="X21" s="2"/>
      <c r="Y21" s="2"/>
      <c r="Z21" s="2"/>
      <c r="AA21" s="2"/>
      <c r="AB21" s="2"/>
      <c r="AC21" s="2"/>
      <c r="AD21" s="2"/>
      <c r="AE21" s="2"/>
    </row>
    <row r="22" spans="1:31" ht="12.75" customHeight="1">
      <c r="A22" s="32" t="s">
        <v>1112</v>
      </c>
      <c r="B22" s="32" t="s">
        <v>1113</v>
      </c>
      <c r="C22" s="32">
        <v>5</v>
      </c>
      <c r="D22" s="32">
        <v>4</v>
      </c>
      <c r="E22" s="32" t="s">
        <v>941</v>
      </c>
      <c r="F22" s="32" t="s">
        <v>930</v>
      </c>
      <c r="G22" s="32" t="s">
        <v>942</v>
      </c>
      <c r="H22" s="33" t="str">
        <f>IF(Roster!$J$24="English",S22,(IF(Roster!$J$24="Español",T22,(IF(Roster!$J$24="Deutsch",U22,(IF(Roster!$J$24="Français",V22)))))))</f>
        <v>Dauntless, Loner (4+), Side Step, Thick Skull</v>
      </c>
      <c r="I22" s="33" t="str">
        <f>IF(Roster!$J$24="English",M22,(IF(Roster!$J$24="Español",N22,(IF(Roster!$J$24="Deutsch",O22,(IF(Roster!$J$24="Français",P22)))))))</f>
        <v>Indomitable: Once per game, when Willow successfully rolls to use her Dauntless skill, she may increase her Strength characteristic to double that of the nominated target of her Block action</v>
      </c>
      <c r="J22" s="31">
        <v>150000</v>
      </c>
      <c r="K22" s="31">
        <v>1</v>
      </c>
      <c r="L22" s="2"/>
      <c r="M22" s="226" t="s">
        <v>1114</v>
      </c>
      <c r="N22" s="226" t="s">
        <v>1115</v>
      </c>
      <c r="O22" s="226" t="s">
        <v>1116</v>
      </c>
      <c r="P22" s="226" t="s">
        <v>1117</v>
      </c>
      <c r="Q22" s="226"/>
      <c r="R22" s="226"/>
      <c r="S22" s="226" t="s">
        <v>1118</v>
      </c>
      <c r="T22" s="226" t="s">
        <v>1119</v>
      </c>
      <c r="U22" s="226" t="s">
        <v>1120</v>
      </c>
      <c r="V22" s="226" t="s">
        <v>1121</v>
      </c>
      <c r="W22" s="226"/>
      <c r="X22" s="2"/>
      <c r="Y22" s="2"/>
      <c r="Z22" s="2"/>
      <c r="AA22" s="2"/>
      <c r="AB22" s="2"/>
      <c r="AC22" s="2"/>
      <c r="AD22" s="2"/>
      <c r="AE22" s="2"/>
    </row>
    <row r="23" spans="1:31" ht="12.75" customHeight="1">
      <c r="A23" s="32" t="s">
        <v>1122</v>
      </c>
      <c r="B23" s="32" t="s">
        <v>1123</v>
      </c>
      <c r="C23" s="32">
        <v>8</v>
      </c>
      <c r="D23" s="32">
        <v>3</v>
      </c>
      <c r="E23" s="32" t="s">
        <v>929</v>
      </c>
      <c r="F23" s="32" t="s">
        <v>982</v>
      </c>
      <c r="G23" s="32" t="s">
        <v>1004</v>
      </c>
      <c r="H23" s="33" t="str">
        <f>IF(Roster!$J$24="English",S23,(IF(Roster!$J$24="Español",T23,(IF(Roster!$J$24="Deutsch",U23,(IF(Roster!$J$24="Français",V23)))))))</f>
        <v>Catch, Dodge, Hypnotic Gaze, Loner (4+), Nerves of Steel, On the Ball</v>
      </c>
      <c r="I23" s="33" t="str">
        <f>IF(Roster!$J$24="English",M23,(IF(Roster!$J$24="Español",N23,(IF(Roster!$J$24="Deutsch",O23,(IF(Roster!$J$24="Français",P23)))))))</f>
        <v>Mesmerizing Dance: Once per game, Eldril may re-roll a failed Agility test when attempting to use the Hypnotic Gaze trait</v>
      </c>
      <c r="J23" s="31">
        <v>230000</v>
      </c>
      <c r="K23" s="31">
        <v>1</v>
      </c>
      <c r="L23" s="2"/>
      <c r="M23" s="226" t="s">
        <v>1124</v>
      </c>
      <c r="N23" s="226" t="s">
        <v>1125</v>
      </c>
      <c r="O23" s="226" t="s">
        <v>1126</v>
      </c>
      <c r="P23" s="226" t="s">
        <v>1127</v>
      </c>
      <c r="Q23" s="226"/>
      <c r="R23" s="226"/>
      <c r="S23" s="226" t="s">
        <v>1128</v>
      </c>
      <c r="T23" s="226" t="s">
        <v>1129</v>
      </c>
      <c r="U23" s="226" t="s">
        <v>1130</v>
      </c>
      <c r="V23" s="226" t="s">
        <v>1131</v>
      </c>
      <c r="W23" s="226"/>
      <c r="X23" s="2"/>
      <c r="Y23" s="2"/>
      <c r="Z23" s="2"/>
      <c r="AA23" s="2"/>
      <c r="AB23" s="2"/>
      <c r="AC23" s="2"/>
      <c r="AD23" s="2"/>
      <c r="AE23" s="2"/>
    </row>
    <row r="24" spans="1:31" ht="12.75" customHeight="1">
      <c r="A24" s="32" t="s">
        <v>1132</v>
      </c>
      <c r="B24" s="32" t="s">
        <v>1133</v>
      </c>
      <c r="C24" s="32">
        <v>5</v>
      </c>
      <c r="D24" s="32">
        <v>5</v>
      </c>
      <c r="E24" s="32" t="s">
        <v>963</v>
      </c>
      <c r="F24" s="32" t="s">
        <v>982</v>
      </c>
      <c r="G24" s="32" t="s">
        <v>964</v>
      </c>
      <c r="H24" s="33" t="str">
        <f>IF(Roster!$J$24="English",S24,(IF(Roster!$J$24="Español",T24,(IF(Roster!$J$24="Deutsch",U24,(IF(Roster!$J$24="Français",V24)))))))</f>
        <v>Disturbing Presence, Juggernaut, Loner (4+), Mighty Blow (+1), Prehensile Tail, Regeneration, Sure Feet</v>
      </c>
      <c r="I24" s="33" t="str">
        <f>IF(Roster!$J$24="English",M24,(IF(Roster!$J$24="Español",N24,(IF(Roster!$J$24="Deutsch",O24,(IF(Roster!$J$24="Français",P24)))))))</f>
        <v>“Excuse Me, Are You a Zoat?”: Once per game, when Zolcath is activated, he may gain the Hypnotic Gaze trait. You must declare this special rule is being used when Zolcath is activated</v>
      </c>
      <c r="J24" s="31">
        <v>230000</v>
      </c>
      <c r="K24" s="31">
        <v>1</v>
      </c>
      <c r="L24" s="2"/>
      <c r="M24" s="226" t="s">
        <v>1134</v>
      </c>
      <c r="N24" s="226" t="s">
        <v>1135</v>
      </c>
      <c r="O24" s="226" t="s">
        <v>1136</v>
      </c>
      <c r="P24" s="226" t="s">
        <v>1137</v>
      </c>
      <c r="Q24" s="226"/>
      <c r="R24" s="226"/>
      <c r="S24" s="226" t="s">
        <v>1138</v>
      </c>
      <c r="T24" s="226" t="s">
        <v>1139</v>
      </c>
      <c r="U24" s="226" t="s">
        <v>1140</v>
      </c>
      <c r="V24" s="226" t="s">
        <v>1141</v>
      </c>
      <c r="W24" s="226"/>
      <c r="X24" s="2"/>
      <c r="Y24" s="2"/>
      <c r="Z24" s="2"/>
      <c r="AA24" s="2"/>
      <c r="AB24" s="2"/>
      <c r="AC24" s="2"/>
      <c r="AD24" s="2"/>
      <c r="AE24" s="2"/>
    </row>
    <row r="25" spans="1:31" ht="12.75" customHeight="1">
      <c r="A25" s="32" t="s">
        <v>1142</v>
      </c>
      <c r="B25" s="32" t="s">
        <v>1143</v>
      </c>
      <c r="C25" s="32">
        <v>8</v>
      </c>
      <c r="D25" s="32">
        <v>3</v>
      </c>
      <c r="E25" s="32" t="s">
        <v>1144</v>
      </c>
      <c r="F25" s="32" t="s">
        <v>963</v>
      </c>
      <c r="G25" s="32" t="s">
        <v>1004</v>
      </c>
      <c r="H25" s="33" t="str">
        <f>IF(Roster!$J$24="English",S25,(IF(Roster!$J$24="Español",T25,(IF(Roster!$J$24="Deutsch",U25,(IF(Roster!$J$24="Français",V25)))))))</f>
        <v>Dodge, Frenzy, Jump Up, Juggernaut, Leap, Loner (4+)</v>
      </c>
      <c r="I25" s="33" t="str">
        <f>IF(Roster!$J$24="English",M25,(IF(Roster!$J$24="Español",N25,(IF(Roster!$J$24="Deutsch",O25,(IF(Roster!$J$24="Français",P25)))))))</f>
        <v>Burst of Speed: Once per game, Roxanna may attempt to Rush three times, rather than the usual two. You may declare you are using this special rule after Roxanna has Rushed twice</v>
      </c>
      <c r="J25" s="31">
        <v>270000</v>
      </c>
      <c r="K25" s="31">
        <v>1</v>
      </c>
      <c r="L25" s="2"/>
      <c r="M25" s="226" t="s">
        <v>1145</v>
      </c>
      <c r="N25" s="226" t="s">
        <v>1146</v>
      </c>
      <c r="O25" s="226" t="s">
        <v>1147</v>
      </c>
      <c r="P25" s="226" t="s">
        <v>1148</v>
      </c>
      <c r="Q25" s="226"/>
      <c r="R25" s="226"/>
      <c r="S25" s="226" t="s">
        <v>1149</v>
      </c>
      <c r="T25" s="226" t="s">
        <v>1150</v>
      </c>
      <c r="U25" s="226" t="s">
        <v>1151</v>
      </c>
      <c r="V25" s="226" t="s">
        <v>1152</v>
      </c>
      <c r="W25" s="226"/>
      <c r="X25" s="2"/>
      <c r="Y25" s="2"/>
      <c r="Z25" s="2"/>
      <c r="AA25" s="2"/>
      <c r="AB25" s="2"/>
      <c r="AC25" s="2"/>
      <c r="AD25" s="2"/>
      <c r="AE25" s="2"/>
    </row>
    <row r="26" spans="1:31" ht="12.75" customHeight="1">
      <c r="A26" s="32" t="s">
        <v>1153</v>
      </c>
      <c r="B26" s="32" t="s">
        <v>1154</v>
      </c>
      <c r="C26" s="32">
        <v>7</v>
      </c>
      <c r="D26" s="32">
        <v>3</v>
      </c>
      <c r="E26" s="32" t="s">
        <v>929</v>
      </c>
      <c r="F26" s="32" t="s">
        <v>982</v>
      </c>
      <c r="G26" s="32" t="s">
        <v>942</v>
      </c>
      <c r="H26" s="33" t="str">
        <f>IF(Roster!$J$24="English",S26,(IF(Roster!$J$24="Español",T26,(IF(Roster!$J$24="Deutsch",U26,(IF(Roster!$J$24="Français",V26)))))))</f>
        <v>Block, Loner (4+), Mighty Blow (+1), Tackle</v>
      </c>
      <c r="I26" s="33" t="str">
        <f>IF(Roster!$J$24="English",M26,(IF(Roster!$J$24="Español",N26,(IF(Roster!$J$24="Deutsch",O26,(IF(Roster!$J$24="Français",P26)))))))</f>
        <v>Two for One: The Swift Twins must be hired as a pair and count as two Star Players. However, if either Lucien or Valen is removed from play due to suffering a KO’d or Casualty! result on the Injury table, the other replaces the Loner (4+) trait with the Loner (2+) trait</v>
      </c>
      <c r="J26" s="31">
        <v>340000</v>
      </c>
      <c r="K26" s="31">
        <v>1</v>
      </c>
      <c r="L26" s="2"/>
      <c r="M26" s="226" t="s">
        <v>1155</v>
      </c>
      <c r="N26" s="226" t="s">
        <v>1156</v>
      </c>
      <c r="O26" s="226" t="s">
        <v>1157</v>
      </c>
      <c r="P26" s="226" t="s">
        <v>1158</v>
      </c>
      <c r="Q26" s="226"/>
      <c r="R26" s="226"/>
      <c r="S26" s="226" t="s">
        <v>1159</v>
      </c>
      <c r="T26" s="226" t="s">
        <v>1160</v>
      </c>
      <c r="U26" s="226" t="s">
        <v>1161</v>
      </c>
      <c r="V26" s="226" t="s">
        <v>1162</v>
      </c>
      <c r="W26" s="226"/>
      <c r="X26" s="2"/>
      <c r="Y26" s="2"/>
      <c r="Z26" s="2"/>
      <c r="AA26" s="2"/>
      <c r="AB26" s="2"/>
      <c r="AC26" s="2"/>
      <c r="AD26" s="2"/>
      <c r="AE26" s="2"/>
    </row>
    <row r="27" spans="1:31" ht="12.75" customHeight="1">
      <c r="A27" s="32" t="s">
        <v>1163</v>
      </c>
      <c r="B27" s="32" t="s">
        <v>1164</v>
      </c>
      <c r="C27" s="32">
        <v>7</v>
      </c>
      <c r="D27" s="32">
        <v>3</v>
      </c>
      <c r="E27" s="32" t="s">
        <v>929</v>
      </c>
      <c r="F27" s="32" t="s">
        <v>929</v>
      </c>
      <c r="G27" s="32" t="s">
        <v>1004</v>
      </c>
      <c r="H27" s="33" t="str">
        <f>IF(Roster!$J$24="English",S27,(IF(Roster!$J$24="Español",T27,(IF(Roster!$J$24="Deutsch",U27,(IF(Roster!$J$24="Français",V27)))))))</f>
        <v>Accurate, Loner (4+), Nerves of Steel, Pass, Safe Pass, Sure Hands</v>
      </c>
      <c r="I27" s="33" t="str">
        <f>IF(Roster!$J$24="English",M27,(IF(Roster!$J$24="Español",N27,(IF(Roster!$J$24="Deutsch",O27,(IF(Roster!$J$24="Français",P27)))))))</f>
        <v>Two for One: The Swift Twins must be hired as a pair and count as two Star Players. However, if either Lucien or Valen is removed from play due to suffering a KO’d or Casualty! result on the Injury table, the other replaces the Loner (4+) trait with the Loner (2+) trait</v>
      </c>
      <c r="J27" s="31">
        <v>0</v>
      </c>
      <c r="K27" s="31">
        <v>1</v>
      </c>
      <c r="L27" s="2"/>
      <c r="M27" s="226" t="s">
        <v>1155</v>
      </c>
      <c r="N27" s="226" t="s">
        <v>1156</v>
      </c>
      <c r="O27" s="226" t="s">
        <v>1157</v>
      </c>
      <c r="P27" s="226" t="s">
        <v>1158</v>
      </c>
      <c r="Q27" s="226"/>
      <c r="R27" s="226"/>
      <c r="S27" s="226" t="s">
        <v>1165</v>
      </c>
      <c r="T27" s="226" t="s">
        <v>1166</v>
      </c>
      <c r="U27" s="226" t="s">
        <v>1167</v>
      </c>
      <c r="V27" s="226" t="s">
        <v>1168</v>
      </c>
      <c r="W27" s="226"/>
      <c r="X27" s="2"/>
      <c r="Y27" s="2"/>
      <c r="Z27" s="2"/>
      <c r="AA27" s="2"/>
      <c r="AB27" s="2"/>
      <c r="AC27" s="2"/>
      <c r="AD27" s="2"/>
      <c r="AE27" s="2"/>
    </row>
    <row r="28" spans="1:31" ht="12.75" customHeight="1">
      <c r="A28" s="32" t="s">
        <v>1169</v>
      </c>
      <c r="B28" s="32" t="s">
        <v>1170</v>
      </c>
      <c r="C28" s="32">
        <v>5</v>
      </c>
      <c r="D28" s="32">
        <v>5</v>
      </c>
      <c r="E28" s="32" t="s">
        <v>941</v>
      </c>
      <c r="F28" s="32" t="s">
        <v>982</v>
      </c>
      <c r="G28" s="32" t="s">
        <v>964</v>
      </c>
      <c r="H28" s="33" t="str">
        <f>IF(Roster!$J$24="English",S28,(IF(Roster!$J$24="Español",T28,(IF(Roster!$J$24="Deutsch",U28,(IF(Roster!$J$24="Français",V28)))))))</f>
        <v>Block, Dirty Player (+2), Loner (4+), Mighty Blow (+1), Sneaky Git</v>
      </c>
      <c r="I28" s="33" t="str">
        <f>IF(Roster!$J$24="English",M28,(IF(Roster!$J$24="Español",N28,(IF(Roster!$J$24="Deutsch",O28,(IF(Roster!$J$24="Français",P28)))))))</f>
        <v>Lord of Chaos: A team that includes Lord Borak gains an extra Team re-roll for the first half of the game. If this Team re-roll is not used during the first half, it may be carried over into the second half. However, if Lord Borak is removed from play before this re-roll is used, it is lost</v>
      </c>
      <c r="J28" s="31">
        <v>260000</v>
      </c>
      <c r="K28" s="31">
        <v>1</v>
      </c>
      <c r="L28" s="2"/>
      <c r="M28" s="226" t="s">
        <v>1171</v>
      </c>
      <c r="N28" s="226" t="s">
        <v>1172</v>
      </c>
      <c r="O28" s="226" t="s">
        <v>1173</v>
      </c>
      <c r="P28" s="226" t="s">
        <v>1174</v>
      </c>
      <c r="Q28" s="226"/>
      <c r="R28" s="226"/>
      <c r="S28" s="226" t="s">
        <v>1175</v>
      </c>
      <c r="T28" s="226" t="s">
        <v>1176</v>
      </c>
      <c r="U28" s="226" t="s">
        <v>1177</v>
      </c>
      <c r="V28" s="226" t="s">
        <v>1178</v>
      </c>
      <c r="W28" s="226"/>
      <c r="X28" s="2"/>
      <c r="Y28" s="2"/>
      <c r="Z28" s="2"/>
      <c r="AA28" s="2"/>
      <c r="AB28" s="2"/>
      <c r="AC28" s="2"/>
      <c r="AD28" s="2"/>
      <c r="AE28" s="2"/>
    </row>
    <row r="29" spans="1:31" ht="12.75" customHeight="1">
      <c r="A29" s="90" t="s">
        <v>1179</v>
      </c>
      <c r="B29" s="32" t="s">
        <v>1180</v>
      </c>
      <c r="C29" s="32">
        <v>5</v>
      </c>
      <c r="D29" s="32">
        <v>3</v>
      </c>
      <c r="E29" s="32" t="s">
        <v>963</v>
      </c>
      <c r="F29" s="32" t="s">
        <v>305</v>
      </c>
      <c r="G29" s="32" t="s">
        <v>942</v>
      </c>
      <c r="H29" s="33" t="str">
        <f>IF(Roster!$J$24="English",S29,(IF(Roster!$J$24="Español",T29,(IF(Roster!$J$24="Deutsch",U29,(IF(Roster!$J$24="Français",V29)))))))</f>
        <v>Chainsaw, Loner (4+), Regeneration, Secret Weapon, Stand Firm, Thick Skull</v>
      </c>
      <c r="I29" s="33" t="str">
        <f>IF(Roster!$J$24="English",M29,(IF(Roster!$J$24="Español",N29,(IF(Roster!$J$24="Deutsch",O29,(IF(Roster!$J$24="Français",P29)))))))</f>
        <v>Ghostly Flames: Once por half, when Bryce makes the Chainsaw Attack Special action as part of a Blitz action, he may add +4 to the Armour roll against the opponent rather than +3</v>
      </c>
      <c r="J29" s="31">
        <v>130000</v>
      </c>
      <c r="K29" s="31">
        <v>1</v>
      </c>
      <c r="L29" s="2"/>
      <c r="M29" s="226" t="s">
        <v>1181</v>
      </c>
      <c r="N29" s="226" t="s">
        <v>1182</v>
      </c>
      <c r="O29" s="226" t="s">
        <v>1183</v>
      </c>
      <c r="P29" s="226" t="s">
        <v>1184</v>
      </c>
      <c r="Q29" s="226"/>
      <c r="R29" s="226"/>
      <c r="S29" s="226" t="s">
        <v>1185</v>
      </c>
      <c r="T29" s="226" t="s">
        <v>1186</v>
      </c>
      <c r="U29" s="226" t="s">
        <v>1187</v>
      </c>
      <c r="V29" s="226" t="s">
        <v>1188</v>
      </c>
      <c r="W29" s="226"/>
      <c r="X29" s="2"/>
      <c r="Y29" s="2"/>
      <c r="Z29" s="2"/>
      <c r="AA29" s="2"/>
      <c r="AB29" s="2"/>
      <c r="AC29" s="2"/>
      <c r="AD29" s="2"/>
      <c r="AE29" s="2"/>
    </row>
    <row r="30" spans="1:31" ht="12.75" customHeight="1">
      <c r="A30" s="32" t="s">
        <v>1189</v>
      </c>
      <c r="B30" s="32" t="s">
        <v>1190</v>
      </c>
      <c r="C30" s="32">
        <v>8</v>
      </c>
      <c r="D30" s="32">
        <v>4</v>
      </c>
      <c r="E30" s="32" t="s">
        <v>941</v>
      </c>
      <c r="F30" s="32" t="s">
        <v>963</v>
      </c>
      <c r="G30" s="32" t="s">
        <v>942</v>
      </c>
      <c r="H30" s="33" t="str">
        <f>IF(Roster!$J$24="English",S30,(IF(Roster!$J$24="Español",T30,(IF(Roster!$J$24="Deutsch",U30,(IF(Roster!$J$24="Français",V30)))))))</f>
        <v>Catch, Claws, Frenzy, Loner (4+), Regeneration, Wrestle</v>
      </c>
      <c r="I30" s="33" t="str">
        <f>IF(Roster!$J$24="English",M30,(IF(Roster!$J$24="Español",N30,(IF(Roster!$J$24="Deutsch",O30,(IF(Roster!$J$24="Français",P30)))))))</f>
        <v>Savage Mauling: Once per game, when Wilhelm makes an Injury roll against an opposing player, he may choose to re-roll the result</v>
      </c>
      <c r="J30" s="31">
        <v>220000</v>
      </c>
      <c r="K30" s="31">
        <v>1</v>
      </c>
      <c r="L30" s="2"/>
      <c r="M30" s="226" t="s">
        <v>1191</v>
      </c>
      <c r="N30" s="226" t="s">
        <v>1192</v>
      </c>
      <c r="O30" s="226" t="s">
        <v>1193</v>
      </c>
      <c r="P30" s="226" t="s">
        <v>1194</v>
      </c>
      <c r="Q30" s="226"/>
      <c r="R30" s="226"/>
      <c r="S30" s="226" t="s">
        <v>1195</v>
      </c>
      <c r="T30" s="226" t="s">
        <v>1196</v>
      </c>
      <c r="U30" s="226" t="s">
        <v>1197</v>
      </c>
      <c r="V30" s="226" t="s">
        <v>1198</v>
      </c>
      <c r="W30" s="226"/>
      <c r="X30" s="2"/>
      <c r="Y30" s="2"/>
      <c r="Z30" s="2"/>
      <c r="AA30" s="2"/>
      <c r="AB30" s="2"/>
      <c r="AC30" s="2"/>
      <c r="AD30" s="2"/>
      <c r="AE30" s="2"/>
    </row>
    <row r="31" spans="1:31" ht="12.75" customHeight="1">
      <c r="A31" s="32" t="s">
        <v>1199</v>
      </c>
      <c r="B31" s="32" t="s">
        <v>1200</v>
      </c>
      <c r="C31" s="32">
        <v>7</v>
      </c>
      <c r="D31" s="32">
        <v>3</v>
      </c>
      <c r="E31" s="32" t="s">
        <v>929</v>
      </c>
      <c r="F31" s="32" t="s">
        <v>305</v>
      </c>
      <c r="G31" s="32" t="s">
        <v>942</v>
      </c>
      <c r="H31" s="33" t="str">
        <f>IF(Roster!$J$24="English",S31,(IF(Roster!$J$24="Español",T31,(IF(Roster!$J$24="Deutsch",U31,(IF(Roster!$J$24="Français",V31)))))))</f>
        <v>Disturbing Presence, Dodge, Foul Appearance, Jump Up, Loner (4+), No Hands, Regeneration, Shadowing, Side Step</v>
      </c>
      <c r="I31" s="33" t="str">
        <f>IF(Roster!$J$24="English",M31,(IF(Roster!$J$24="Español",N31,(IF(Roster!$J$24="Deutsch",O31,(IF(Roster!$J$24="Français",P31)))))))</f>
        <v>Incorporeal: Once per game, after making an Agility test to dodge, Gretchen may choose to modify the dice roll by adding her Strength characteristic to it</v>
      </c>
      <c r="J31" s="31">
        <v>260000</v>
      </c>
      <c r="K31" s="31">
        <v>1</v>
      </c>
      <c r="L31" s="2"/>
      <c r="M31" s="226" t="s">
        <v>1201</v>
      </c>
      <c r="N31" s="226" t="s">
        <v>1202</v>
      </c>
      <c r="O31" s="226" t="s">
        <v>1203</v>
      </c>
      <c r="P31" s="226" t="s">
        <v>1204</v>
      </c>
      <c r="Q31" s="226"/>
      <c r="R31" s="226"/>
      <c r="S31" s="226" t="s">
        <v>1205</v>
      </c>
      <c r="T31" s="226" t="s">
        <v>1206</v>
      </c>
      <c r="U31" s="226" t="s">
        <v>1207</v>
      </c>
      <c r="V31" s="226" t="s">
        <v>1208</v>
      </c>
      <c r="W31" s="226"/>
      <c r="X31" s="2"/>
      <c r="Y31" s="2"/>
      <c r="Z31" s="2"/>
      <c r="AA31" s="2"/>
      <c r="AB31" s="2"/>
      <c r="AC31" s="2"/>
      <c r="AD31" s="2"/>
      <c r="AE31" s="2"/>
    </row>
    <row r="32" spans="1:31" ht="12.75" customHeight="1">
      <c r="A32" s="32" t="s">
        <v>1209</v>
      </c>
      <c r="B32" s="32" t="s">
        <v>1210</v>
      </c>
      <c r="C32" s="32">
        <v>4</v>
      </c>
      <c r="D32" s="32">
        <v>5</v>
      </c>
      <c r="E32" s="32" t="s">
        <v>963</v>
      </c>
      <c r="F32" s="32" t="s">
        <v>930</v>
      </c>
      <c r="G32" s="32" t="s">
        <v>964</v>
      </c>
      <c r="H32" s="33" t="str">
        <f>IF(Roster!$J$24="English",S32,(IF(Roster!$J$24="Español",T32,(IF(Roster!$J$24="Deutsch",U32,(IF(Roster!$J$24="Français",V32)))))))</f>
        <v>Block, Loner (4+), Mighty Blow (+1)</v>
      </c>
      <c r="I32" s="33" t="str">
        <f>IF(Roster!$J$24="English",M32,(IF(Roster!$J$24="Español",N32,(IF(Roster!$J$24="Deutsch",O32,(IF(Roster!$J$24="Français",P32)))))))</f>
        <v>Crushing Blow: Once per game, when an opposition player is Knocked Down as the result of a Block action performed by Zug, you may apply an additional +1 modifier to the Armour roll. This modifier may be applied after the roll has been made</v>
      </c>
      <c r="J32" s="31">
        <v>220000</v>
      </c>
      <c r="K32" s="31">
        <v>1</v>
      </c>
      <c r="L32" s="2"/>
      <c r="M32" s="226" t="s">
        <v>1211</v>
      </c>
      <c r="N32" s="226" t="s">
        <v>1212</v>
      </c>
      <c r="O32" s="226" t="s">
        <v>1213</v>
      </c>
      <c r="P32" s="226" t="s">
        <v>1214</v>
      </c>
      <c r="Q32" s="226"/>
      <c r="R32" s="226"/>
      <c r="S32" s="226" t="s">
        <v>1215</v>
      </c>
      <c r="T32" s="226" t="s">
        <v>1216</v>
      </c>
      <c r="U32" s="226" t="s">
        <v>1217</v>
      </c>
      <c r="V32" s="226" t="s">
        <v>1218</v>
      </c>
      <c r="W32" s="226"/>
      <c r="X32" s="2"/>
      <c r="Y32" s="2"/>
      <c r="Z32" s="2"/>
      <c r="AA32" s="2"/>
      <c r="AB32" s="2"/>
      <c r="AC32" s="2"/>
      <c r="AD32" s="2"/>
      <c r="AE32" s="2"/>
    </row>
    <row r="33" spans="1:31" ht="12.75" customHeight="1">
      <c r="A33" s="2"/>
      <c r="B33" s="32"/>
      <c r="C33" s="32"/>
      <c r="D33" s="32"/>
      <c r="E33" s="32"/>
      <c r="F33" s="32"/>
      <c r="G33" s="32"/>
      <c r="H33" s="32"/>
      <c r="I33" s="32"/>
      <c r="J33" s="32"/>
      <c r="K33" s="32"/>
      <c r="L33" s="32"/>
      <c r="M33" s="32"/>
      <c r="N33" s="32"/>
      <c r="O33" s="32"/>
      <c r="P33" s="32"/>
      <c r="Q33" s="32"/>
      <c r="R33" s="32"/>
      <c r="S33" s="32"/>
      <c r="T33" s="32"/>
      <c r="U33" s="32"/>
      <c r="V33" s="32"/>
      <c r="W33" s="32"/>
      <c r="X33" s="32"/>
      <c r="Y33" s="32"/>
      <c r="Z33" s="32"/>
      <c r="AA33" s="32"/>
      <c r="AB33" s="32"/>
      <c r="AC33" s="32"/>
      <c r="AD33" s="32"/>
      <c r="AE33" s="32"/>
    </row>
    <row r="34" spans="1:31" ht="12.75" customHeight="1">
      <c r="A34" s="2"/>
      <c r="B34" s="226"/>
      <c r="C34" s="32"/>
      <c r="D34" s="32"/>
      <c r="E34" s="32"/>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row>
    <row r="35" spans="1:31" ht="12.75" customHeight="1">
      <c r="A35" s="2"/>
      <c r="B35" s="32"/>
      <c r="C35" s="32" t="str">
        <f t="shared" ref="C35:AE35" si="0">IF(C36=1,C37,"")</f>
        <v>AAA</v>
      </c>
      <c r="D35" s="32" t="str">
        <f t="shared" si="0"/>
        <v>AAB</v>
      </c>
      <c r="E35" s="32" t="str">
        <f t="shared" si="0"/>
        <v>AAC</v>
      </c>
      <c r="F35" s="32" t="str">
        <f t="shared" si="0"/>
        <v/>
      </c>
      <c r="G35" s="32" t="str">
        <f t="shared" si="0"/>
        <v>AAE</v>
      </c>
      <c r="H35" s="32" t="str">
        <f t="shared" si="0"/>
        <v/>
      </c>
      <c r="I35" s="32" t="str">
        <f t="shared" si="0"/>
        <v/>
      </c>
      <c r="J35" s="32" t="str">
        <f t="shared" si="0"/>
        <v/>
      </c>
      <c r="K35" s="32" t="str">
        <f t="shared" si="0"/>
        <v/>
      </c>
      <c r="L35" s="32" t="str">
        <f t="shared" si="0"/>
        <v/>
      </c>
      <c r="M35" s="32" t="str">
        <f t="shared" si="0"/>
        <v/>
      </c>
      <c r="N35" s="32" t="str">
        <f t="shared" si="0"/>
        <v/>
      </c>
      <c r="O35" s="32" t="str">
        <f t="shared" si="0"/>
        <v/>
      </c>
      <c r="P35" s="32" t="str">
        <f t="shared" si="0"/>
        <v>AAN</v>
      </c>
      <c r="Q35" s="32" t="str">
        <f t="shared" si="0"/>
        <v/>
      </c>
      <c r="R35" s="32" t="str">
        <f t="shared" si="0"/>
        <v/>
      </c>
      <c r="S35" s="32" t="str">
        <f t="shared" si="0"/>
        <v/>
      </c>
      <c r="T35" s="32" t="str">
        <f t="shared" si="0"/>
        <v>AAR</v>
      </c>
      <c r="U35" s="32" t="str">
        <f t="shared" si="0"/>
        <v>AAS</v>
      </c>
      <c r="V35" s="32" t="str">
        <f t="shared" si="0"/>
        <v>AAT</v>
      </c>
      <c r="W35" s="32" t="str">
        <f t="shared" si="0"/>
        <v>AAV</v>
      </c>
      <c r="X35" s="32" t="str">
        <f t="shared" si="0"/>
        <v/>
      </c>
      <c r="Y35" s="32" t="str">
        <f t="shared" si="0"/>
        <v/>
      </c>
      <c r="Z35" s="32" t="str">
        <f t="shared" si="0"/>
        <v/>
      </c>
      <c r="AA35" s="32" t="str">
        <f t="shared" si="0"/>
        <v/>
      </c>
      <c r="AB35" s="32" t="str">
        <f t="shared" si="0"/>
        <v/>
      </c>
      <c r="AC35" s="32" t="str">
        <f t="shared" si="0"/>
        <v/>
      </c>
      <c r="AD35" s="32" t="str">
        <f t="shared" si="0"/>
        <v/>
      </c>
      <c r="AE35" s="32" t="str">
        <f t="shared" si="0"/>
        <v/>
      </c>
    </row>
    <row r="36" spans="1:31" ht="12.75" customHeight="1">
      <c r="A36" s="2"/>
      <c r="B36" s="32" t="str">
        <f>Roster!$BU$2</f>
        <v>SylvanianSpotlight</v>
      </c>
      <c r="C36" s="32">
        <f>VLOOKUP($B$36,$B$39:$AE$53,2,FALSE)</f>
        <v>1</v>
      </c>
      <c r="D36" s="32">
        <f>VLOOKUP($B$36,$B$39:$AE$53,3,FALSE)</f>
        <v>1</v>
      </c>
      <c r="E36" s="32">
        <f>VLOOKUP($B$36,$B$39:$AE$53,4,FALSE)</f>
        <v>1</v>
      </c>
      <c r="F36" s="32">
        <f>VLOOKUP($B$36,$B$39:$AE$53,5,FALSE)</f>
        <v>0</v>
      </c>
      <c r="G36" s="32">
        <f>VLOOKUP($B$36,$B$39:$AE$53,6,FALSE)</f>
        <v>1</v>
      </c>
      <c r="H36" s="32">
        <f>VLOOKUP($B$36,$B$39:$AE$53,7,FALSE)</f>
        <v>0</v>
      </c>
      <c r="I36" s="32">
        <f>VLOOKUP($B$36,$B$39:$AE$53,8,FALSE)</f>
        <v>0</v>
      </c>
      <c r="J36" s="32">
        <f>VLOOKUP($B$36,$B$39:$AE$53,9,FALSE)</f>
        <v>0</v>
      </c>
      <c r="K36" s="32">
        <f>VLOOKUP($B$36,$B$39:$AE$53,10,FALSE)</f>
        <v>0</v>
      </c>
      <c r="L36" s="32">
        <f>VLOOKUP($B$36,$B$39:$AE$53,11,FALSE)</f>
        <v>0</v>
      </c>
      <c r="M36" s="32">
        <f>VLOOKUP($B$36,$B$39:$AE$53,12,FALSE)</f>
        <v>0</v>
      </c>
      <c r="N36" s="32">
        <f>VLOOKUP($B$36,$B$39:$AE$53,13,FALSE)</f>
        <v>0</v>
      </c>
      <c r="O36" s="32">
        <f>VLOOKUP($B$36,$B$39:$AE$53,14,FALSE)</f>
        <v>0</v>
      </c>
      <c r="P36" s="32">
        <f>VLOOKUP($B$36,$B$39:$AE$53,15,FALSE)</f>
        <v>1</v>
      </c>
      <c r="Q36" s="32">
        <f>VLOOKUP($B$36,$B$39:$AE$53,16,FALSE)</f>
        <v>0</v>
      </c>
      <c r="R36" s="32">
        <f>VLOOKUP($B$36,$B$39:$AE$53,17,FALSE)</f>
        <v>0</v>
      </c>
      <c r="S36" s="32">
        <f>VLOOKUP($B$36,$B$39:$AE$53,18,FALSE)</f>
        <v>0</v>
      </c>
      <c r="T36" s="32">
        <f>VLOOKUP($B$36,$B$39:$AE$53,19,FALSE)</f>
        <v>1</v>
      </c>
      <c r="U36" s="32">
        <f>VLOOKUP($B$36,$B$39:$AE$53,20,FALSE)</f>
        <v>1</v>
      </c>
      <c r="V36" s="32">
        <f>VLOOKUP($B$36,$B$39:$AE$53,21,FALSE)</f>
        <v>1</v>
      </c>
      <c r="W36" s="32">
        <f>VLOOKUP($B$36,$B$39:$AE$53,22,FALSE)</f>
        <v>1</v>
      </c>
      <c r="X36" s="32">
        <f>VLOOKUP($B$36,$B$39:$AE$53,23,FALSE)</f>
        <v>0</v>
      </c>
      <c r="Y36" s="32">
        <f>VLOOKUP($B$36,$B$39:$AE$53,24,FALSE)</f>
        <v>0</v>
      </c>
      <c r="Z36" s="32">
        <f>VLOOKUP($B$36,$B$39:$AE$53,25,FALSE)</f>
        <v>0</v>
      </c>
      <c r="AA36" s="32">
        <f>VLOOKUP($B$36,$B$39:$AE$53,26,FALSE)</f>
        <v>0</v>
      </c>
      <c r="AB36" s="32">
        <f>VLOOKUP($B$36,$B$39:$AE$53,27,FALSE)</f>
        <v>0</v>
      </c>
      <c r="AC36" s="32">
        <f>VLOOKUP($B$36,$B$39:$AE$53,28,FALSE)</f>
        <v>0</v>
      </c>
      <c r="AD36" s="32">
        <f>VLOOKUP($B$36,$B$39:$AE$53,29,FALSE)</f>
        <v>0</v>
      </c>
      <c r="AE36" s="32">
        <f>VLOOKUP($B$36,$B$39:$AE$53,30,FALSE)</f>
        <v>0</v>
      </c>
    </row>
    <row r="37" spans="1:31" ht="12.75" customHeight="1">
      <c r="A37" s="2"/>
      <c r="B37" s="226"/>
      <c r="C37" s="32" t="s">
        <v>927</v>
      </c>
      <c r="D37" s="32" t="s">
        <v>1179</v>
      </c>
      <c r="E37" s="32" t="s">
        <v>939</v>
      </c>
      <c r="F37" s="32" t="s">
        <v>1102</v>
      </c>
      <c r="G37" s="32" t="s">
        <v>1092</v>
      </c>
      <c r="H37" s="32" t="s">
        <v>1112</v>
      </c>
      <c r="I37" s="32" t="s">
        <v>1023</v>
      </c>
      <c r="J37" s="32" t="s">
        <v>1002</v>
      </c>
      <c r="K37" s="32" t="s">
        <v>1013</v>
      </c>
      <c r="L37" s="32" t="s">
        <v>1033</v>
      </c>
      <c r="M37" s="32" t="s">
        <v>1043</v>
      </c>
      <c r="N37" s="32" t="s">
        <v>1053</v>
      </c>
      <c r="O37" s="32" t="s">
        <v>1209</v>
      </c>
      <c r="P37" s="32" t="s">
        <v>1189</v>
      </c>
      <c r="Q37" s="32" t="s">
        <v>951</v>
      </c>
      <c r="R37" s="32" t="s">
        <v>1122</v>
      </c>
      <c r="S37" s="32" t="s">
        <v>1132</v>
      </c>
      <c r="T37" s="32" t="s">
        <v>1083</v>
      </c>
      <c r="U37" s="32" t="s">
        <v>961</v>
      </c>
      <c r="V37" s="32" t="s">
        <v>973</v>
      </c>
      <c r="W37" s="32" t="s">
        <v>1199</v>
      </c>
      <c r="X37" s="32" t="s">
        <v>1169</v>
      </c>
      <c r="Y37" s="32" t="s">
        <v>1142</v>
      </c>
      <c r="Z37" s="32" t="s">
        <v>1063</v>
      </c>
      <c r="AA37" s="32" t="s">
        <v>1073</v>
      </c>
      <c r="AB37" s="32" t="s">
        <v>980</v>
      </c>
      <c r="AC37" s="32" t="s">
        <v>1153</v>
      </c>
      <c r="AD37" s="32" t="s">
        <v>1163</v>
      </c>
      <c r="AE37" s="32" t="s">
        <v>991</v>
      </c>
    </row>
    <row r="38" spans="1:31" ht="12.75" customHeight="1">
      <c r="A38" s="2"/>
      <c r="B38" s="226"/>
      <c r="C38" s="32" t="s">
        <v>928</v>
      </c>
      <c r="D38" s="32" t="s">
        <v>1180</v>
      </c>
      <c r="E38" s="32" t="s">
        <v>940</v>
      </c>
      <c r="F38" s="32" t="s">
        <v>1103</v>
      </c>
      <c r="G38" s="32" t="s">
        <v>1093</v>
      </c>
      <c r="H38" s="32" t="s">
        <v>1113</v>
      </c>
      <c r="I38" s="32" t="s">
        <v>1024</v>
      </c>
      <c r="J38" s="32" t="s">
        <v>1003</v>
      </c>
      <c r="K38" s="32" t="s">
        <v>1014</v>
      </c>
      <c r="L38" s="32" t="s">
        <v>1034</v>
      </c>
      <c r="M38" s="32" t="s">
        <v>1044</v>
      </c>
      <c r="N38" s="32" t="s">
        <v>1054</v>
      </c>
      <c r="O38" s="32" t="s">
        <v>1210</v>
      </c>
      <c r="P38" s="32" t="s">
        <v>1190</v>
      </c>
      <c r="Q38" s="32" t="s">
        <v>952</v>
      </c>
      <c r="R38" s="32" t="s">
        <v>1123</v>
      </c>
      <c r="S38" s="32" t="s">
        <v>1133</v>
      </c>
      <c r="T38" s="32" t="s">
        <v>1084</v>
      </c>
      <c r="U38" s="32" t="s">
        <v>962</v>
      </c>
      <c r="V38" s="32" t="s">
        <v>974</v>
      </c>
      <c r="W38" s="32" t="s">
        <v>1200</v>
      </c>
      <c r="X38" s="32" t="s">
        <v>1170</v>
      </c>
      <c r="Y38" s="32" t="s">
        <v>1143</v>
      </c>
      <c r="Z38" s="32" t="s">
        <v>1064</v>
      </c>
      <c r="AA38" s="32" t="s">
        <v>1074</v>
      </c>
      <c r="AB38" s="32" t="s">
        <v>981</v>
      </c>
      <c r="AC38" s="32" t="s">
        <v>1154</v>
      </c>
      <c r="AD38" s="32" t="s">
        <v>1164</v>
      </c>
      <c r="AE38" s="32" t="s">
        <v>992</v>
      </c>
    </row>
    <row r="39" spans="1:31" ht="12.75" customHeight="1">
      <c r="A39" s="2"/>
      <c r="B39" s="32" t="s">
        <v>85</v>
      </c>
      <c r="C39" s="32">
        <v>1</v>
      </c>
      <c r="D39" s="32"/>
      <c r="E39" s="32">
        <v>1</v>
      </c>
      <c r="F39" s="32"/>
      <c r="G39" s="32"/>
      <c r="H39" s="32"/>
      <c r="I39" s="32"/>
      <c r="J39" s="32"/>
      <c r="K39" s="32"/>
      <c r="L39" s="32"/>
      <c r="M39" s="32"/>
      <c r="N39" s="32"/>
      <c r="O39" s="32"/>
      <c r="P39" s="32"/>
      <c r="Q39" s="32">
        <v>1</v>
      </c>
      <c r="R39" s="32"/>
      <c r="S39" s="32"/>
      <c r="T39" s="32"/>
      <c r="U39" s="32">
        <v>1</v>
      </c>
      <c r="V39" s="32">
        <v>1</v>
      </c>
      <c r="W39" s="32"/>
      <c r="X39" s="32"/>
      <c r="Y39" s="32"/>
      <c r="Z39" s="32"/>
      <c r="AA39" s="32"/>
      <c r="AB39" s="32">
        <v>1</v>
      </c>
      <c r="AC39" s="32"/>
      <c r="AD39" s="32"/>
      <c r="AE39" s="32">
        <v>1</v>
      </c>
    </row>
    <row r="40" spans="1:31" ht="12.75" customHeight="1">
      <c r="A40" s="2"/>
      <c r="B40" s="32" t="s">
        <v>216</v>
      </c>
      <c r="C40" s="32">
        <v>1</v>
      </c>
      <c r="D40" s="32"/>
      <c r="E40" s="32">
        <v>1</v>
      </c>
      <c r="F40" s="32"/>
      <c r="G40" s="32"/>
      <c r="H40" s="32"/>
      <c r="I40" s="32"/>
      <c r="J40" s="32">
        <v>1</v>
      </c>
      <c r="K40" s="32">
        <v>1</v>
      </c>
      <c r="L40" s="32"/>
      <c r="M40" s="32"/>
      <c r="N40" s="32"/>
      <c r="O40" s="32"/>
      <c r="P40" s="32"/>
      <c r="Q40" s="32">
        <v>1</v>
      </c>
      <c r="R40" s="32"/>
      <c r="S40" s="32"/>
      <c r="T40" s="32"/>
      <c r="U40" s="32">
        <v>1</v>
      </c>
      <c r="V40" s="32">
        <v>1</v>
      </c>
      <c r="W40" s="32"/>
      <c r="X40" s="32"/>
      <c r="Y40" s="32"/>
      <c r="Z40" s="32"/>
      <c r="AA40" s="32"/>
      <c r="AB40" s="32">
        <v>1</v>
      </c>
      <c r="AC40" s="32"/>
      <c r="AD40" s="32"/>
      <c r="AE40" s="32">
        <v>1</v>
      </c>
    </row>
    <row r="41" spans="1:31" ht="12.75" customHeight="1">
      <c r="A41" s="2"/>
      <c r="B41" s="32" t="s">
        <v>1219</v>
      </c>
      <c r="C41" s="32">
        <v>1</v>
      </c>
      <c r="D41" s="32"/>
      <c r="E41" s="32">
        <v>1</v>
      </c>
      <c r="F41" s="32"/>
      <c r="G41" s="32"/>
      <c r="H41" s="32"/>
      <c r="I41" s="32">
        <v>1</v>
      </c>
      <c r="J41" s="32"/>
      <c r="K41" s="32"/>
      <c r="L41" s="32">
        <v>1</v>
      </c>
      <c r="M41" s="32">
        <v>1</v>
      </c>
      <c r="N41" s="32">
        <v>1</v>
      </c>
      <c r="O41" s="32">
        <v>1</v>
      </c>
      <c r="P41" s="32"/>
      <c r="Q41" s="32"/>
      <c r="R41" s="32"/>
      <c r="S41" s="32"/>
      <c r="T41" s="32"/>
      <c r="U41" s="32">
        <v>1</v>
      </c>
      <c r="V41" s="32">
        <v>1</v>
      </c>
      <c r="W41" s="32"/>
      <c r="X41" s="32"/>
      <c r="Y41" s="32"/>
      <c r="Z41" s="32">
        <v>1</v>
      </c>
      <c r="AA41" s="32">
        <v>1</v>
      </c>
      <c r="AB41" s="32"/>
      <c r="AC41" s="32"/>
      <c r="AD41" s="32"/>
      <c r="AE41" s="32">
        <v>1</v>
      </c>
    </row>
    <row r="42" spans="1:31" ht="12.75" customHeight="1">
      <c r="A42" s="2"/>
      <c r="B42" s="32" t="s">
        <v>155</v>
      </c>
      <c r="C42" s="32">
        <v>1</v>
      </c>
      <c r="D42" s="32"/>
      <c r="E42" s="32">
        <v>1</v>
      </c>
      <c r="F42" s="32"/>
      <c r="G42" s="32"/>
      <c r="H42" s="32"/>
      <c r="I42" s="32">
        <v>1</v>
      </c>
      <c r="J42" s="32"/>
      <c r="K42" s="32"/>
      <c r="L42" s="32">
        <v>1</v>
      </c>
      <c r="M42" s="32">
        <v>1</v>
      </c>
      <c r="N42" s="32">
        <v>1</v>
      </c>
      <c r="O42" s="32">
        <v>1</v>
      </c>
      <c r="P42" s="32"/>
      <c r="Q42" s="32"/>
      <c r="R42" s="32"/>
      <c r="S42" s="32"/>
      <c r="T42" s="32">
        <v>1</v>
      </c>
      <c r="U42" s="32">
        <v>1</v>
      </c>
      <c r="V42" s="32">
        <v>1</v>
      </c>
      <c r="W42" s="32"/>
      <c r="X42" s="32"/>
      <c r="Y42" s="32"/>
      <c r="Z42" s="32">
        <v>1</v>
      </c>
      <c r="AA42" s="32">
        <v>1</v>
      </c>
      <c r="AB42" s="32"/>
      <c r="AC42" s="32"/>
      <c r="AD42" s="32"/>
      <c r="AE42" s="32">
        <v>1</v>
      </c>
    </row>
    <row r="43" spans="1:31" ht="12.75" customHeight="1">
      <c r="A43" s="2"/>
      <c r="B43" s="32" t="s">
        <v>1220</v>
      </c>
      <c r="C43" s="32">
        <v>1</v>
      </c>
      <c r="D43" s="32"/>
      <c r="E43" s="32">
        <v>1</v>
      </c>
      <c r="F43" s="32"/>
      <c r="G43" s="32">
        <v>1</v>
      </c>
      <c r="H43" s="32"/>
      <c r="I43" s="32">
        <v>1</v>
      </c>
      <c r="J43" s="32"/>
      <c r="K43" s="32"/>
      <c r="L43" s="32">
        <v>1</v>
      </c>
      <c r="M43" s="32"/>
      <c r="N43" s="32"/>
      <c r="O43" s="32"/>
      <c r="P43" s="32"/>
      <c r="Q43" s="32"/>
      <c r="R43" s="32"/>
      <c r="S43" s="32"/>
      <c r="T43" s="32"/>
      <c r="U43" s="32">
        <v>1</v>
      </c>
      <c r="V43" s="32">
        <v>1</v>
      </c>
      <c r="W43" s="32"/>
      <c r="X43" s="32"/>
      <c r="Y43" s="32"/>
      <c r="Z43" s="32"/>
      <c r="AA43" s="32"/>
      <c r="AB43" s="32"/>
      <c r="AC43" s="32"/>
      <c r="AD43" s="32"/>
      <c r="AE43" s="32">
        <v>1</v>
      </c>
    </row>
    <row r="44" spans="1:31" ht="12.75" customHeight="1">
      <c r="A44" s="2"/>
      <c r="B44" s="32" t="s">
        <v>122</v>
      </c>
      <c r="C44" s="32">
        <v>1</v>
      </c>
      <c r="D44" s="32"/>
      <c r="E44" s="32">
        <v>1</v>
      </c>
      <c r="F44" s="32">
        <v>1</v>
      </c>
      <c r="G44" s="32"/>
      <c r="H44" s="32">
        <v>1</v>
      </c>
      <c r="I44" s="32"/>
      <c r="J44" s="32"/>
      <c r="K44" s="32"/>
      <c r="L44" s="32"/>
      <c r="M44" s="32"/>
      <c r="N44" s="32"/>
      <c r="O44" s="32"/>
      <c r="P44" s="32"/>
      <c r="Q44" s="32"/>
      <c r="R44" s="32">
        <v>1</v>
      </c>
      <c r="S44" s="32">
        <v>1</v>
      </c>
      <c r="T44" s="32"/>
      <c r="U44" s="32">
        <v>1</v>
      </c>
      <c r="V44" s="32">
        <v>1</v>
      </c>
      <c r="W44" s="32"/>
      <c r="X44" s="32"/>
      <c r="Y44" s="32">
        <v>1</v>
      </c>
      <c r="Z44" s="32"/>
      <c r="AA44" s="32"/>
      <c r="AB44" s="32"/>
      <c r="AC44" s="32">
        <v>1</v>
      </c>
      <c r="AD44" s="32">
        <v>1</v>
      </c>
      <c r="AE44" s="32">
        <v>1</v>
      </c>
    </row>
    <row r="45" spans="1:31" ht="12.75" customHeight="1">
      <c r="A45" s="2"/>
      <c r="B45" s="32" t="s">
        <v>1221</v>
      </c>
      <c r="C45" s="32">
        <v>1</v>
      </c>
      <c r="D45" s="32"/>
      <c r="E45" s="32">
        <v>1</v>
      </c>
      <c r="F45" s="32"/>
      <c r="G45" s="32"/>
      <c r="H45" s="32"/>
      <c r="I45" s="32"/>
      <c r="J45" s="32">
        <v>1</v>
      </c>
      <c r="K45" s="32">
        <v>1</v>
      </c>
      <c r="L45" s="32"/>
      <c r="M45" s="32"/>
      <c r="N45" s="32"/>
      <c r="O45" s="32"/>
      <c r="P45" s="32"/>
      <c r="Q45" s="32"/>
      <c r="R45" s="32"/>
      <c r="S45" s="32"/>
      <c r="T45" s="32"/>
      <c r="U45" s="32">
        <v>1</v>
      </c>
      <c r="V45" s="32">
        <v>1</v>
      </c>
      <c r="W45" s="32"/>
      <c r="X45" s="32">
        <v>1</v>
      </c>
      <c r="Y45" s="32"/>
      <c r="Z45" s="32"/>
      <c r="AA45" s="32"/>
      <c r="AB45" s="32"/>
      <c r="AC45" s="32"/>
      <c r="AD45" s="32"/>
      <c r="AE45" s="32">
        <v>1</v>
      </c>
    </row>
    <row r="46" spans="1:31" ht="12.75" customHeight="1">
      <c r="A46" s="2"/>
      <c r="B46" s="32" t="s">
        <v>170</v>
      </c>
      <c r="C46" s="32">
        <v>1</v>
      </c>
      <c r="D46" s="32">
        <v>1</v>
      </c>
      <c r="E46" s="32">
        <v>1</v>
      </c>
      <c r="F46" s="32"/>
      <c r="G46" s="32">
        <v>1</v>
      </c>
      <c r="H46" s="32"/>
      <c r="I46" s="32"/>
      <c r="J46" s="32"/>
      <c r="K46" s="32"/>
      <c r="L46" s="32"/>
      <c r="M46" s="32"/>
      <c r="N46" s="32"/>
      <c r="O46" s="32"/>
      <c r="P46" s="32">
        <v>1</v>
      </c>
      <c r="Q46" s="32"/>
      <c r="R46" s="32"/>
      <c r="S46" s="32"/>
      <c r="T46" s="32">
        <v>1</v>
      </c>
      <c r="U46" s="32">
        <v>1</v>
      </c>
      <c r="V46" s="32">
        <v>1</v>
      </c>
      <c r="W46" s="32">
        <v>1</v>
      </c>
      <c r="X46" s="32"/>
      <c r="Y46" s="32"/>
      <c r="Z46" s="32"/>
      <c r="AA46" s="32"/>
      <c r="AB46" s="32"/>
      <c r="AC46" s="32"/>
      <c r="AD46" s="32"/>
      <c r="AE46" s="32"/>
    </row>
    <row r="47" spans="1:31" ht="12.75" customHeight="1">
      <c r="A47" s="2"/>
      <c r="B47" s="32" t="s">
        <v>77</v>
      </c>
      <c r="C47" s="32">
        <v>1</v>
      </c>
      <c r="D47" s="32"/>
      <c r="E47" s="32">
        <v>1</v>
      </c>
      <c r="F47" s="32"/>
      <c r="G47" s="32"/>
      <c r="H47" s="32"/>
      <c r="I47" s="32"/>
      <c r="J47" s="32"/>
      <c r="K47" s="32"/>
      <c r="L47" s="226"/>
      <c r="M47" s="32">
        <v>1</v>
      </c>
      <c r="N47" s="32">
        <v>1</v>
      </c>
      <c r="O47" s="32">
        <v>1</v>
      </c>
      <c r="P47" s="32"/>
      <c r="Q47" s="32"/>
      <c r="R47" s="32"/>
      <c r="S47" s="32">
        <v>1</v>
      </c>
      <c r="T47" s="32"/>
      <c r="U47" s="32">
        <v>1</v>
      </c>
      <c r="V47" s="32">
        <v>1</v>
      </c>
      <c r="W47" s="32"/>
      <c r="X47" s="32"/>
      <c r="Y47" s="32"/>
      <c r="Z47" s="32"/>
      <c r="AA47" s="32"/>
      <c r="AB47" s="32"/>
      <c r="AC47" s="32"/>
      <c r="AD47" s="32"/>
      <c r="AE47" s="32">
        <v>1</v>
      </c>
    </row>
    <row r="48" spans="1:31" ht="12.75" customHeight="1">
      <c r="A48" s="2"/>
      <c r="B48" s="32" t="s">
        <v>188</v>
      </c>
      <c r="C48" s="32">
        <v>1</v>
      </c>
      <c r="D48" s="32"/>
      <c r="E48" s="32">
        <v>1</v>
      </c>
      <c r="F48" s="32"/>
      <c r="G48" s="32"/>
      <c r="H48" s="32"/>
      <c r="I48" s="32">
        <v>1</v>
      </c>
      <c r="J48" s="32"/>
      <c r="K48" s="32"/>
      <c r="L48" s="32">
        <v>1</v>
      </c>
      <c r="M48" s="32">
        <v>1</v>
      </c>
      <c r="N48" s="32">
        <v>1</v>
      </c>
      <c r="O48" s="32">
        <v>1</v>
      </c>
      <c r="P48" s="32"/>
      <c r="Q48" s="32">
        <v>1</v>
      </c>
      <c r="R48" s="32"/>
      <c r="S48" s="32"/>
      <c r="T48" s="32">
        <v>1</v>
      </c>
      <c r="U48" s="32">
        <v>1</v>
      </c>
      <c r="V48" s="32">
        <v>1</v>
      </c>
      <c r="W48" s="32"/>
      <c r="X48" s="32"/>
      <c r="Y48" s="32"/>
      <c r="Z48" s="32">
        <v>1</v>
      </c>
      <c r="AA48" s="32">
        <v>1</v>
      </c>
      <c r="AB48" s="32">
        <v>1</v>
      </c>
      <c r="AC48" s="32"/>
      <c r="AD48" s="32"/>
      <c r="AE48" s="32">
        <v>1</v>
      </c>
    </row>
    <row r="49" spans="1:31" ht="12.75" customHeight="1">
      <c r="A49" s="2"/>
      <c r="B49" s="32" t="s">
        <v>176</v>
      </c>
      <c r="C49" s="32">
        <v>1</v>
      </c>
      <c r="D49" s="32"/>
      <c r="E49" s="32">
        <v>1</v>
      </c>
      <c r="F49" s="32"/>
      <c r="G49" s="32"/>
      <c r="H49" s="32"/>
      <c r="I49" s="32">
        <v>1</v>
      </c>
      <c r="J49" s="32"/>
      <c r="K49" s="32"/>
      <c r="L49" s="32">
        <v>1</v>
      </c>
      <c r="M49" s="32">
        <v>1</v>
      </c>
      <c r="N49" s="32">
        <v>1</v>
      </c>
      <c r="O49" s="32">
        <v>1</v>
      </c>
      <c r="P49" s="32"/>
      <c r="Q49" s="32"/>
      <c r="R49" s="32"/>
      <c r="S49" s="32">
        <v>1</v>
      </c>
      <c r="T49" s="32">
        <v>1</v>
      </c>
      <c r="U49" s="32">
        <v>1</v>
      </c>
      <c r="V49" s="32">
        <v>1</v>
      </c>
      <c r="W49" s="32"/>
      <c r="X49" s="32"/>
      <c r="Y49" s="32"/>
      <c r="Z49" s="32">
        <v>1</v>
      </c>
      <c r="AA49" s="32">
        <v>1</v>
      </c>
      <c r="AB49" s="32"/>
      <c r="AC49" s="32"/>
      <c r="AD49" s="32"/>
      <c r="AE49" s="32">
        <v>1</v>
      </c>
    </row>
    <row r="50" spans="1:31" ht="12.75" customHeight="1">
      <c r="A50" s="2"/>
      <c r="B50" s="32" t="s">
        <v>145</v>
      </c>
      <c r="C50" s="32">
        <v>1</v>
      </c>
      <c r="D50" s="32"/>
      <c r="E50" s="32">
        <v>1</v>
      </c>
      <c r="F50" s="32"/>
      <c r="G50" s="32"/>
      <c r="H50" s="32"/>
      <c r="I50" s="32">
        <v>1</v>
      </c>
      <c r="J50" s="32"/>
      <c r="K50" s="32"/>
      <c r="L50" s="32">
        <v>1</v>
      </c>
      <c r="M50" s="32">
        <v>1</v>
      </c>
      <c r="N50" s="32">
        <v>1</v>
      </c>
      <c r="O50" s="32">
        <v>1</v>
      </c>
      <c r="P50" s="32"/>
      <c r="Q50" s="32"/>
      <c r="R50" s="32"/>
      <c r="S50" s="32"/>
      <c r="T50" s="32">
        <v>1</v>
      </c>
      <c r="U50" s="32">
        <v>1</v>
      </c>
      <c r="V50" s="32">
        <v>1</v>
      </c>
      <c r="W50" s="32"/>
      <c r="X50" s="32"/>
      <c r="Y50" s="32"/>
      <c r="Z50" s="32">
        <v>1</v>
      </c>
      <c r="AA50" s="32">
        <v>1</v>
      </c>
      <c r="AB50" s="32"/>
      <c r="AC50" s="32"/>
      <c r="AD50" s="32"/>
      <c r="AE50" s="32">
        <v>1</v>
      </c>
    </row>
    <row r="51" spans="1:31" ht="12.75" customHeight="1">
      <c r="A51" s="2"/>
      <c r="B51" s="32" t="s">
        <v>140</v>
      </c>
      <c r="C51" s="32">
        <v>1</v>
      </c>
      <c r="D51" s="32"/>
      <c r="E51" s="32">
        <v>1</v>
      </c>
      <c r="F51" s="32"/>
      <c r="G51" s="32"/>
      <c r="H51" s="32"/>
      <c r="I51" s="32"/>
      <c r="J51" s="32">
        <v>1</v>
      </c>
      <c r="K51" s="32">
        <v>1</v>
      </c>
      <c r="L51" s="32"/>
      <c r="M51" s="32"/>
      <c r="N51" s="32"/>
      <c r="O51" s="32"/>
      <c r="P51" s="32"/>
      <c r="Q51" s="32">
        <v>1</v>
      </c>
      <c r="R51" s="32"/>
      <c r="S51" s="32"/>
      <c r="T51" s="32"/>
      <c r="U51" s="32">
        <v>1</v>
      </c>
      <c r="V51" s="32">
        <v>1</v>
      </c>
      <c r="W51" s="32"/>
      <c r="X51" s="32"/>
      <c r="Y51" s="32"/>
      <c r="Z51" s="32"/>
      <c r="AA51" s="32"/>
      <c r="AB51" s="32">
        <v>1</v>
      </c>
      <c r="AC51" s="32"/>
      <c r="AD51" s="32"/>
      <c r="AE51" s="32">
        <v>1</v>
      </c>
    </row>
    <row r="52" spans="1:31" ht="12.75" customHeight="1">
      <c r="A52" s="2"/>
      <c r="B52" s="32" t="s">
        <v>128</v>
      </c>
      <c r="C52" s="32">
        <v>1</v>
      </c>
      <c r="D52" s="32"/>
      <c r="E52" s="32">
        <v>1</v>
      </c>
      <c r="F52" s="32"/>
      <c r="G52" s="32">
        <v>1</v>
      </c>
      <c r="H52" s="32"/>
      <c r="I52" s="32">
        <v>1</v>
      </c>
      <c r="J52" s="32"/>
      <c r="K52" s="32"/>
      <c r="L52" s="32">
        <v>1</v>
      </c>
      <c r="M52" s="32">
        <v>1</v>
      </c>
      <c r="N52" s="32">
        <v>1</v>
      </c>
      <c r="O52" s="32">
        <v>1</v>
      </c>
      <c r="P52" s="32"/>
      <c r="Q52" s="32"/>
      <c r="R52" s="32"/>
      <c r="S52" s="32"/>
      <c r="T52" s="32">
        <v>1</v>
      </c>
      <c r="U52" s="32">
        <v>1</v>
      </c>
      <c r="V52" s="32">
        <v>1</v>
      </c>
      <c r="W52" s="32"/>
      <c r="X52" s="32"/>
      <c r="Y52" s="32"/>
      <c r="Z52" s="32">
        <v>1</v>
      </c>
      <c r="AA52" s="32">
        <v>1</v>
      </c>
      <c r="AB52" s="32"/>
      <c r="AC52" s="32"/>
      <c r="AD52" s="32"/>
      <c r="AE52" s="32">
        <v>1</v>
      </c>
    </row>
    <row r="53" spans="1:31" ht="12.75" customHeight="1">
      <c r="A53" s="2"/>
      <c r="B53" s="32" t="s">
        <v>1222</v>
      </c>
      <c r="C53" s="32">
        <v>1</v>
      </c>
      <c r="D53" s="32"/>
      <c r="E53" s="32">
        <v>1</v>
      </c>
      <c r="F53" s="32"/>
      <c r="G53" s="32">
        <v>1</v>
      </c>
      <c r="H53" s="32"/>
      <c r="I53" s="32">
        <v>1</v>
      </c>
      <c r="J53" s="32">
        <v>1</v>
      </c>
      <c r="K53" s="32">
        <v>1</v>
      </c>
      <c r="L53" s="32">
        <v>1</v>
      </c>
      <c r="M53" s="32"/>
      <c r="N53" s="32"/>
      <c r="O53" s="32"/>
      <c r="P53" s="32"/>
      <c r="Q53" s="32">
        <v>1</v>
      </c>
      <c r="R53" s="32"/>
      <c r="S53" s="32"/>
      <c r="T53" s="32"/>
      <c r="U53" s="32">
        <v>1</v>
      </c>
      <c r="V53" s="32">
        <v>1</v>
      </c>
      <c r="W53" s="32"/>
      <c r="X53" s="32">
        <v>1</v>
      </c>
      <c r="Y53" s="32"/>
      <c r="Z53" s="32"/>
      <c r="AA53" s="32"/>
      <c r="AB53" s="32">
        <v>1</v>
      </c>
      <c r="AC53" s="32"/>
      <c r="AD53" s="32"/>
      <c r="AE53" s="32">
        <v>1</v>
      </c>
    </row>
    <row r="54" spans="1:31" ht="12.75" customHeight="1">
      <c r="A54" s="2"/>
      <c r="B54" s="2"/>
      <c r="C54" s="32"/>
      <c r="D54" s="32"/>
      <c r="E54" s="32"/>
      <c r="F54" s="32"/>
      <c r="G54" s="32"/>
      <c r="H54" s="32"/>
      <c r="I54" s="32"/>
      <c r="J54" s="32"/>
      <c r="K54" s="32"/>
      <c r="L54" s="32"/>
      <c r="M54" s="32"/>
      <c r="N54" s="32"/>
      <c r="O54" s="32"/>
      <c r="P54" s="32"/>
      <c r="Q54" s="32"/>
      <c r="R54" s="32"/>
      <c r="S54" s="32"/>
      <c r="T54" s="32"/>
      <c r="U54" s="32"/>
      <c r="V54" s="32"/>
      <c r="W54" s="32"/>
      <c r="X54" s="32"/>
      <c r="Y54" s="32"/>
      <c r="Z54" s="32"/>
      <c r="AA54" s="32"/>
      <c r="AB54" s="32"/>
      <c r="AC54" s="32"/>
      <c r="AD54" s="32"/>
      <c r="AE54" s="32"/>
    </row>
    <row r="55" spans="1:31" ht="12.75" customHeight="1">
      <c r="A55" s="2"/>
      <c r="B55" s="32" t="str">
        <f>CONCATENATE(C35,D35,E35,F35,G35,H35,I35,J35,K35,L35,M35,N35,O35,P35,Q35,R35,S35,T35,U35,V35,W35,X35,Y35,Z35,AA35,AB35,AC35,AD35,AE35)</f>
        <v>AAAAABAACAAEAANAARAASAATAAV</v>
      </c>
      <c r="C55" s="32" t="str">
        <f>""</f>
        <v/>
      </c>
      <c r="D55" s="32"/>
      <c r="E55" s="32"/>
      <c r="F55" s="32"/>
      <c r="G55" s="32"/>
      <c r="H55" s="32"/>
      <c r="I55" s="32"/>
      <c r="J55" s="32"/>
      <c r="K55" s="32"/>
      <c r="L55" s="32"/>
      <c r="M55" s="32"/>
      <c r="N55" s="32"/>
      <c r="O55" s="32"/>
      <c r="P55" s="32"/>
      <c r="Q55" s="32"/>
      <c r="R55" s="32"/>
      <c r="S55" s="32"/>
      <c r="T55" s="32"/>
      <c r="U55" s="32"/>
      <c r="V55" s="32"/>
      <c r="W55" s="32"/>
      <c r="X55" s="32"/>
      <c r="Y55" s="32"/>
      <c r="Z55" s="32"/>
      <c r="AA55" s="32"/>
      <c r="AB55" s="32"/>
      <c r="AC55" s="32"/>
      <c r="AD55" s="32"/>
      <c r="AE55" s="32"/>
    </row>
    <row r="56" spans="1:31" ht="12.75" customHeight="1">
      <c r="A56" s="2"/>
      <c r="B56" s="32" t="str">
        <f>MID($B$55,1,3)</f>
        <v>AAA</v>
      </c>
      <c r="C56" s="32" t="str">
        <f t="shared" ref="C56:C75" si="1">IFERROR((VLOOKUP(B56,$A$4:$B$32,2,FALSE)),"")</f>
        <v>Akhorne the Squirrel</v>
      </c>
      <c r="D56" s="32"/>
      <c r="E56" s="45" t="s">
        <v>85</v>
      </c>
      <c r="F56" s="45" t="s">
        <v>216</v>
      </c>
      <c r="G56" s="45" t="s">
        <v>1219</v>
      </c>
      <c r="H56" s="45" t="s">
        <v>155</v>
      </c>
      <c r="I56" s="45" t="s">
        <v>1220</v>
      </c>
      <c r="J56" s="45" t="s">
        <v>122</v>
      </c>
      <c r="K56" s="45" t="s">
        <v>1221</v>
      </c>
      <c r="L56" s="45" t="s">
        <v>170</v>
      </c>
      <c r="M56" s="45" t="s">
        <v>77</v>
      </c>
      <c r="N56" s="45" t="s">
        <v>188</v>
      </c>
      <c r="O56" s="45" t="s">
        <v>176</v>
      </c>
      <c r="P56" s="45" t="s">
        <v>145</v>
      </c>
      <c r="Q56" s="45" t="s">
        <v>140</v>
      </c>
      <c r="R56" s="45" t="s">
        <v>128</v>
      </c>
      <c r="S56" s="45" t="s">
        <v>1222</v>
      </c>
      <c r="T56" s="32"/>
      <c r="U56" s="32"/>
      <c r="V56" s="32"/>
      <c r="W56" s="32"/>
      <c r="X56" s="32"/>
      <c r="Y56" s="32"/>
      <c r="Z56" s="32"/>
      <c r="AA56" s="32"/>
      <c r="AB56" s="32"/>
      <c r="AC56" s="32"/>
      <c r="AD56" s="32"/>
      <c r="AE56" s="32"/>
    </row>
    <row r="57" spans="1:31" ht="12.75" customHeight="1">
      <c r="A57" s="2"/>
      <c r="B57" s="32" t="str">
        <f>MID($B$55,4,3)</f>
        <v>AAB</v>
      </c>
      <c r="C57" s="32" t="str">
        <f t="shared" si="1"/>
        <v>Bryce 'the Slice' Cambuel</v>
      </c>
      <c r="D57" s="32"/>
      <c r="E57" s="32" t="str">
        <f t="shared" ref="E57:S57" si="2">""</f>
        <v/>
      </c>
      <c r="F57" s="32" t="str">
        <f t="shared" si="2"/>
        <v/>
      </c>
      <c r="G57" s="32" t="str">
        <f t="shared" si="2"/>
        <v/>
      </c>
      <c r="H57" s="32" t="str">
        <f t="shared" si="2"/>
        <v/>
      </c>
      <c r="I57" s="32" t="str">
        <f t="shared" si="2"/>
        <v/>
      </c>
      <c r="J57" s="32" t="str">
        <f t="shared" si="2"/>
        <v/>
      </c>
      <c r="K57" s="32" t="str">
        <f t="shared" si="2"/>
        <v/>
      </c>
      <c r="L57" s="32" t="str">
        <f t="shared" si="2"/>
        <v/>
      </c>
      <c r="M57" s="32" t="str">
        <f t="shared" si="2"/>
        <v/>
      </c>
      <c r="N57" s="32" t="str">
        <f t="shared" si="2"/>
        <v/>
      </c>
      <c r="O57" s="32" t="str">
        <f t="shared" si="2"/>
        <v/>
      </c>
      <c r="P57" s="32" t="str">
        <f t="shared" si="2"/>
        <v/>
      </c>
      <c r="Q57" s="32" t="str">
        <f t="shared" si="2"/>
        <v/>
      </c>
      <c r="R57" s="32" t="str">
        <f t="shared" si="2"/>
        <v/>
      </c>
      <c r="S57" s="32" t="str">
        <f t="shared" si="2"/>
        <v/>
      </c>
      <c r="T57" s="32"/>
      <c r="U57" s="32"/>
      <c r="V57" s="32"/>
      <c r="W57" s="32"/>
      <c r="X57" s="32"/>
      <c r="Y57" s="32"/>
      <c r="Z57" s="32"/>
      <c r="AA57" s="32"/>
      <c r="AB57" s="32"/>
      <c r="AC57" s="32"/>
      <c r="AD57" s="32"/>
      <c r="AE57" s="32"/>
    </row>
    <row r="58" spans="1:31" ht="12.75" customHeight="1">
      <c r="A58" s="2"/>
      <c r="B58" s="32" t="str">
        <f>MID($B$55,7,3)</f>
        <v>AAC</v>
      </c>
      <c r="C58" s="32" t="str">
        <f t="shared" si="1"/>
        <v>Helmut Wulf</v>
      </c>
      <c r="D58" s="32"/>
      <c r="E58" s="32" t="s">
        <v>928</v>
      </c>
      <c r="F58" s="32" t="s">
        <v>928</v>
      </c>
      <c r="G58" s="32" t="s">
        <v>928</v>
      </c>
      <c r="H58" s="32" t="s">
        <v>928</v>
      </c>
      <c r="I58" s="32" t="s">
        <v>928</v>
      </c>
      <c r="J58" s="32" t="s">
        <v>928</v>
      </c>
      <c r="K58" s="226" t="s">
        <v>928</v>
      </c>
      <c r="L58" s="32" t="s">
        <v>928</v>
      </c>
      <c r="M58" s="32" t="s">
        <v>928</v>
      </c>
      <c r="N58" s="32" t="s">
        <v>928</v>
      </c>
      <c r="O58" s="32" t="s">
        <v>928</v>
      </c>
      <c r="P58" s="32" t="s">
        <v>928</v>
      </c>
      <c r="Q58" s="32" t="s">
        <v>928</v>
      </c>
      <c r="R58" s="32" t="s">
        <v>928</v>
      </c>
      <c r="S58" s="32" t="s">
        <v>928</v>
      </c>
      <c r="T58" s="32"/>
      <c r="U58" s="32"/>
      <c r="V58" s="32"/>
      <c r="W58" s="32"/>
      <c r="X58" s="32"/>
      <c r="Y58" s="32"/>
      <c r="Z58" s="32"/>
      <c r="AA58" s="32"/>
      <c r="AB58" s="32"/>
      <c r="AC58" s="32"/>
      <c r="AD58" s="32"/>
      <c r="AE58" s="32"/>
    </row>
    <row r="59" spans="1:31" ht="12.75" customHeight="1">
      <c r="A59" s="2"/>
      <c r="B59" s="32" t="str">
        <f>MID($B$55,10,3)</f>
        <v>AAE</v>
      </c>
      <c r="C59" s="32" t="str">
        <f t="shared" si="1"/>
        <v>Skrull Halfheight</v>
      </c>
      <c r="D59" s="32"/>
      <c r="E59" s="32" t="s">
        <v>940</v>
      </c>
      <c r="F59" s="32" t="s">
        <v>940</v>
      </c>
      <c r="G59" s="32" t="s">
        <v>940</v>
      </c>
      <c r="H59" s="32" t="s">
        <v>940</v>
      </c>
      <c r="I59" s="32" t="s">
        <v>940</v>
      </c>
      <c r="J59" s="32" t="s">
        <v>940</v>
      </c>
      <c r="K59" s="226" t="s">
        <v>940</v>
      </c>
      <c r="L59" s="32" t="s">
        <v>1180</v>
      </c>
      <c r="M59" s="32" t="s">
        <v>940</v>
      </c>
      <c r="N59" s="32" t="s">
        <v>940</v>
      </c>
      <c r="O59" s="32" t="s">
        <v>940</v>
      </c>
      <c r="P59" s="32" t="s">
        <v>940</v>
      </c>
      <c r="Q59" s="32" t="s">
        <v>940</v>
      </c>
      <c r="R59" s="32" t="s">
        <v>940</v>
      </c>
      <c r="S59" s="32" t="s">
        <v>940</v>
      </c>
      <c r="T59" s="32"/>
      <c r="U59" s="32"/>
      <c r="V59" s="32"/>
      <c r="W59" s="32"/>
      <c r="X59" s="32"/>
      <c r="Y59" s="32"/>
      <c r="Z59" s="32"/>
      <c r="AA59" s="32"/>
      <c r="AB59" s="32"/>
      <c r="AC59" s="32"/>
      <c r="AD59" s="32"/>
      <c r="AE59" s="32"/>
    </row>
    <row r="60" spans="1:31" ht="12.75" customHeight="1">
      <c r="A60" s="2"/>
      <c r="B60" s="32" t="str">
        <f>MID($B$55,13,3)</f>
        <v>AAN</v>
      </c>
      <c r="C60" s="32" t="str">
        <f t="shared" si="1"/>
        <v>Wilhelm Chaney</v>
      </c>
      <c r="D60" s="32"/>
      <c r="E60" s="32" t="s">
        <v>952</v>
      </c>
      <c r="F60" s="32" t="s">
        <v>1003</v>
      </c>
      <c r="G60" s="32" t="s">
        <v>1024</v>
      </c>
      <c r="H60" s="32" t="s">
        <v>1024</v>
      </c>
      <c r="I60" s="32" t="s">
        <v>1093</v>
      </c>
      <c r="J60" s="32" t="s">
        <v>1103</v>
      </c>
      <c r="K60" s="226" t="s">
        <v>1003</v>
      </c>
      <c r="L60" s="32" t="s">
        <v>940</v>
      </c>
      <c r="M60" s="32" t="s">
        <v>1044</v>
      </c>
      <c r="N60" s="32" t="s">
        <v>1024</v>
      </c>
      <c r="O60" s="32" t="s">
        <v>1024</v>
      </c>
      <c r="P60" s="32" t="s">
        <v>1024</v>
      </c>
      <c r="Q60" s="32" t="s">
        <v>1003</v>
      </c>
      <c r="R60" s="32" t="s">
        <v>1093</v>
      </c>
      <c r="S60" s="32" t="s">
        <v>1093</v>
      </c>
      <c r="T60" s="32"/>
      <c r="U60" s="32"/>
      <c r="V60" s="32"/>
      <c r="W60" s="32"/>
      <c r="X60" s="32"/>
      <c r="Y60" s="32"/>
      <c r="Z60" s="32"/>
      <c r="AA60" s="32"/>
      <c r="AB60" s="32"/>
      <c r="AC60" s="32"/>
      <c r="AD60" s="32"/>
      <c r="AE60" s="32"/>
    </row>
    <row r="61" spans="1:31" ht="12.75" customHeight="1">
      <c r="A61" s="2"/>
      <c r="B61" s="32" t="str">
        <f>MID($B$55,16,3)</f>
        <v>AAR</v>
      </c>
      <c r="C61" s="32" t="str">
        <f t="shared" si="1"/>
        <v>Frank 'n' Stein</v>
      </c>
      <c r="D61" s="32"/>
      <c r="E61" s="32" t="s">
        <v>962</v>
      </c>
      <c r="F61" s="32" t="s">
        <v>1014</v>
      </c>
      <c r="G61" s="32" t="s">
        <v>1034</v>
      </c>
      <c r="H61" s="32" t="s">
        <v>1034</v>
      </c>
      <c r="I61" s="32" t="s">
        <v>1024</v>
      </c>
      <c r="J61" s="32" t="s">
        <v>1113</v>
      </c>
      <c r="K61" s="226" t="s">
        <v>1014</v>
      </c>
      <c r="L61" s="32" t="s">
        <v>1093</v>
      </c>
      <c r="M61" s="32" t="s">
        <v>1054</v>
      </c>
      <c r="N61" s="32" t="s">
        <v>1034</v>
      </c>
      <c r="O61" s="32" t="s">
        <v>1034</v>
      </c>
      <c r="P61" s="32" t="s">
        <v>1034</v>
      </c>
      <c r="Q61" s="32" t="s">
        <v>1014</v>
      </c>
      <c r="R61" s="32" t="s">
        <v>1024</v>
      </c>
      <c r="S61" s="32" t="s">
        <v>1024</v>
      </c>
      <c r="T61" s="32"/>
      <c r="U61" s="32"/>
      <c r="V61" s="32"/>
      <c r="W61" s="32"/>
      <c r="X61" s="32"/>
      <c r="Y61" s="32"/>
      <c r="Z61" s="32"/>
      <c r="AA61" s="32"/>
      <c r="AB61" s="32"/>
      <c r="AC61" s="32"/>
      <c r="AD61" s="32"/>
      <c r="AE61" s="32"/>
    </row>
    <row r="62" spans="1:31" ht="12.75" customHeight="1">
      <c r="A62" s="2"/>
      <c r="B62" s="32" t="str">
        <f>MID($B$55,19,3)</f>
        <v>AAS</v>
      </c>
      <c r="C62" s="32" t="str">
        <f t="shared" si="1"/>
        <v>Grak</v>
      </c>
      <c r="D62" s="32"/>
      <c r="E62" s="32" t="s">
        <v>974</v>
      </c>
      <c r="F62" s="32" t="s">
        <v>952</v>
      </c>
      <c r="G62" s="32" t="s">
        <v>1054</v>
      </c>
      <c r="H62" s="32" t="s">
        <v>1044</v>
      </c>
      <c r="I62" s="32" t="s">
        <v>1034</v>
      </c>
      <c r="J62" s="32" t="s">
        <v>1123</v>
      </c>
      <c r="K62" s="226" t="s">
        <v>962</v>
      </c>
      <c r="L62" s="32" t="s">
        <v>1190</v>
      </c>
      <c r="M62" s="32" t="s">
        <v>1210</v>
      </c>
      <c r="N62" s="32" t="s">
        <v>1044</v>
      </c>
      <c r="O62" s="32" t="s">
        <v>1044</v>
      </c>
      <c r="P62" s="32" t="s">
        <v>1044</v>
      </c>
      <c r="Q62" s="32" t="s">
        <v>952</v>
      </c>
      <c r="R62" s="32" t="s">
        <v>1034</v>
      </c>
      <c r="S62" s="32" t="s">
        <v>1003</v>
      </c>
      <c r="T62" s="32"/>
      <c r="U62" s="32"/>
      <c r="V62" s="32"/>
      <c r="W62" s="32"/>
      <c r="X62" s="32"/>
      <c r="Y62" s="32"/>
      <c r="Z62" s="32"/>
      <c r="AA62" s="32"/>
      <c r="AB62" s="32"/>
      <c r="AC62" s="32"/>
      <c r="AD62" s="32"/>
      <c r="AE62" s="32"/>
    </row>
    <row r="63" spans="1:31" ht="12.75" customHeight="1">
      <c r="A63" s="2"/>
      <c r="B63" s="32" t="str">
        <f>MID($B$55,22,3)</f>
        <v>AAT</v>
      </c>
      <c r="C63" s="32" t="str">
        <f t="shared" si="1"/>
        <v>Crumbleberry</v>
      </c>
      <c r="D63" s="32"/>
      <c r="E63" s="32" t="s">
        <v>981</v>
      </c>
      <c r="F63" s="32" t="s">
        <v>962</v>
      </c>
      <c r="G63" s="32" t="s">
        <v>1210</v>
      </c>
      <c r="H63" s="32" t="s">
        <v>1054</v>
      </c>
      <c r="I63" s="32" t="s">
        <v>962</v>
      </c>
      <c r="J63" s="32" t="s">
        <v>1133</v>
      </c>
      <c r="K63" s="226" t="s">
        <v>974</v>
      </c>
      <c r="L63" s="32" t="s">
        <v>1084</v>
      </c>
      <c r="M63" s="32" t="s">
        <v>1133</v>
      </c>
      <c r="N63" s="32" t="s">
        <v>1054</v>
      </c>
      <c r="O63" s="32" t="s">
        <v>1054</v>
      </c>
      <c r="P63" s="32" t="s">
        <v>1054</v>
      </c>
      <c r="Q63" s="32" t="s">
        <v>962</v>
      </c>
      <c r="R63" s="32" t="s">
        <v>1044</v>
      </c>
      <c r="S63" s="32" t="s">
        <v>1014</v>
      </c>
      <c r="T63" s="32"/>
      <c r="U63" s="32"/>
      <c r="V63" s="32"/>
      <c r="W63" s="32"/>
      <c r="X63" s="32"/>
      <c r="Y63" s="32"/>
      <c r="Z63" s="32"/>
      <c r="AA63" s="32"/>
      <c r="AB63" s="32"/>
      <c r="AC63" s="32"/>
      <c r="AD63" s="32"/>
      <c r="AE63" s="32"/>
    </row>
    <row r="64" spans="1:31" ht="12.75" customHeight="1">
      <c r="A64" s="2"/>
      <c r="B64" s="32" t="str">
        <f>MID($B$55,25,3)</f>
        <v>AAV</v>
      </c>
      <c r="C64" s="32" t="str">
        <f t="shared" si="1"/>
        <v>Gretchen Wächter</v>
      </c>
      <c r="D64" s="32"/>
      <c r="E64" s="32" t="s">
        <v>992</v>
      </c>
      <c r="F64" s="32" t="s">
        <v>974</v>
      </c>
      <c r="G64" s="32" t="s">
        <v>962</v>
      </c>
      <c r="H64" s="32" t="s">
        <v>1210</v>
      </c>
      <c r="I64" s="32" t="s">
        <v>974</v>
      </c>
      <c r="J64" s="32" t="s">
        <v>962</v>
      </c>
      <c r="K64" s="226" t="s">
        <v>1170</v>
      </c>
      <c r="L64" s="32" t="s">
        <v>962</v>
      </c>
      <c r="M64" s="32" t="s">
        <v>962</v>
      </c>
      <c r="N64" s="32" t="s">
        <v>1210</v>
      </c>
      <c r="O64" s="32" t="s">
        <v>1210</v>
      </c>
      <c r="P64" s="32" t="s">
        <v>1210</v>
      </c>
      <c r="Q64" s="32" t="s">
        <v>974</v>
      </c>
      <c r="R64" s="32" t="s">
        <v>1054</v>
      </c>
      <c r="S64" s="32" t="s">
        <v>1034</v>
      </c>
      <c r="T64" s="32"/>
      <c r="U64" s="32"/>
      <c r="V64" s="32"/>
      <c r="W64" s="32"/>
      <c r="X64" s="32"/>
      <c r="Y64" s="32"/>
      <c r="Z64" s="32"/>
      <c r="AA64" s="32"/>
      <c r="AB64" s="32"/>
      <c r="AC64" s="32"/>
      <c r="AD64" s="32"/>
      <c r="AE64" s="32"/>
    </row>
    <row r="65" spans="1:31" ht="12.75" customHeight="1">
      <c r="A65" s="2"/>
      <c r="B65" s="32" t="str">
        <f>MID($B$55,28,3)</f>
        <v/>
      </c>
      <c r="C65" s="32" t="str">
        <f t="shared" si="1"/>
        <v/>
      </c>
      <c r="D65" s="32"/>
      <c r="E65" s="32" t="str">
        <f t="shared" ref="E65:E76" si="3">""</f>
        <v/>
      </c>
      <c r="F65" s="32" t="s">
        <v>981</v>
      </c>
      <c r="G65" s="32" t="s">
        <v>974</v>
      </c>
      <c r="H65" s="32" t="s">
        <v>1084</v>
      </c>
      <c r="I65" s="32" t="s">
        <v>992</v>
      </c>
      <c r="J65" s="32" t="s">
        <v>974</v>
      </c>
      <c r="K65" s="226" t="s">
        <v>992</v>
      </c>
      <c r="L65" s="32" t="s">
        <v>974</v>
      </c>
      <c r="M65" s="32" t="s">
        <v>974</v>
      </c>
      <c r="N65" s="32" t="s">
        <v>952</v>
      </c>
      <c r="O65" s="32" t="s">
        <v>1133</v>
      </c>
      <c r="P65" s="32" t="s">
        <v>1084</v>
      </c>
      <c r="Q65" s="32" t="s">
        <v>981</v>
      </c>
      <c r="R65" s="32" t="s">
        <v>1210</v>
      </c>
      <c r="S65" s="32" t="s">
        <v>952</v>
      </c>
      <c r="T65" s="32"/>
      <c r="U65" s="32"/>
      <c r="V65" s="32"/>
      <c r="W65" s="32"/>
      <c r="X65" s="32"/>
      <c r="Y65" s="32"/>
      <c r="Z65" s="32"/>
      <c r="AA65" s="32"/>
      <c r="AB65" s="32"/>
      <c r="AC65" s="32"/>
      <c r="AD65" s="32"/>
      <c r="AE65" s="32"/>
    </row>
    <row r="66" spans="1:31" ht="12.75" customHeight="1">
      <c r="A66" s="2"/>
      <c r="B66" s="32" t="str">
        <f>MID($B$55,31,3)</f>
        <v/>
      </c>
      <c r="C66" s="32" t="str">
        <f t="shared" si="1"/>
        <v/>
      </c>
      <c r="D66" s="32"/>
      <c r="E66" s="32" t="str">
        <f t="shared" si="3"/>
        <v/>
      </c>
      <c r="F66" s="32" t="s">
        <v>992</v>
      </c>
      <c r="G66" s="32" t="s">
        <v>1064</v>
      </c>
      <c r="H66" s="32" t="s">
        <v>962</v>
      </c>
      <c r="I66" s="32" t="str">
        <f t="shared" ref="I66:I70" si="4">""</f>
        <v/>
      </c>
      <c r="J66" s="32" t="s">
        <v>1143</v>
      </c>
      <c r="K66" s="32" t="str">
        <f t="shared" ref="K66:K69" si="5">""</f>
        <v/>
      </c>
      <c r="L66" s="32" t="s">
        <v>1200</v>
      </c>
      <c r="M66" s="32" t="s">
        <v>992</v>
      </c>
      <c r="N66" s="32" t="s">
        <v>1084</v>
      </c>
      <c r="O66" s="32" t="s">
        <v>1084</v>
      </c>
      <c r="P66" s="32" t="s">
        <v>962</v>
      </c>
      <c r="Q66" s="32" t="s">
        <v>992</v>
      </c>
      <c r="R66" s="32" t="s">
        <v>1084</v>
      </c>
      <c r="S66" s="32" t="s">
        <v>962</v>
      </c>
      <c r="T66" s="32"/>
      <c r="U66" s="32"/>
      <c r="V66" s="32"/>
      <c r="W66" s="32"/>
      <c r="X66" s="32"/>
      <c r="Y66" s="32"/>
      <c r="Z66" s="32"/>
      <c r="AA66" s="32"/>
      <c r="AB66" s="32"/>
      <c r="AC66" s="32"/>
      <c r="AD66" s="32"/>
      <c r="AE66" s="32"/>
    </row>
    <row r="67" spans="1:31" ht="12.75" customHeight="1">
      <c r="A67" s="2"/>
      <c r="B67" s="32" t="str">
        <f>MID($B$55,34,3)</f>
        <v/>
      </c>
      <c r="C67" s="32" t="str">
        <f t="shared" si="1"/>
        <v/>
      </c>
      <c r="D67" s="32"/>
      <c r="E67" s="32" t="str">
        <f t="shared" si="3"/>
        <v/>
      </c>
      <c r="F67" s="32" t="str">
        <f t="shared" ref="F67:F76" si="6">""</f>
        <v/>
      </c>
      <c r="G67" s="32" t="s">
        <v>1074</v>
      </c>
      <c r="H67" s="32" t="s">
        <v>974</v>
      </c>
      <c r="I67" s="32" t="str">
        <f t="shared" si="4"/>
        <v/>
      </c>
      <c r="J67" s="32" t="s">
        <v>1154</v>
      </c>
      <c r="K67" s="32" t="str">
        <f t="shared" si="5"/>
        <v/>
      </c>
      <c r="L67" s="32" t="str">
        <f t="shared" ref="L67:M67" si="7">""</f>
        <v/>
      </c>
      <c r="M67" s="32" t="str">
        <f t="shared" si="7"/>
        <v/>
      </c>
      <c r="N67" s="32" t="s">
        <v>962</v>
      </c>
      <c r="O67" s="32" t="s">
        <v>962</v>
      </c>
      <c r="P67" s="32" t="s">
        <v>974</v>
      </c>
      <c r="Q67" s="32" t="str">
        <f t="shared" ref="Q67:Q70" si="8">""</f>
        <v/>
      </c>
      <c r="R67" s="32" t="s">
        <v>962</v>
      </c>
      <c r="S67" s="32" t="s">
        <v>974</v>
      </c>
      <c r="T67" s="32"/>
      <c r="U67" s="32"/>
      <c r="V67" s="32"/>
      <c r="W67" s="32"/>
      <c r="X67" s="32"/>
      <c r="Y67" s="32"/>
      <c r="Z67" s="32"/>
      <c r="AA67" s="32"/>
      <c r="AB67" s="32"/>
      <c r="AC67" s="32"/>
      <c r="AD67" s="32"/>
      <c r="AE67" s="32"/>
    </row>
    <row r="68" spans="1:31" ht="12.75" customHeight="1">
      <c r="A68" s="2"/>
      <c r="B68" s="32" t="str">
        <f>MID($B$55,37,3)</f>
        <v/>
      </c>
      <c r="C68" s="32" t="str">
        <f t="shared" si="1"/>
        <v/>
      </c>
      <c r="D68" s="32"/>
      <c r="E68" s="32" t="str">
        <f t="shared" si="3"/>
        <v/>
      </c>
      <c r="F68" s="32" t="str">
        <f t="shared" si="6"/>
        <v/>
      </c>
      <c r="G68" s="32" t="s">
        <v>992</v>
      </c>
      <c r="H68" s="32" t="s">
        <v>1064</v>
      </c>
      <c r="I68" s="32" t="str">
        <f t="shared" si="4"/>
        <v/>
      </c>
      <c r="J68" s="32" t="s">
        <v>1164</v>
      </c>
      <c r="K68" s="32" t="str">
        <f t="shared" si="5"/>
        <v/>
      </c>
      <c r="L68" s="32" t="str">
        <f t="shared" ref="L68:M68" si="9">""</f>
        <v/>
      </c>
      <c r="M68" s="32" t="str">
        <f t="shared" si="9"/>
        <v/>
      </c>
      <c r="N68" s="32" t="s">
        <v>974</v>
      </c>
      <c r="O68" s="32" t="s">
        <v>974</v>
      </c>
      <c r="P68" s="32" t="s">
        <v>1064</v>
      </c>
      <c r="Q68" s="32" t="str">
        <f t="shared" si="8"/>
        <v/>
      </c>
      <c r="R68" s="32" t="s">
        <v>974</v>
      </c>
      <c r="S68" s="32" t="s">
        <v>1170</v>
      </c>
      <c r="T68" s="32"/>
      <c r="U68" s="32"/>
      <c r="V68" s="32"/>
      <c r="W68" s="32"/>
      <c r="X68" s="32"/>
      <c r="Y68" s="32"/>
      <c r="Z68" s="32"/>
      <c r="AA68" s="32"/>
      <c r="AB68" s="32"/>
      <c r="AC68" s="32"/>
      <c r="AD68" s="32"/>
      <c r="AE68" s="32"/>
    </row>
    <row r="69" spans="1:31" ht="12.75" customHeight="1">
      <c r="A69" s="2"/>
      <c r="B69" s="32" t="str">
        <f>MID($B$55,40,3)</f>
        <v/>
      </c>
      <c r="C69" s="32" t="str">
        <f t="shared" si="1"/>
        <v/>
      </c>
      <c r="D69" s="32"/>
      <c r="E69" s="32" t="str">
        <f t="shared" si="3"/>
        <v/>
      </c>
      <c r="F69" s="32" t="str">
        <f t="shared" si="6"/>
        <v/>
      </c>
      <c r="G69" s="32" t="str">
        <f t="shared" ref="G69:G76" si="10">""</f>
        <v/>
      </c>
      <c r="H69" s="32" t="s">
        <v>1074</v>
      </c>
      <c r="I69" s="32" t="str">
        <f t="shared" si="4"/>
        <v/>
      </c>
      <c r="J69" s="32" t="s">
        <v>992</v>
      </c>
      <c r="K69" s="32" t="str">
        <f t="shared" si="5"/>
        <v/>
      </c>
      <c r="L69" s="32" t="str">
        <f t="shared" ref="L69:M69" si="11">""</f>
        <v/>
      </c>
      <c r="M69" s="32" t="str">
        <f t="shared" si="11"/>
        <v/>
      </c>
      <c r="N69" s="32" t="s">
        <v>1064</v>
      </c>
      <c r="O69" s="32" t="s">
        <v>1064</v>
      </c>
      <c r="P69" s="32" t="s">
        <v>1074</v>
      </c>
      <c r="Q69" s="32" t="str">
        <f t="shared" si="8"/>
        <v/>
      </c>
      <c r="R69" s="32" t="s">
        <v>1064</v>
      </c>
      <c r="S69" s="32" t="s">
        <v>981</v>
      </c>
      <c r="T69" s="32"/>
      <c r="U69" s="32"/>
      <c r="V69" s="32"/>
      <c r="W69" s="32"/>
      <c r="X69" s="32"/>
      <c r="Y69" s="32"/>
      <c r="Z69" s="32"/>
      <c r="AA69" s="32"/>
      <c r="AB69" s="32"/>
      <c r="AC69" s="32"/>
      <c r="AD69" s="32"/>
      <c r="AE69" s="32"/>
    </row>
    <row r="70" spans="1:31" ht="12.75" customHeight="1">
      <c r="A70" s="2"/>
      <c r="B70" s="32" t="str">
        <f>MID($B$55,43,3)</f>
        <v/>
      </c>
      <c r="C70" s="32" t="str">
        <f t="shared" si="1"/>
        <v/>
      </c>
      <c r="D70" s="32"/>
      <c r="E70" s="32" t="str">
        <f t="shared" si="3"/>
        <v/>
      </c>
      <c r="F70" s="32" t="str">
        <f t="shared" si="6"/>
        <v/>
      </c>
      <c r="G70" s="32" t="str">
        <f t="shared" si="10"/>
        <v/>
      </c>
      <c r="H70" s="32" t="s">
        <v>992</v>
      </c>
      <c r="I70" s="32" t="str">
        <f t="shared" si="4"/>
        <v/>
      </c>
      <c r="J70" s="32" t="str">
        <f t="shared" ref="J70:M70" si="12">""</f>
        <v/>
      </c>
      <c r="K70" s="32" t="str">
        <f t="shared" si="12"/>
        <v/>
      </c>
      <c r="L70" s="32" t="str">
        <f t="shared" si="12"/>
        <v/>
      </c>
      <c r="M70" s="32" t="str">
        <f t="shared" si="12"/>
        <v/>
      </c>
      <c r="N70" s="32" t="s">
        <v>1074</v>
      </c>
      <c r="O70" s="32" t="s">
        <v>1074</v>
      </c>
      <c r="P70" s="32" t="s">
        <v>992</v>
      </c>
      <c r="Q70" s="32" t="str">
        <f t="shared" si="8"/>
        <v/>
      </c>
      <c r="R70" s="32" t="s">
        <v>1074</v>
      </c>
      <c r="S70" s="32" t="s">
        <v>992</v>
      </c>
      <c r="T70" s="32"/>
      <c r="U70" s="32"/>
      <c r="V70" s="32"/>
      <c r="W70" s="32"/>
      <c r="X70" s="32"/>
      <c r="Y70" s="32"/>
      <c r="Z70" s="32"/>
      <c r="AA70" s="32"/>
      <c r="AB70" s="32"/>
      <c r="AC70" s="32"/>
      <c r="AD70" s="32"/>
      <c r="AE70" s="32"/>
    </row>
    <row r="71" spans="1:31" ht="12.75" customHeight="1">
      <c r="A71" s="2"/>
      <c r="B71" s="32" t="str">
        <f>MID($B$55,46,3)</f>
        <v/>
      </c>
      <c r="C71" s="32" t="str">
        <f t="shared" si="1"/>
        <v/>
      </c>
      <c r="D71" s="32"/>
      <c r="E71" s="32" t="str">
        <f t="shared" si="3"/>
        <v/>
      </c>
      <c r="F71" s="32" t="str">
        <f t="shared" si="6"/>
        <v/>
      </c>
      <c r="G71" s="32" t="str">
        <f t="shared" si="10"/>
        <v/>
      </c>
      <c r="H71" s="32" t="str">
        <f t="shared" ref="H71:M71" si="13">""</f>
        <v/>
      </c>
      <c r="I71" s="32" t="str">
        <f t="shared" si="13"/>
        <v/>
      </c>
      <c r="J71" s="32" t="str">
        <f t="shared" si="13"/>
        <v/>
      </c>
      <c r="K71" s="32" t="str">
        <f t="shared" si="13"/>
        <v/>
      </c>
      <c r="L71" s="32" t="str">
        <f t="shared" si="13"/>
        <v/>
      </c>
      <c r="M71" s="32" t="str">
        <f t="shared" si="13"/>
        <v/>
      </c>
      <c r="N71" s="32" t="s">
        <v>981</v>
      </c>
      <c r="O71" s="32" t="s">
        <v>992</v>
      </c>
      <c r="P71" s="32" t="str">
        <f t="shared" ref="P71:Q71" si="14">""</f>
        <v/>
      </c>
      <c r="Q71" s="32" t="str">
        <f t="shared" si="14"/>
        <v/>
      </c>
      <c r="R71" s="32" t="s">
        <v>992</v>
      </c>
      <c r="S71" s="32" t="str">
        <f>""</f>
        <v/>
      </c>
      <c r="T71" s="32"/>
      <c r="U71" s="32"/>
      <c r="V71" s="32"/>
      <c r="W71" s="32"/>
      <c r="X71" s="32"/>
      <c r="Y71" s="32"/>
      <c r="Z71" s="32"/>
      <c r="AA71" s="32"/>
      <c r="AB71" s="32"/>
      <c r="AC71" s="32"/>
      <c r="AD71" s="32"/>
      <c r="AE71" s="32"/>
    </row>
    <row r="72" spans="1:31" ht="12.75" customHeight="1">
      <c r="A72" s="2"/>
      <c r="B72" s="32" t="str">
        <f>MID($B$55,49,3)</f>
        <v/>
      </c>
      <c r="C72" s="32" t="str">
        <f t="shared" si="1"/>
        <v/>
      </c>
      <c r="D72" s="32"/>
      <c r="E72" s="32" t="str">
        <f t="shared" si="3"/>
        <v/>
      </c>
      <c r="F72" s="32" t="str">
        <f t="shared" si="6"/>
        <v/>
      </c>
      <c r="G72" s="32" t="str">
        <f t="shared" si="10"/>
        <v/>
      </c>
      <c r="H72" s="32" t="str">
        <f t="shared" ref="H72:M72" si="15">""</f>
        <v/>
      </c>
      <c r="I72" s="32" t="str">
        <f t="shared" si="15"/>
        <v/>
      </c>
      <c r="J72" s="32" t="str">
        <f t="shared" si="15"/>
        <v/>
      </c>
      <c r="K72" s="32" t="str">
        <f t="shared" si="15"/>
        <v/>
      </c>
      <c r="L72" s="32" t="str">
        <f t="shared" si="15"/>
        <v/>
      </c>
      <c r="M72" s="32" t="str">
        <f t="shared" si="15"/>
        <v/>
      </c>
      <c r="N72" s="32" t="s">
        <v>992</v>
      </c>
      <c r="O72" s="32" t="str">
        <f t="shared" ref="O72:S72" si="16">""</f>
        <v/>
      </c>
      <c r="P72" s="32" t="str">
        <f t="shared" si="16"/>
        <v/>
      </c>
      <c r="Q72" s="32" t="str">
        <f t="shared" si="16"/>
        <v/>
      </c>
      <c r="R72" s="32" t="str">
        <f t="shared" si="16"/>
        <v/>
      </c>
      <c r="S72" s="32" t="str">
        <f t="shared" si="16"/>
        <v/>
      </c>
      <c r="T72" s="32"/>
      <c r="U72" s="32"/>
      <c r="V72" s="32"/>
      <c r="W72" s="32"/>
      <c r="X72" s="32"/>
      <c r="Y72" s="32"/>
      <c r="Z72" s="32"/>
      <c r="AA72" s="32"/>
      <c r="AB72" s="32"/>
      <c r="AC72" s="32"/>
      <c r="AD72" s="32"/>
      <c r="AE72" s="32"/>
    </row>
    <row r="73" spans="1:31" ht="12.75" customHeight="1">
      <c r="A73" s="2"/>
      <c r="B73" s="32" t="str">
        <f>MID($B$55,52,3)</f>
        <v/>
      </c>
      <c r="C73" s="32" t="str">
        <f t="shared" si="1"/>
        <v/>
      </c>
      <c r="D73" s="32"/>
      <c r="E73" s="32" t="str">
        <f t="shared" si="3"/>
        <v/>
      </c>
      <c r="F73" s="32" t="str">
        <f t="shared" si="6"/>
        <v/>
      </c>
      <c r="G73" s="32" t="str">
        <f t="shared" si="10"/>
        <v/>
      </c>
      <c r="H73" s="32" t="str">
        <f t="shared" ref="H73:S73" si="17">""</f>
        <v/>
      </c>
      <c r="I73" s="32" t="str">
        <f t="shared" si="17"/>
        <v/>
      </c>
      <c r="J73" s="32" t="str">
        <f t="shared" si="17"/>
        <v/>
      </c>
      <c r="K73" s="32" t="str">
        <f t="shared" si="17"/>
        <v/>
      </c>
      <c r="L73" s="32" t="str">
        <f t="shared" si="17"/>
        <v/>
      </c>
      <c r="M73" s="32" t="str">
        <f t="shared" si="17"/>
        <v/>
      </c>
      <c r="N73" s="32" t="str">
        <f t="shared" si="17"/>
        <v/>
      </c>
      <c r="O73" s="32" t="str">
        <f t="shared" si="17"/>
        <v/>
      </c>
      <c r="P73" s="32" t="str">
        <f t="shared" si="17"/>
        <v/>
      </c>
      <c r="Q73" s="32" t="str">
        <f t="shared" si="17"/>
        <v/>
      </c>
      <c r="R73" s="32" t="str">
        <f t="shared" si="17"/>
        <v/>
      </c>
      <c r="S73" s="32" t="str">
        <f t="shared" si="17"/>
        <v/>
      </c>
      <c r="T73" s="32"/>
      <c r="U73" s="32"/>
      <c r="V73" s="32"/>
      <c r="W73" s="32"/>
      <c r="X73" s="32"/>
      <c r="Y73" s="32"/>
      <c r="Z73" s="32"/>
      <c r="AA73" s="32"/>
      <c r="AB73" s="32"/>
      <c r="AC73" s="32"/>
      <c r="AD73" s="32"/>
      <c r="AE73" s="32"/>
    </row>
    <row r="74" spans="1:31" ht="12.75" customHeight="1">
      <c r="A74" s="2"/>
      <c r="B74" s="32" t="str">
        <f>MID($B$55,55,3)</f>
        <v/>
      </c>
      <c r="C74" s="32" t="str">
        <f t="shared" si="1"/>
        <v/>
      </c>
      <c r="D74" s="32"/>
      <c r="E74" s="32" t="str">
        <f t="shared" si="3"/>
        <v/>
      </c>
      <c r="F74" s="32" t="str">
        <f t="shared" si="6"/>
        <v/>
      </c>
      <c r="G74" s="32" t="str">
        <f t="shared" si="10"/>
        <v/>
      </c>
      <c r="H74" s="32" t="str">
        <f t="shared" ref="H74:S74" si="18">""</f>
        <v/>
      </c>
      <c r="I74" s="32" t="str">
        <f t="shared" si="18"/>
        <v/>
      </c>
      <c r="J74" s="32" t="str">
        <f t="shared" si="18"/>
        <v/>
      </c>
      <c r="K74" s="32" t="str">
        <f t="shared" si="18"/>
        <v/>
      </c>
      <c r="L74" s="32" t="str">
        <f t="shared" si="18"/>
        <v/>
      </c>
      <c r="M74" s="32" t="str">
        <f t="shared" si="18"/>
        <v/>
      </c>
      <c r="N74" s="32" t="str">
        <f t="shared" si="18"/>
        <v/>
      </c>
      <c r="O74" s="32" t="str">
        <f t="shared" si="18"/>
        <v/>
      </c>
      <c r="P74" s="32" t="str">
        <f t="shared" si="18"/>
        <v/>
      </c>
      <c r="Q74" s="32" t="str">
        <f t="shared" si="18"/>
        <v/>
      </c>
      <c r="R74" s="32" t="str">
        <f t="shared" si="18"/>
        <v/>
      </c>
      <c r="S74" s="32" t="str">
        <f t="shared" si="18"/>
        <v/>
      </c>
      <c r="T74" s="32"/>
      <c r="U74" s="32"/>
      <c r="V74" s="32"/>
      <c r="W74" s="32"/>
      <c r="X74" s="32"/>
      <c r="Y74" s="32"/>
      <c r="Z74" s="32"/>
      <c r="AA74" s="32"/>
      <c r="AB74" s="32"/>
      <c r="AC74" s="32"/>
      <c r="AD74" s="32"/>
      <c r="AE74" s="32"/>
    </row>
    <row r="75" spans="1:31" ht="12.75" customHeight="1">
      <c r="A75" s="2"/>
      <c r="B75" s="32" t="str">
        <f>MID($B$55,58,3)</f>
        <v/>
      </c>
      <c r="C75" s="32" t="str">
        <f t="shared" si="1"/>
        <v/>
      </c>
      <c r="D75" s="32"/>
      <c r="E75" s="32" t="str">
        <f t="shared" si="3"/>
        <v/>
      </c>
      <c r="F75" s="32" t="str">
        <f t="shared" si="6"/>
        <v/>
      </c>
      <c r="G75" s="32" t="str">
        <f t="shared" si="10"/>
        <v/>
      </c>
      <c r="H75" s="32" t="str">
        <f t="shared" ref="H75:S75" si="19">""</f>
        <v/>
      </c>
      <c r="I75" s="32" t="str">
        <f t="shared" si="19"/>
        <v/>
      </c>
      <c r="J75" s="32" t="str">
        <f t="shared" si="19"/>
        <v/>
      </c>
      <c r="K75" s="32" t="str">
        <f t="shared" si="19"/>
        <v/>
      </c>
      <c r="L75" s="32" t="str">
        <f t="shared" si="19"/>
        <v/>
      </c>
      <c r="M75" s="32" t="str">
        <f t="shared" si="19"/>
        <v/>
      </c>
      <c r="N75" s="32" t="str">
        <f t="shared" si="19"/>
        <v/>
      </c>
      <c r="O75" s="32" t="str">
        <f t="shared" si="19"/>
        <v/>
      </c>
      <c r="P75" s="32" t="str">
        <f t="shared" si="19"/>
        <v/>
      </c>
      <c r="Q75" s="32" t="str">
        <f t="shared" si="19"/>
        <v/>
      </c>
      <c r="R75" s="32" t="str">
        <f t="shared" si="19"/>
        <v/>
      </c>
      <c r="S75" s="32" t="str">
        <f t="shared" si="19"/>
        <v/>
      </c>
      <c r="T75" s="32"/>
      <c r="U75" s="32"/>
      <c r="V75" s="32"/>
      <c r="W75" s="32"/>
      <c r="X75" s="32"/>
      <c r="Y75" s="32"/>
      <c r="Z75" s="32"/>
      <c r="AA75" s="32"/>
      <c r="AB75" s="32"/>
      <c r="AC75" s="32"/>
      <c r="AD75" s="32"/>
      <c r="AE75" s="32"/>
    </row>
    <row r="76" spans="1:31" ht="12.75" customHeight="1">
      <c r="A76" s="2"/>
      <c r="B76" s="32" t="s">
        <v>1223</v>
      </c>
      <c r="C76" s="32" t="s">
        <v>1223</v>
      </c>
      <c r="D76" s="32"/>
      <c r="E76" s="32" t="str">
        <f t="shared" si="3"/>
        <v/>
      </c>
      <c r="F76" s="32" t="str">
        <f t="shared" si="6"/>
        <v/>
      </c>
      <c r="G76" s="32" t="str">
        <f t="shared" si="10"/>
        <v/>
      </c>
      <c r="H76" s="32" t="str">
        <f t="shared" ref="H76:S76" si="20">""</f>
        <v/>
      </c>
      <c r="I76" s="32" t="str">
        <f t="shared" si="20"/>
        <v/>
      </c>
      <c r="J76" s="32" t="str">
        <f t="shared" si="20"/>
        <v/>
      </c>
      <c r="K76" s="32" t="str">
        <f t="shared" si="20"/>
        <v/>
      </c>
      <c r="L76" s="32" t="str">
        <f t="shared" si="20"/>
        <v/>
      </c>
      <c r="M76" s="32" t="str">
        <f t="shared" si="20"/>
        <v/>
      </c>
      <c r="N76" s="32" t="str">
        <f t="shared" si="20"/>
        <v/>
      </c>
      <c r="O76" s="32" t="str">
        <f t="shared" si="20"/>
        <v/>
      </c>
      <c r="P76" s="32" t="str">
        <f t="shared" si="20"/>
        <v/>
      </c>
      <c r="Q76" s="32" t="str">
        <f t="shared" si="20"/>
        <v/>
      </c>
      <c r="R76" s="32" t="str">
        <f t="shared" si="20"/>
        <v/>
      </c>
      <c r="S76" s="32" t="str">
        <f t="shared" si="20"/>
        <v/>
      </c>
      <c r="T76" s="32"/>
      <c r="U76" s="32"/>
      <c r="V76" s="32"/>
      <c r="W76" s="32"/>
      <c r="X76" s="32"/>
      <c r="Y76" s="32"/>
      <c r="Z76" s="32"/>
      <c r="AA76" s="32"/>
      <c r="AB76" s="32"/>
      <c r="AC76" s="32"/>
      <c r="AD76" s="32"/>
      <c r="AE76" s="32"/>
    </row>
    <row r="77" spans="1:31" ht="12.75" customHeight="1">
      <c r="A77" s="2"/>
      <c r="B77" s="32"/>
      <c r="C77" s="32"/>
      <c r="D77" s="32"/>
      <c r="E77" s="32"/>
      <c r="F77" s="32"/>
      <c r="G77" s="32"/>
      <c r="H77" s="32"/>
      <c r="I77" s="32"/>
      <c r="J77" s="32"/>
      <c r="K77" s="32"/>
      <c r="L77" s="32"/>
      <c r="M77" s="32"/>
      <c r="N77" s="32"/>
      <c r="O77" s="32"/>
      <c r="P77" s="32"/>
      <c r="Q77" s="32"/>
      <c r="R77" s="32"/>
      <c r="S77" s="32"/>
      <c r="T77" s="32"/>
      <c r="U77" s="32"/>
      <c r="V77" s="32"/>
      <c r="W77" s="32"/>
      <c r="X77" s="32"/>
      <c r="Y77" s="32"/>
      <c r="Z77" s="32"/>
      <c r="AA77" s="32"/>
      <c r="AB77" s="32"/>
      <c r="AC77" s="32"/>
      <c r="AD77" s="32"/>
      <c r="AE77" s="32"/>
    </row>
    <row r="78" spans="1:31" ht="12.75" customHeight="1">
      <c r="A78" s="2"/>
      <c r="B78" s="32"/>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B78" s="32"/>
      <c r="AC78" s="32"/>
      <c r="AD78" s="32"/>
      <c r="AE78" s="32"/>
    </row>
    <row r="79" spans="1:31" ht="12.75" customHeight="1">
      <c r="A79" s="2"/>
      <c r="B79" s="32"/>
      <c r="C79" s="32"/>
      <c r="D79" s="32"/>
      <c r="E79" s="32"/>
      <c r="F79" s="32"/>
      <c r="G79" s="32"/>
      <c r="H79" s="32"/>
      <c r="I79" s="32"/>
      <c r="J79" s="32"/>
      <c r="K79" s="32"/>
      <c r="L79" s="32"/>
      <c r="M79" s="32"/>
      <c r="N79" s="32"/>
      <c r="O79" s="32"/>
      <c r="P79" s="32"/>
      <c r="Q79" s="32"/>
      <c r="R79" s="32"/>
      <c r="S79" s="32"/>
      <c r="T79" s="32"/>
      <c r="U79" s="32"/>
      <c r="V79" s="32"/>
      <c r="W79" s="32"/>
      <c r="X79" s="32"/>
      <c r="Y79" s="32"/>
      <c r="Z79" s="32"/>
      <c r="AA79" s="32"/>
      <c r="AB79" s="32"/>
      <c r="AC79" s="32"/>
      <c r="AD79" s="32"/>
      <c r="AE79" s="32"/>
    </row>
    <row r="80" spans="1:31" ht="12.75" customHeight="1">
      <c r="A80" s="2"/>
      <c r="B80" s="32"/>
      <c r="C80" s="32"/>
      <c r="D80" s="32"/>
      <c r="E80" s="32"/>
      <c r="F80" s="32"/>
      <c r="G80" s="32"/>
      <c r="H80" s="32"/>
      <c r="I80" s="32"/>
      <c r="J80" s="32"/>
      <c r="K80" s="32"/>
      <c r="L80" s="32"/>
      <c r="M80" s="32"/>
      <c r="N80" s="32"/>
      <c r="O80" s="32"/>
      <c r="P80" s="32"/>
      <c r="Q80" s="32"/>
      <c r="R80" s="32"/>
      <c r="S80" s="32"/>
      <c r="T80" s="32"/>
      <c r="U80" s="32"/>
      <c r="V80" s="32"/>
      <c r="W80" s="32"/>
      <c r="X80" s="32"/>
      <c r="Y80" s="32"/>
      <c r="Z80" s="32"/>
      <c r="AA80" s="32"/>
      <c r="AB80" s="32"/>
      <c r="AC80" s="32"/>
      <c r="AD80" s="32"/>
      <c r="AE80" s="32"/>
    </row>
    <row r="81" spans="1:31" ht="12.75" customHeight="1">
      <c r="A81" s="2"/>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row>
    <row r="82" spans="1:31" ht="12.75" customHeight="1">
      <c r="A82" s="2"/>
      <c r="B82" s="32"/>
      <c r="C82" s="32"/>
      <c r="D82" s="226"/>
      <c r="E82" s="226"/>
      <c r="F82" s="226"/>
      <c r="G82" s="226"/>
      <c r="H82" s="226"/>
      <c r="I82" s="226"/>
      <c r="J82" s="226"/>
      <c r="K82" s="226"/>
      <c r="L82" s="226"/>
      <c r="M82" s="2"/>
      <c r="N82" s="2"/>
      <c r="O82" s="2"/>
      <c r="P82" s="2"/>
      <c r="Q82" s="2"/>
      <c r="R82" s="2"/>
      <c r="S82" s="2"/>
      <c r="T82" s="2"/>
      <c r="U82" s="2"/>
      <c r="V82" s="2"/>
      <c r="W82" s="2"/>
      <c r="X82" s="2"/>
      <c r="Y82" s="2"/>
      <c r="Z82" s="2"/>
      <c r="AA82" s="2"/>
      <c r="AB82" s="2"/>
      <c r="AC82" s="2"/>
      <c r="AD82" s="2"/>
      <c r="AE82" s="2"/>
    </row>
    <row r="83" spans="1:31" ht="12.75" customHeight="1">
      <c r="A83" s="2"/>
      <c r="B83" s="32"/>
      <c r="C83" s="32"/>
      <c r="D83" s="226"/>
      <c r="E83" s="226"/>
      <c r="F83" s="226"/>
      <c r="G83" s="226"/>
      <c r="H83" s="226"/>
      <c r="I83" s="226"/>
      <c r="J83" s="226"/>
      <c r="K83" s="226"/>
      <c r="L83" s="226"/>
      <c r="M83" s="2"/>
      <c r="N83" s="2"/>
      <c r="O83" s="2"/>
      <c r="P83" s="2"/>
      <c r="Q83" s="2"/>
      <c r="R83" s="2"/>
      <c r="S83" s="2"/>
      <c r="T83" s="2"/>
      <c r="U83" s="2"/>
      <c r="V83" s="2"/>
      <c r="W83" s="2"/>
      <c r="X83" s="2"/>
      <c r="Y83" s="2"/>
      <c r="Z83" s="2"/>
      <c r="AA83" s="2"/>
      <c r="AB83" s="2"/>
      <c r="AC83" s="2"/>
      <c r="AD83" s="2"/>
      <c r="AE83" s="2"/>
    </row>
    <row r="84" spans="1:31" ht="12.75" customHeight="1">
      <c r="A84" s="2"/>
      <c r="B84" s="32"/>
      <c r="C84" s="32"/>
      <c r="D84" s="33"/>
      <c r="E84" s="226"/>
      <c r="F84" s="226"/>
      <c r="G84" s="226"/>
      <c r="H84" s="226"/>
      <c r="I84" s="226"/>
      <c r="J84" s="226"/>
      <c r="K84" s="226"/>
      <c r="L84" s="226"/>
      <c r="M84" s="2"/>
      <c r="N84" s="2"/>
      <c r="O84" s="2"/>
      <c r="P84" s="2"/>
      <c r="Q84" s="2"/>
      <c r="R84" s="2"/>
      <c r="S84" s="2"/>
      <c r="T84" s="2"/>
      <c r="U84" s="2"/>
      <c r="V84" s="2"/>
      <c r="W84" s="2"/>
      <c r="X84" s="2"/>
      <c r="Y84" s="2"/>
      <c r="Z84" s="2"/>
      <c r="AA84" s="2"/>
      <c r="AB84" s="2"/>
      <c r="AC84" s="2"/>
      <c r="AD84" s="2"/>
      <c r="AE84" s="2"/>
    </row>
    <row r="85" spans="1:31" ht="12.75" customHeight="1">
      <c r="A85" s="2"/>
      <c r="B85" s="32"/>
      <c r="C85" s="32"/>
      <c r="D85" s="33"/>
      <c r="E85" s="226"/>
      <c r="F85" s="226"/>
      <c r="G85" s="226"/>
      <c r="H85" s="226"/>
      <c r="I85" s="226"/>
      <c r="J85" s="226"/>
      <c r="K85" s="226"/>
      <c r="L85" s="226"/>
      <c r="M85" s="2"/>
      <c r="N85" s="2"/>
      <c r="O85" s="2"/>
      <c r="P85" s="2"/>
      <c r="Q85" s="2"/>
      <c r="R85" s="2"/>
      <c r="S85" s="2"/>
      <c r="T85" s="2"/>
      <c r="U85" s="2"/>
      <c r="V85" s="2"/>
      <c r="W85" s="2"/>
      <c r="X85" s="2"/>
      <c r="Y85" s="2"/>
      <c r="Z85" s="2"/>
      <c r="AA85" s="2"/>
      <c r="AB85" s="2"/>
      <c r="AC85" s="2"/>
      <c r="AD85" s="2"/>
      <c r="AE85" s="2"/>
    </row>
    <row r="86" spans="1:31" ht="12.75" customHeight="1">
      <c r="A86" s="2"/>
      <c r="B86" s="32"/>
      <c r="C86" s="32"/>
      <c r="D86" s="33"/>
      <c r="E86" s="226"/>
      <c r="F86" s="226"/>
      <c r="G86" s="226"/>
      <c r="H86" s="226"/>
      <c r="I86" s="226"/>
      <c r="J86" s="226"/>
      <c r="K86" s="226"/>
      <c r="L86" s="226"/>
      <c r="M86" s="2"/>
      <c r="N86" s="2"/>
      <c r="O86" s="2"/>
      <c r="P86" s="2"/>
      <c r="Q86" s="2"/>
      <c r="R86" s="2"/>
      <c r="S86" s="2"/>
      <c r="T86" s="2"/>
      <c r="U86" s="2"/>
      <c r="V86" s="2"/>
      <c r="W86" s="2"/>
      <c r="X86" s="2"/>
      <c r="Y86" s="2"/>
      <c r="Z86" s="2"/>
      <c r="AA86" s="2"/>
      <c r="AB86" s="2"/>
      <c r="AC86" s="2"/>
      <c r="AD86" s="2"/>
      <c r="AE86" s="2"/>
    </row>
    <row r="87" spans="1:31" ht="12.75" customHeight="1">
      <c r="A87" s="2"/>
      <c r="B87" s="32"/>
      <c r="C87" s="32"/>
      <c r="D87" s="226"/>
      <c r="E87" s="226"/>
      <c r="F87" s="226"/>
      <c r="G87" s="226"/>
      <c r="H87" s="226"/>
      <c r="I87" s="226"/>
      <c r="J87" s="226"/>
      <c r="K87" s="226"/>
      <c r="L87" s="226"/>
      <c r="M87" s="2"/>
      <c r="N87" s="2"/>
      <c r="O87" s="2"/>
      <c r="P87" s="2"/>
      <c r="Q87" s="2"/>
      <c r="R87" s="2"/>
      <c r="S87" s="2"/>
      <c r="T87" s="2"/>
      <c r="U87" s="2"/>
      <c r="V87" s="2"/>
      <c r="W87" s="2"/>
      <c r="X87" s="2"/>
      <c r="Y87" s="2"/>
      <c r="Z87" s="2"/>
      <c r="AA87" s="2"/>
      <c r="AB87" s="2"/>
      <c r="AC87" s="2"/>
      <c r="AD87" s="2"/>
      <c r="AE87" s="2"/>
    </row>
    <row r="88" spans="1:31" ht="12.75" customHeight="1">
      <c r="A88" s="2"/>
      <c r="B88" s="32"/>
      <c r="C88" s="32"/>
      <c r="D88" s="226"/>
      <c r="E88" s="226"/>
      <c r="F88" s="226"/>
      <c r="G88" s="226"/>
      <c r="H88" s="226"/>
      <c r="I88" s="226"/>
      <c r="J88" s="226"/>
      <c r="K88" s="226"/>
      <c r="L88" s="226"/>
      <c r="M88" s="2"/>
      <c r="N88" s="2"/>
      <c r="O88" s="2"/>
      <c r="P88" s="2"/>
      <c r="Q88" s="2"/>
      <c r="R88" s="2"/>
      <c r="S88" s="2"/>
      <c r="T88" s="2"/>
      <c r="U88" s="2"/>
      <c r="V88" s="2"/>
      <c r="W88" s="2"/>
      <c r="X88" s="2"/>
      <c r="Y88" s="2"/>
      <c r="Z88" s="2"/>
      <c r="AA88" s="2"/>
      <c r="AB88" s="2"/>
      <c r="AC88" s="2"/>
      <c r="AD88" s="2"/>
      <c r="AE88" s="2"/>
    </row>
    <row r="89" spans="1:31" ht="12.75" customHeight="1">
      <c r="A89" s="2"/>
      <c r="B89" s="32"/>
      <c r="C89" s="32"/>
      <c r="D89" s="226"/>
      <c r="E89" s="226"/>
      <c r="F89" s="226"/>
      <c r="G89" s="226"/>
      <c r="H89" s="226"/>
      <c r="I89" s="226"/>
      <c r="J89" s="226"/>
      <c r="K89" s="226"/>
      <c r="L89" s="226"/>
      <c r="M89" s="2"/>
      <c r="N89" s="2"/>
      <c r="O89" s="2"/>
      <c r="P89" s="2"/>
      <c r="Q89" s="2"/>
      <c r="R89" s="2"/>
      <c r="S89" s="2"/>
      <c r="T89" s="2"/>
      <c r="U89" s="2"/>
      <c r="V89" s="2"/>
      <c r="W89" s="2"/>
      <c r="X89" s="2"/>
      <c r="Y89" s="2"/>
      <c r="Z89" s="2"/>
      <c r="AA89" s="2"/>
      <c r="AB89" s="2"/>
      <c r="AC89" s="2"/>
      <c r="AD89" s="2"/>
      <c r="AE89" s="2"/>
    </row>
    <row r="90" spans="1:31" ht="12.75" customHeight="1">
      <c r="A90" s="2"/>
      <c r="B90" s="32"/>
      <c r="C90" s="32"/>
      <c r="D90" s="226"/>
      <c r="E90" s="226"/>
      <c r="F90" s="226"/>
      <c r="G90" s="226"/>
      <c r="H90" s="226"/>
      <c r="I90" s="226"/>
      <c r="J90" s="226"/>
      <c r="K90" s="226"/>
      <c r="L90" s="226"/>
      <c r="M90" s="2"/>
      <c r="N90" s="2"/>
      <c r="O90" s="2"/>
      <c r="P90" s="2"/>
      <c r="Q90" s="2"/>
      <c r="R90" s="2"/>
      <c r="S90" s="2"/>
      <c r="T90" s="2"/>
      <c r="U90" s="2"/>
      <c r="V90" s="2"/>
      <c r="W90" s="2"/>
      <c r="X90" s="2"/>
      <c r="Y90" s="2"/>
      <c r="Z90" s="2"/>
      <c r="AA90" s="2"/>
      <c r="AB90" s="2"/>
      <c r="AC90" s="2"/>
      <c r="AD90" s="2"/>
      <c r="AE90" s="2"/>
    </row>
    <row r="91" spans="1:31" ht="12.75" customHeight="1">
      <c r="A91" s="2"/>
      <c r="B91" s="32"/>
      <c r="C91" s="32"/>
      <c r="D91" s="33"/>
      <c r="E91" s="226"/>
      <c r="F91" s="226"/>
      <c r="G91" s="226"/>
      <c r="H91" s="226"/>
      <c r="I91" s="226"/>
      <c r="J91" s="226"/>
      <c r="K91" s="226"/>
      <c r="L91" s="226"/>
      <c r="M91" s="2"/>
      <c r="N91" s="2"/>
      <c r="O91" s="2"/>
      <c r="P91" s="2"/>
      <c r="Q91" s="2"/>
      <c r="R91" s="2"/>
      <c r="S91" s="2"/>
      <c r="T91" s="2"/>
      <c r="U91" s="2"/>
      <c r="V91" s="2"/>
      <c r="W91" s="2"/>
      <c r="X91" s="2"/>
      <c r="Y91" s="2"/>
      <c r="Z91" s="2"/>
      <c r="AA91" s="2"/>
      <c r="AB91" s="2"/>
      <c r="AC91" s="2"/>
      <c r="AD91" s="2"/>
      <c r="AE91" s="2"/>
    </row>
    <row r="92" spans="1:31" ht="12.75" customHeight="1">
      <c r="A92" s="2"/>
      <c r="B92" s="32"/>
      <c r="C92" s="32"/>
      <c r="D92" s="33"/>
      <c r="E92" s="226"/>
      <c r="F92" s="226"/>
      <c r="G92" s="226"/>
      <c r="H92" s="226"/>
      <c r="I92" s="226"/>
      <c r="J92" s="226"/>
      <c r="K92" s="226"/>
      <c r="L92" s="226"/>
      <c r="M92" s="2"/>
      <c r="N92" s="2"/>
      <c r="O92" s="2"/>
      <c r="P92" s="2"/>
      <c r="Q92" s="2"/>
      <c r="R92" s="2"/>
      <c r="S92" s="2"/>
      <c r="T92" s="2"/>
      <c r="U92" s="2"/>
      <c r="V92" s="2"/>
      <c r="W92" s="2"/>
      <c r="X92" s="2"/>
      <c r="Y92" s="2"/>
      <c r="Z92" s="2"/>
      <c r="AA92" s="2"/>
      <c r="AB92" s="2"/>
      <c r="AC92" s="2"/>
      <c r="AD92" s="2"/>
      <c r="AE92" s="2"/>
    </row>
    <row r="93" spans="1:31" ht="12.75" customHeight="1">
      <c r="A93" s="2"/>
      <c r="B93" s="32"/>
      <c r="C93" s="32"/>
      <c r="D93" s="33"/>
      <c r="E93" s="226"/>
      <c r="F93" s="226"/>
      <c r="G93" s="226"/>
      <c r="H93" s="226"/>
      <c r="I93" s="226"/>
      <c r="J93" s="226"/>
      <c r="K93" s="226"/>
      <c r="L93" s="226"/>
      <c r="M93" s="2"/>
      <c r="N93" s="2"/>
      <c r="O93" s="2"/>
      <c r="P93" s="2"/>
      <c r="Q93" s="2"/>
      <c r="R93" s="2"/>
      <c r="S93" s="2"/>
      <c r="T93" s="2"/>
      <c r="U93" s="2"/>
      <c r="V93" s="2"/>
      <c r="W93" s="2"/>
      <c r="X93" s="2"/>
      <c r="Y93" s="2"/>
      <c r="Z93" s="2"/>
      <c r="AA93" s="2"/>
      <c r="AB93" s="2"/>
      <c r="AC93" s="2"/>
      <c r="AD93" s="2"/>
      <c r="AE93" s="2"/>
    </row>
    <row r="94" spans="1:31" ht="12.75" customHeight="1">
      <c r="A94" s="2"/>
      <c r="B94" s="32"/>
      <c r="C94" s="32"/>
      <c r="D94" s="226"/>
      <c r="E94" s="226"/>
      <c r="F94" s="226"/>
      <c r="G94" s="226"/>
      <c r="H94" s="226"/>
      <c r="I94" s="226"/>
      <c r="J94" s="226"/>
      <c r="K94" s="226"/>
      <c r="L94" s="226"/>
      <c r="M94" s="2"/>
      <c r="N94" s="2"/>
      <c r="O94" s="2"/>
      <c r="P94" s="2"/>
      <c r="Q94" s="2"/>
      <c r="R94" s="2"/>
      <c r="S94" s="2"/>
      <c r="T94" s="2"/>
      <c r="U94" s="2"/>
      <c r="V94" s="2"/>
      <c r="W94" s="2"/>
      <c r="X94" s="2"/>
      <c r="Y94" s="2"/>
      <c r="Z94" s="2"/>
      <c r="AA94" s="2"/>
      <c r="AB94" s="2"/>
      <c r="AC94" s="2"/>
      <c r="AD94" s="2"/>
      <c r="AE94" s="2"/>
    </row>
    <row r="95" spans="1:31" ht="12.75" customHeight="1">
      <c r="A95" s="2"/>
      <c r="B95" s="32"/>
      <c r="C95" s="32"/>
      <c r="D95" s="33"/>
      <c r="E95" s="226"/>
      <c r="F95" s="226"/>
      <c r="G95" s="226"/>
      <c r="H95" s="226"/>
      <c r="I95" s="226"/>
      <c r="J95" s="226"/>
      <c r="K95" s="226"/>
      <c r="L95" s="226"/>
      <c r="M95" s="2"/>
      <c r="N95" s="2"/>
      <c r="O95" s="2"/>
      <c r="P95" s="2"/>
      <c r="Q95" s="2"/>
      <c r="R95" s="2"/>
      <c r="S95" s="2"/>
      <c r="T95" s="2"/>
      <c r="U95" s="2"/>
      <c r="V95" s="2"/>
      <c r="W95" s="2"/>
      <c r="X95" s="2"/>
      <c r="Y95" s="2"/>
      <c r="Z95" s="2"/>
      <c r="AA95" s="2"/>
      <c r="AB95" s="2"/>
      <c r="AC95" s="2"/>
      <c r="AD95" s="2"/>
      <c r="AE95" s="2"/>
    </row>
    <row r="96" spans="1:31" ht="12.75" customHeight="1">
      <c r="A96" s="2"/>
      <c r="B96" s="32"/>
      <c r="C96" s="32"/>
      <c r="D96" s="33"/>
      <c r="E96" s="226"/>
      <c r="F96" s="226"/>
      <c r="G96" s="226"/>
      <c r="H96" s="226"/>
      <c r="I96" s="226"/>
      <c r="J96" s="226"/>
      <c r="K96" s="226"/>
      <c r="L96" s="226"/>
      <c r="M96" s="2"/>
      <c r="N96" s="2"/>
      <c r="O96" s="2"/>
      <c r="P96" s="2"/>
      <c r="Q96" s="2"/>
      <c r="R96" s="2"/>
      <c r="S96" s="2"/>
      <c r="T96" s="2"/>
      <c r="U96" s="2"/>
      <c r="V96" s="2"/>
      <c r="W96" s="2"/>
      <c r="X96" s="2"/>
      <c r="Y96" s="2"/>
      <c r="Z96" s="2"/>
      <c r="AA96" s="2"/>
      <c r="AB96" s="2"/>
      <c r="AC96" s="2"/>
      <c r="AD96" s="2"/>
      <c r="AE96" s="2"/>
    </row>
    <row r="97" spans="1:31" ht="12.75" customHeight="1">
      <c r="A97" s="2"/>
      <c r="B97" s="32"/>
      <c r="C97" s="32"/>
      <c r="D97" s="33"/>
      <c r="E97" s="226"/>
      <c r="F97" s="226"/>
      <c r="G97" s="226"/>
      <c r="H97" s="226"/>
      <c r="I97" s="226"/>
      <c r="J97" s="226"/>
      <c r="K97" s="226"/>
      <c r="L97" s="226"/>
      <c r="M97" s="2"/>
      <c r="N97" s="2"/>
      <c r="O97" s="2"/>
      <c r="P97" s="2"/>
      <c r="Q97" s="2"/>
      <c r="R97" s="2"/>
      <c r="S97" s="2"/>
      <c r="T97" s="2"/>
      <c r="U97" s="2"/>
      <c r="V97" s="2"/>
      <c r="W97" s="2"/>
      <c r="X97" s="2"/>
      <c r="Y97" s="2"/>
      <c r="Z97" s="2"/>
      <c r="AA97" s="2"/>
      <c r="AB97" s="2"/>
      <c r="AC97" s="2"/>
      <c r="AD97" s="2"/>
      <c r="AE97" s="2"/>
    </row>
    <row r="98" spans="1:31" ht="12.75" customHeight="1">
      <c r="A98" s="2"/>
      <c r="B98" s="32"/>
      <c r="C98" s="32"/>
      <c r="D98" s="226"/>
      <c r="E98" s="226"/>
      <c r="F98" s="226"/>
      <c r="G98" s="226"/>
      <c r="H98" s="226"/>
      <c r="I98" s="226"/>
      <c r="J98" s="226"/>
      <c r="K98" s="226"/>
      <c r="L98" s="226"/>
      <c r="M98" s="2"/>
      <c r="N98" s="2"/>
      <c r="O98" s="2"/>
      <c r="P98" s="2"/>
      <c r="Q98" s="2"/>
      <c r="R98" s="2"/>
      <c r="S98" s="2"/>
      <c r="T98" s="2"/>
      <c r="U98" s="2"/>
      <c r="V98" s="2"/>
      <c r="W98" s="2"/>
      <c r="X98" s="2"/>
      <c r="Y98" s="2"/>
      <c r="Z98" s="2"/>
      <c r="AA98" s="2"/>
      <c r="AB98" s="2"/>
      <c r="AC98" s="2"/>
      <c r="AD98" s="2"/>
      <c r="AE98" s="2"/>
    </row>
    <row r="99" spans="1:31" ht="12.75" customHeight="1">
      <c r="A99" s="2"/>
      <c r="B99" s="32"/>
      <c r="C99" s="32"/>
      <c r="D99" s="226"/>
      <c r="E99" s="226"/>
      <c r="F99" s="226"/>
      <c r="G99" s="226"/>
      <c r="H99" s="226"/>
      <c r="I99" s="226"/>
      <c r="J99" s="226"/>
      <c r="K99" s="226"/>
      <c r="L99" s="226"/>
      <c r="M99" s="2"/>
      <c r="N99" s="2"/>
      <c r="O99" s="2"/>
      <c r="P99" s="2"/>
      <c r="Q99" s="2"/>
      <c r="R99" s="2"/>
      <c r="S99" s="2"/>
      <c r="T99" s="2"/>
      <c r="U99" s="2"/>
      <c r="V99" s="2"/>
      <c r="W99" s="2"/>
      <c r="X99" s="2"/>
      <c r="Y99" s="2"/>
      <c r="Z99" s="2"/>
      <c r="AA99" s="2"/>
      <c r="AB99" s="2"/>
      <c r="AC99" s="2"/>
      <c r="AD99" s="2"/>
      <c r="AE99" s="2"/>
    </row>
    <row r="100" spans="1:31" ht="12.75" customHeight="1">
      <c r="A100" s="2"/>
      <c r="B100" s="32"/>
      <c r="C100" s="32"/>
      <c r="D100" s="226"/>
      <c r="E100" s="226"/>
      <c r="F100" s="226"/>
      <c r="G100" s="226"/>
      <c r="H100" s="226"/>
      <c r="I100" s="226"/>
      <c r="J100" s="226"/>
      <c r="K100" s="226"/>
      <c r="L100" s="226"/>
      <c r="M100" s="2"/>
      <c r="N100" s="2"/>
      <c r="O100" s="2"/>
      <c r="P100" s="2"/>
      <c r="Q100" s="2"/>
      <c r="R100" s="2"/>
      <c r="S100" s="2"/>
      <c r="T100" s="2"/>
      <c r="U100" s="2"/>
      <c r="V100" s="2"/>
      <c r="W100" s="2"/>
      <c r="X100" s="2"/>
      <c r="Y100" s="2"/>
      <c r="Z100" s="2"/>
      <c r="AA100" s="2"/>
      <c r="AB100" s="2"/>
      <c r="AC100" s="2"/>
      <c r="AD100" s="2"/>
      <c r="AE100" s="2"/>
    </row>
    <row r="101" spans="1:31" ht="12.75" customHeight="1">
      <c r="A101" s="2"/>
      <c r="B101" s="32"/>
      <c r="C101" s="32"/>
      <c r="D101" s="33"/>
      <c r="E101" s="226"/>
      <c r="F101" s="226"/>
      <c r="G101" s="226"/>
      <c r="H101" s="226"/>
      <c r="I101" s="226"/>
      <c r="J101" s="226"/>
      <c r="K101" s="226"/>
      <c r="L101" s="226"/>
      <c r="M101" s="2"/>
      <c r="N101" s="2"/>
      <c r="O101" s="2"/>
      <c r="P101" s="2"/>
      <c r="Q101" s="2"/>
      <c r="R101" s="2"/>
      <c r="S101" s="2"/>
      <c r="T101" s="2"/>
      <c r="U101" s="2"/>
      <c r="V101" s="2"/>
      <c r="W101" s="2"/>
      <c r="X101" s="2"/>
      <c r="Y101" s="2"/>
      <c r="Z101" s="2"/>
      <c r="AA101" s="2"/>
      <c r="AB101" s="2"/>
      <c r="AC101" s="2"/>
      <c r="AD101" s="2"/>
      <c r="AE101" s="2"/>
    </row>
    <row r="102" spans="1:31" ht="12.75" customHeight="1">
      <c r="A102" s="2"/>
      <c r="B102" s="32"/>
      <c r="C102" s="32"/>
      <c r="D102" s="33"/>
      <c r="E102" s="226"/>
      <c r="F102" s="226"/>
      <c r="G102" s="226"/>
      <c r="H102" s="226"/>
      <c r="I102" s="226"/>
      <c r="J102" s="226"/>
      <c r="K102" s="226"/>
      <c r="L102" s="226"/>
      <c r="M102" s="2"/>
      <c r="N102" s="2"/>
      <c r="O102" s="2"/>
      <c r="P102" s="2"/>
      <c r="Q102" s="2"/>
      <c r="R102" s="2"/>
      <c r="S102" s="2"/>
      <c r="T102" s="2"/>
      <c r="U102" s="2"/>
      <c r="V102" s="2"/>
      <c r="W102" s="2"/>
      <c r="X102" s="2"/>
      <c r="Y102" s="2"/>
      <c r="Z102" s="2"/>
      <c r="AA102" s="2"/>
      <c r="AB102" s="2"/>
      <c r="AC102" s="2"/>
      <c r="AD102" s="2"/>
      <c r="AE102" s="2"/>
    </row>
    <row r="103" spans="1:31" ht="12.75" customHeight="1">
      <c r="A103" s="2"/>
      <c r="B103" s="2"/>
      <c r="C103" s="33"/>
      <c r="D103" s="33"/>
      <c r="E103" s="226"/>
      <c r="F103" s="226"/>
      <c r="G103" s="226"/>
      <c r="H103" s="226"/>
      <c r="I103" s="226"/>
      <c r="J103" s="226"/>
      <c r="K103" s="226"/>
      <c r="L103" s="226"/>
      <c r="M103" s="2"/>
      <c r="N103" s="2"/>
      <c r="O103" s="2"/>
      <c r="P103" s="2"/>
      <c r="Q103" s="2"/>
      <c r="R103" s="2"/>
      <c r="S103" s="2"/>
      <c r="T103" s="2"/>
      <c r="U103" s="2"/>
      <c r="V103" s="2"/>
      <c r="W103" s="2"/>
      <c r="X103" s="2"/>
      <c r="Y103" s="2"/>
      <c r="Z103" s="2"/>
      <c r="AA103" s="2"/>
      <c r="AB103" s="2"/>
      <c r="AC103" s="2"/>
      <c r="AD103" s="2"/>
      <c r="AE103" s="2"/>
    </row>
    <row r="104" spans="1:31" ht="12.75" customHeight="1">
      <c r="A104" s="2"/>
      <c r="B104" s="32"/>
      <c r="C104" s="33"/>
      <c r="D104" s="33"/>
      <c r="E104" s="226"/>
      <c r="F104" s="226"/>
      <c r="G104" s="226"/>
      <c r="H104" s="226"/>
      <c r="I104" s="226"/>
      <c r="J104" s="226"/>
      <c r="K104" s="226"/>
      <c r="L104" s="226"/>
      <c r="M104" s="2"/>
      <c r="N104" s="2"/>
      <c r="O104" s="2"/>
      <c r="P104" s="2"/>
      <c r="Q104" s="2"/>
      <c r="R104" s="2"/>
      <c r="S104" s="2"/>
      <c r="T104" s="2"/>
      <c r="U104" s="2"/>
      <c r="V104" s="2"/>
      <c r="W104" s="2"/>
      <c r="X104" s="2"/>
      <c r="Y104" s="2"/>
      <c r="Z104" s="2"/>
      <c r="AA104" s="2"/>
      <c r="AB104" s="2"/>
      <c r="AC104" s="2"/>
      <c r="AD104" s="2"/>
      <c r="AE104" s="2"/>
    </row>
    <row r="105" spans="1:31" ht="12.75" customHeight="1">
      <c r="A105" s="2"/>
      <c r="B105" s="32"/>
      <c r="C105" s="226"/>
      <c r="D105" s="33"/>
      <c r="E105" s="226"/>
      <c r="F105" s="226"/>
      <c r="G105" s="226"/>
      <c r="H105" s="226"/>
      <c r="I105" s="226"/>
      <c r="J105" s="226"/>
      <c r="K105" s="226"/>
      <c r="L105" s="226"/>
      <c r="M105" s="2"/>
      <c r="N105" s="2"/>
      <c r="O105" s="2"/>
      <c r="P105" s="2"/>
      <c r="Q105" s="2"/>
      <c r="R105" s="2"/>
      <c r="S105" s="2"/>
      <c r="T105" s="2"/>
      <c r="U105" s="2"/>
      <c r="V105" s="2"/>
      <c r="W105" s="2"/>
      <c r="X105" s="2"/>
      <c r="Y105" s="2"/>
      <c r="Z105" s="2"/>
      <c r="AA105" s="2"/>
      <c r="AB105" s="2"/>
      <c r="AC105" s="2"/>
      <c r="AD105" s="2"/>
      <c r="AE105" s="2"/>
    </row>
    <row r="106" spans="1:31" ht="12.75" customHeight="1">
      <c r="A106" s="2"/>
      <c r="B106" s="32"/>
      <c r="C106" s="226"/>
      <c r="D106" s="226"/>
      <c r="E106" s="226"/>
      <c r="F106" s="226"/>
      <c r="G106" s="226"/>
      <c r="H106" s="226"/>
      <c r="I106" s="226"/>
      <c r="J106" s="226"/>
      <c r="K106" s="226"/>
      <c r="L106" s="226"/>
      <c r="M106" s="2"/>
      <c r="N106" s="2"/>
      <c r="O106" s="2"/>
      <c r="P106" s="2"/>
      <c r="Q106" s="2"/>
      <c r="R106" s="2"/>
      <c r="S106" s="2"/>
      <c r="T106" s="2"/>
      <c r="U106" s="2"/>
      <c r="V106" s="2"/>
      <c r="W106" s="2"/>
      <c r="X106" s="2"/>
      <c r="Y106" s="2"/>
      <c r="Z106" s="2"/>
      <c r="AA106" s="2"/>
      <c r="AB106" s="2"/>
      <c r="AC106" s="2"/>
      <c r="AD106" s="2"/>
      <c r="AE106" s="2"/>
    </row>
    <row r="107" spans="1:31" ht="12.75" customHeight="1">
      <c r="A107" s="2"/>
      <c r="B107" s="32"/>
      <c r="C107" s="33"/>
      <c r="D107" s="33"/>
      <c r="E107" s="226"/>
      <c r="F107" s="226"/>
      <c r="G107" s="226"/>
      <c r="H107" s="226"/>
      <c r="I107" s="226"/>
      <c r="J107" s="226"/>
      <c r="K107" s="226"/>
      <c r="L107" s="226"/>
      <c r="M107" s="2"/>
      <c r="N107" s="2"/>
      <c r="O107" s="2"/>
      <c r="P107" s="2"/>
      <c r="Q107" s="2"/>
      <c r="R107" s="2"/>
      <c r="S107" s="2"/>
      <c r="T107" s="2"/>
      <c r="U107" s="2"/>
      <c r="V107" s="2"/>
      <c r="W107" s="2"/>
      <c r="X107" s="2"/>
      <c r="Y107" s="2"/>
      <c r="Z107" s="2"/>
      <c r="AA107" s="2"/>
      <c r="AB107" s="2"/>
      <c r="AC107" s="2"/>
      <c r="AD107" s="2"/>
      <c r="AE107" s="2"/>
    </row>
    <row r="108" spans="1:31" ht="12.75" customHeight="1">
      <c r="A108" s="2"/>
      <c r="B108" s="32"/>
      <c r="C108" s="33"/>
      <c r="D108" s="33"/>
      <c r="E108" s="226"/>
      <c r="F108" s="226"/>
      <c r="G108" s="226"/>
      <c r="H108" s="226"/>
      <c r="I108" s="226"/>
      <c r="J108" s="226"/>
      <c r="K108" s="226"/>
      <c r="L108" s="226"/>
      <c r="M108" s="2"/>
      <c r="N108" s="2"/>
      <c r="O108" s="2"/>
      <c r="P108" s="2"/>
      <c r="Q108" s="2"/>
      <c r="R108" s="2"/>
      <c r="S108" s="2"/>
      <c r="T108" s="2"/>
      <c r="U108" s="2"/>
      <c r="V108" s="2"/>
      <c r="W108" s="2"/>
      <c r="X108" s="2"/>
      <c r="Y108" s="2"/>
      <c r="Z108" s="2"/>
      <c r="AA108" s="2"/>
      <c r="AB108" s="2"/>
      <c r="AC108" s="2"/>
      <c r="AD108" s="2"/>
      <c r="AE108" s="2"/>
    </row>
    <row r="109" spans="1:31" ht="12.75" customHeight="1">
      <c r="A109" s="2"/>
      <c r="B109" s="32"/>
      <c r="C109" s="226"/>
      <c r="D109" s="33"/>
      <c r="E109" s="226"/>
      <c r="F109" s="226"/>
      <c r="G109" s="226"/>
      <c r="H109" s="226"/>
      <c r="I109" s="226"/>
      <c r="J109" s="226"/>
      <c r="K109" s="226"/>
      <c r="L109" s="226"/>
      <c r="M109" s="2"/>
      <c r="N109" s="2"/>
      <c r="O109" s="2"/>
      <c r="P109" s="2"/>
      <c r="Q109" s="2"/>
      <c r="R109" s="2"/>
      <c r="S109" s="2"/>
      <c r="T109" s="2"/>
      <c r="U109" s="2"/>
      <c r="V109" s="2"/>
      <c r="W109" s="2"/>
      <c r="X109" s="2"/>
      <c r="Y109" s="2"/>
      <c r="Z109" s="2"/>
      <c r="AA109" s="2"/>
      <c r="AB109" s="2"/>
      <c r="AC109" s="2"/>
      <c r="AD109" s="2"/>
      <c r="AE109" s="2"/>
    </row>
    <row r="110" spans="1:31" ht="12.75" customHeight="1">
      <c r="A110" s="2"/>
      <c r="B110" s="32"/>
      <c r="C110" s="33"/>
      <c r="D110" s="33"/>
      <c r="E110" s="226"/>
      <c r="F110" s="226"/>
      <c r="G110" s="226"/>
      <c r="H110" s="226"/>
      <c r="I110" s="226"/>
      <c r="J110" s="226"/>
      <c r="K110" s="226"/>
      <c r="L110" s="226"/>
      <c r="M110" s="2"/>
      <c r="N110" s="2"/>
      <c r="O110" s="2"/>
      <c r="P110" s="2"/>
      <c r="Q110" s="2"/>
      <c r="R110" s="2"/>
      <c r="S110" s="2"/>
      <c r="T110" s="2"/>
      <c r="U110" s="2"/>
      <c r="V110" s="2"/>
      <c r="W110" s="2"/>
      <c r="X110" s="2"/>
      <c r="Y110" s="2"/>
      <c r="Z110" s="2"/>
      <c r="AA110" s="2"/>
      <c r="AB110" s="2"/>
      <c r="AC110" s="2"/>
      <c r="AD110" s="2"/>
      <c r="AE110" s="2"/>
    </row>
    <row r="111" spans="1:31" ht="12.75" customHeight="1">
      <c r="A111" s="2"/>
      <c r="B111" s="32"/>
      <c r="C111" s="33"/>
      <c r="D111" s="33"/>
      <c r="E111" s="226"/>
      <c r="F111" s="226"/>
      <c r="G111" s="226"/>
      <c r="H111" s="226"/>
      <c r="I111" s="226"/>
      <c r="J111" s="226"/>
      <c r="K111" s="226"/>
      <c r="L111" s="226"/>
      <c r="M111" s="2"/>
      <c r="N111" s="2"/>
      <c r="O111" s="2"/>
      <c r="P111" s="2"/>
      <c r="Q111" s="2"/>
      <c r="R111" s="2"/>
      <c r="S111" s="2"/>
      <c r="T111" s="2"/>
      <c r="U111" s="2"/>
      <c r="V111" s="2"/>
      <c r="W111" s="2"/>
      <c r="X111" s="2"/>
      <c r="Y111" s="2"/>
      <c r="Z111" s="2"/>
      <c r="AA111" s="2"/>
      <c r="AB111" s="2"/>
      <c r="AC111" s="2"/>
      <c r="AD111" s="2"/>
      <c r="AE111" s="2"/>
    </row>
    <row r="112" spans="1:31" ht="12.75" customHeight="1">
      <c r="A112" s="2"/>
      <c r="B112" s="32"/>
      <c r="C112" s="33"/>
      <c r="D112" s="33"/>
      <c r="E112" s="226"/>
      <c r="F112" s="226"/>
      <c r="G112" s="226"/>
      <c r="H112" s="226"/>
      <c r="I112" s="226"/>
      <c r="J112" s="226"/>
      <c r="K112" s="226"/>
      <c r="L112" s="226"/>
      <c r="M112" s="2"/>
      <c r="N112" s="2"/>
      <c r="O112" s="2"/>
      <c r="P112" s="2"/>
      <c r="Q112" s="2"/>
      <c r="R112" s="2"/>
      <c r="S112" s="2"/>
      <c r="T112" s="2"/>
      <c r="U112" s="2"/>
      <c r="V112" s="2"/>
      <c r="W112" s="2"/>
      <c r="X112" s="2"/>
      <c r="Y112" s="2"/>
      <c r="Z112" s="2"/>
      <c r="AA112" s="2"/>
      <c r="AB112" s="2"/>
      <c r="AC112" s="2"/>
      <c r="AD112" s="2"/>
      <c r="AE112" s="2"/>
    </row>
    <row r="113" spans="1:31" ht="12.75" customHeight="1">
      <c r="A113" s="2"/>
      <c r="B113" s="32"/>
      <c r="C113" s="226"/>
      <c r="D113" s="226"/>
      <c r="E113" s="226"/>
      <c r="F113" s="226"/>
      <c r="G113" s="226"/>
      <c r="H113" s="226"/>
      <c r="I113" s="226"/>
      <c r="J113" s="226"/>
      <c r="K113" s="226"/>
      <c r="L113" s="226"/>
      <c r="M113" s="2"/>
      <c r="N113" s="2"/>
      <c r="O113" s="2"/>
      <c r="P113" s="2"/>
      <c r="Q113" s="2"/>
      <c r="R113" s="2"/>
      <c r="S113" s="2"/>
      <c r="T113" s="2"/>
      <c r="U113" s="2"/>
      <c r="V113" s="2"/>
      <c r="W113" s="2"/>
      <c r="X113" s="2"/>
      <c r="Y113" s="2"/>
      <c r="Z113" s="2"/>
      <c r="AA113" s="2"/>
      <c r="AB113" s="2"/>
      <c r="AC113" s="2"/>
      <c r="AD113" s="2"/>
      <c r="AE113" s="2"/>
    </row>
    <row r="114" spans="1:31" ht="12.75" customHeight="1">
      <c r="A114" s="2"/>
      <c r="B114" s="32"/>
      <c r="C114" s="226"/>
      <c r="D114" s="226"/>
      <c r="E114" s="226"/>
      <c r="F114" s="226"/>
      <c r="G114" s="226"/>
      <c r="H114" s="226"/>
      <c r="I114" s="226"/>
      <c r="J114" s="226"/>
      <c r="K114" s="226"/>
      <c r="L114" s="226"/>
      <c r="M114" s="2"/>
      <c r="N114" s="2"/>
      <c r="O114" s="2"/>
      <c r="P114" s="2"/>
      <c r="Q114" s="2"/>
      <c r="R114" s="2"/>
      <c r="S114" s="2"/>
      <c r="T114" s="2"/>
      <c r="U114" s="2"/>
      <c r="V114" s="2"/>
      <c r="W114" s="2"/>
      <c r="X114" s="2"/>
      <c r="Y114" s="2"/>
      <c r="Z114" s="2"/>
      <c r="AA114" s="2"/>
      <c r="AB114" s="2"/>
      <c r="AC114" s="2"/>
      <c r="AD114" s="2"/>
      <c r="AE114" s="2"/>
    </row>
    <row r="115" spans="1:31" ht="12.75" customHeight="1">
      <c r="A115" s="2"/>
      <c r="B115" s="32"/>
      <c r="C115" s="226"/>
      <c r="D115" s="226"/>
      <c r="E115" s="226"/>
      <c r="F115" s="226"/>
      <c r="G115" s="226"/>
      <c r="H115" s="226"/>
      <c r="I115" s="226"/>
      <c r="J115" s="226"/>
      <c r="K115" s="226"/>
      <c r="L115" s="226"/>
      <c r="M115" s="2"/>
      <c r="N115" s="2"/>
      <c r="O115" s="2"/>
      <c r="P115" s="2"/>
      <c r="Q115" s="2"/>
      <c r="R115" s="2"/>
      <c r="S115" s="2"/>
      <c r="T115" s="2"/>
      <c r="U115" s="2"/>
      <c r="V115" s="2"/>
      <c r="W115" s="2"/>
      <c r="X115" s="2"/>
      <c r="Y115" s="2"/>
      <c r="Z115" s="2"/>
      <c r="AA115" s="2"/>
      <c r="AB115" s="2"/>
      <c r="AC115" s="2"/>
      <c r="AD115" s="2"/>
      <c r="AE115" s="2"/>
    </row>
    <row r="116" spans="1:31" ht="12.75" customHeight="1">
      <c r="A116" s="2"/>
      <c r="B116" s="226"/>
      <c r="C116" s="33"/>
      <c r="D116" s="33"/>
      <c r="E116" s="226"/>
      <c r="F116" s="226"/>
      <c r="G116" s="226"/>
      <c r="H116" s="226"/>
      <c r="I116" s="226"/>
      <c r="J116" s="226"/>
      <c r="K116" s="226"/>
      <c r="L116" s="226"/>
      <c r="M116" s="2"/>
      <c r="N116" s="2"/>
      <c r="O116" s="2"/>
      <c r="P116" s="2"/>
      <c r="Q116" s="2"/>
      <c r="R116" s="2"/>
      <c r="S116" s="2"/>
      <c r="T116" s="2"/>
      <c r="U116" s="2"/>
      <c r="V116" s="2"/>
      <c r="W116" s="2"/>
      <c r="X116" s="2"/>
      <c r="Y116" s="2"/>
      <c r="Z116" s="2"/>
      <c r="AA116" s="2"/>
      <c r="AB116" s="2"/>
      <c r="AC116" s="2"/>
      <c r="AD116" s="2"/>
      <c r="AE116" s="2"/>
    </row>
    <row r="117" spans="1:31" ht="12.75" customHeight="1">
      <c r="A117" s="2"/>
      <c r="B117" s="33"/>
      <c r="C117" s="33"/>
      <c r="D117" s="33"/>
      <c r="E117" s="226"/>
      <c r="F117" s="226"/>
      <c r="G117" s="226"/>
      <c r="H117" s="226"/>
      <c r="I117" s="226"/>
      <c r="J117" s="226"/>
      <c r="K117" s="226"/>
      <c r="L117" s="226"/>
      <c r="M117" s="2"/>
      <c r="N117" s="2"/>
      <c r="O117" s="2"/>
      <c r="P117" s="2"/>
      <c r="Q117" s="2"/>
      <c r="R117" s="2"/>
      <c r="S117" s="2"/>
      <c r="T117" s="2"/>
      <c r="U117" s="2"/>
      <c r="V117" s="2"/>
      <c r="W117" s="2"/>
      <c r="X117" s="2"/>
      <c r="Y117" s="2"/>
      <c r="Z117" s="2"/>
      <c r="AA117" s="2"/>
      <c r="AB117" s="2"/>
      <c r="AC117" s="2"/>
      <c r="AD117" s="2"/>
      <c r="AE117" s="2"/>
    </row>
    <row r="118" spans="1:31" ht="12.75" customHeight="1">
      <c r="A118" s="2"/>
      <c r="B118" s="33"/>
      <c r="C118" s="33"/>
      <c r="D118" s="33"/>
      <c r="E118" s="226"/>
      <c r="F118" s="226"/>
      <c r="G118" s="226"/>
      <c r="H118" s="226"/>
      <c r="I118" s="226"/>
      <c r="J118" s="226"/>
      <c r="K118" s="226"/>
      <c r="L118" s="226"/>
      <c r="M118" s="2"/>
      <c r="N118" s="2"/>
      <c r="O118" s="2"/>
      <c r="P118" s="2"/>
      <c r="Q118" s="2"/>
      <c r="R118" s="2"/>
      <c r="S118" s="2"/>
      <c r="T118" s="2"/>
      <c r="U118" s="2"/>
      <c r="V118" s="2"/>
      <c r="W118" s="2"/>
      <c r="X118" s="2"/>
      <c r="Y118" s="2"/>
      <c r="Z118" s="2"/>
      <c r="AA118" s="2"/>
      <c r="AB118" s="2"/>
      <c r="AC118" s="2"/>
      <c r="AD118" s="2"/>
      <c r="AE118" s="2"/>
    </row>
    <row r="119" spans="1:31" ht="12.75" customHeight="1">
      <c r="A119" s="2"/>
      <c r="B119" s="33"/>
      <c r="C119" s="33"/>
      <c r="D119" s="33"/>
      <c r="E119" s="226"/>
      <c r="F119" s="226"/>
      <c r="G119" s="226"/>
      <c r="H119" s="226"/>
      <c r="I119" s="226"/>
      <c r="J119" s="226"/>
      <c r="K119" s="226"/>
      <c r="L119" s="226"/>
      <c r="M119" s="2"/>
      <c r="N119" s="2"/>
      <c r="O119" s="2"/>
      <c r="P119" s="2"/>
      <c r="Q119" s="2"/>
      <c r="R119" s="2"/>
      <c r="S119" s="2"/>
      <c r="T119" s="2"/>
      <c r="U119" s="2"/>
      <c r="V119" s="2"/>
      <c r="W119" s="2"/>
      <c r="X119" s="2"/>
      <c r="Y119" s="2"/>
      <c r="Z119" s="2"/>
      <c r="AA119" s="2"/>
      <c r="AB119" s="2"/>
      <c r="AC119" s="2"/>
      <c r="AD119" s="2"/>
      <c r="AE119" s="2"/>
    </row>
    <row r="120" spans="1:31" ht="12.75" customHeight="1">
      <c r="A120" s="2"/>
      <c r="B120" s="226"/>
      <c r="C120" s="226"/>
      <c r="D120" s="226"/>
      <c r="E120" s="226"/>
      <c r="F120" s="226"/>
      <c r="G120" s="226"/>
      <c r="H120" s="226"/>
      <c r="I120" s="226"/>
      <c r="J120" s="226"/>
      <c r="K120" s="226"/>
      <c r="L120" s="226"/>
      <c r="M120" s="2"/>
      <c r="N120" s="2"/>
      <c r="O120" s="2"/>
      <c r="P120" s="2"/>
      <c r="Q120" s="2"/>
      <c r="R120" s="2"/>
      <c r="S120" s="2"/>
      <c r="T120" s="2"/>
      <c r="U120" s="2"/>
      <c r="V120" s="2"/>
      <c r="W120" s="2"/>
      <c r="X120" s="2"/>
      <c r="Y120" s="2"/>
      <c r="Z120" s="2"/>
      <c r="AA120" s="2"/>
      <c r="AB120" s="2"/>
      <c r="AC120" s="2"/>
      <c r="AD120" s="2"/>
      <c r="AE120" s="2"/>
    </row>
    <row r="121" spans="1:31" ht="12.75" customHeight="1">
      <c r="A121" s="2"/>
      <c r="B121" s="226"/>
      <c r="C121" s="226"/>
      <c r="D121" s="33"/>
      <c r="E121" s="226"/>
      <c r="F121" s="226"/>
      <c r="G121" s="226"/>
      <c r="H121" s="226"/>
      <c r="I121" s="226"/>
      <c r="J121" s="226"/>
      <c r="K121" s="226"/>
      <c r="L121" s="226"/>
      <c r="M121" s="2"/>
      <c r="N121" s="2"/>
      <c r="O121" s="2"/>
      <c r="P121" s="2"/>
      <c r="Q121" s="2"/>
      <c r="R121" s="2"/>
      <c r="S121" s="2"/>
      <c r="T121" s="2"/>
      <c r="U121" s="2"/>
      <c r="V121" s="2"/>
      <c r="W121" s="2"/>
      <c r="X121" s="2"/>
      <c r="Y121" s="2"/>
      <c r="Z121" s="2"/>
      <c r="AA121" s="2"/>
      <c r="AB121" s="2"/>
      <c r="AC121" s="2"/>
      <c r="AD121" s="2"/>
      <c r="AE121" s="2"/>
    </row>
    <row r="122" spans="1:31" ht="12.75" customHeight="1">
      <c r="A122" s="2"/>
      <c r="B122" s="226"/>
      <c r="C122" s="226"/>
      <c r="D122" s="226"/>
      <c r="E122" s="226"/>
      <c r="F122" s="226"/>
      <c r="G122" s="226"/>
      <c r="H122" s="226"/>
      <c r="I122" s="226"/>
      <c r="J122" s="226"/>
      <c r="K122" s="226"/>
      <c r="L122" s="226"/>
      <c r="M122" s="2"/>
      <c r="N122" s="2"/>
      <c r="O122" s="2"/>
      <c r="P122" s="2"/>
      <c r="Q122" s="2"/>
      <c r="R122" s="2"/>
      <c r="S122" s="2"/>
      <c r="T122" s="2"/>
      <c r="U122" s="2"/>
      <c r="V122" s="2"/>
      <c r="W122" s="2"/>
      <c r="X122" s="2"/>
      <c r="Y122" s="2"/>
      <c r="Z122" s="2"/>
      <c r="AA122" s="2"/>
      <c r="AB122" s="2"/>
      <c r="AC122" s="2"/>
      <c r="AD122" s="2"/>
      <c r="AE122" s="2"/>
    </row>
    <row r="123" spans="1:31" ht="12.75" customHeight="1">
      <c r="A123" s="2"/>
      <c r="B123" s="33"/>
      <c r="C123" s="33"/>
      <c r="D123" s="33"/>
      <c r="E123" s="226"/>
      <c r="F123" s="226"/>
      <c r="G123" s="226"/>
      <c r="H123" s="226"/>
      <c r="I123" s="226"/>
      <c r="J123" s="226"/>
      <c r="K123" s="226"/>
      <c r="L123" s="226"/>
      <c r="M123" s="2"/>
      <c r="N123" s="2"/>
      <c r="O123" s="2"/>
      <c r="P123" s="2"/>
      <c r="Q123" s="2"/>
      <c r="R123" s="2"/>
      <c r="S123" s="2"/>
      <c r="T123" s="2"/>
      <c r="U123" s="2"/>
      <c r="V123" s="2"/>
      <c r="W123" s="2"/>
      <c r="X123" s="2"/>
      <c r="Y123" s="2"/>
      <c r="Z123" s="2"/>
      <c r="AA123" s="2"/>
      <c r="AB123" s="2"/>
      <c r="AC123" s="2"/>
      <c r="AD123" s="2"/>
      <c r="AE123" s="2"/>
    </row>
    <row r="124" spans="1:31" ht="12.75" customHeight="1">
      <c r="A124" s="2"/>
      <c r="B124" s="33"/>
      <c r="C124" s="33"/>
      <c r="D124" s="33"/>
      <c r="E124" s="226"/>
      <c r="F124" s="226"/>
      <c r="G124" s="226"/>
      <c r="H124" s="226"/>
      <c r="I124" s="226"/>
      <c r="J124" s="226"/>
      <c r="K124" s="226"/>
      <c r="L124" s="226"/>
      <c r="M124" s="2"/>
      <c r="N124" s="2"/>
      <c r="O124" s="2"/>
      <c r="P124" s="2"/>
      <c r="Q124" s="2"/>
      <c r="R124" s="2"/>
      <c r="S124" s="2"/>
      <c r="T124" s="2"/>
      <c r="U124" s="2"/>
      <c r="V124" s="2"/>
      <c r="W124" s="2"/>
      <c r="X124" s="2"/>
      <c r="Y124" s="2"/>
      <c r="Z124" s="2"/>
      <c r="AA124" s="2"/>
      <c r="AB124" s="2"/>
      <c r="AC124" s="2"/>
      <c r="AD124" s="2"/>
      <c r="AE124" s="2"/>
    </row>
    <row r="125" spans="1:31" ht="12.75" customHeight="1">
      <c r="A125" s="2"/>
      <c r="B125" s="33"/>
      <c r="C125" s="33"/>
      <c r="D125" s="33"/>
      <c r="E125" s="226"/>
      <c r="F125" s="226"/>
      <c r="G125" s="226"/>
      <c r="H125" s="226"/>
      <c r="I125" s="226"/>
      <c r="J125" s="226"/>
      <c r="K125" s="226"/>
      <c r="L125" s="226"/>
      <c r="M125" s="2"/>
      <c r="N125" s="2"/>
      <c r="O125" s="2"/>
      <c r="P125" s="2"/>
      <c r="Q125" s="2"/>
      <c r="R125" s="2"/>
      <c r="S125" s="2"/>
      <c r="T125" s="2"/>
      <c r="U125" s="2"/>
      <c r="V125" s="2"/>
      <c r="W125" s="2"/>
      <c r="X125" s="2"/>
      <c r="Y125" s="2"/>
      <c r="Z125" s="2"/>
      <c r="AA125" s="2"/>
      <c r="AB125" s="2"/>
      <c r="AC125" s="2"/>
      <c r="AD125" s="2"/>
      <c r="AE125" s="2"/>
    </row>
    <row r="126" spans="1:31" ht="12.75" customHeight="1">
      <c r="A126" s="2"/>
      <c r="B126" s="226"/>
      <c r="C126" s="226"/>
      <c r="D126" s="33"/>
      <c r="E126" s="226"/>
      <c r="F126" s="226"/>
      <c r="G126" s="226"/>
      <c r="H126" s="226"/>
      <c r="I126" s="226"/>
      <c r="J126" s="226"/>
      <c r="K126" s="226"/>
      <c r="L126" s="226"/>
      <c r="M126" s="2"/>
      <c r="N126" s="2"/>
      <c r="O126" s="2"/>
      <c r="P126" s="2"/>
      <c r="Q126" s="2"/>
      <c r="R126" s="2"/>
      <c r="S126" s="2"/>
      <c r="T126" s="2"/>
      <c r="U126" s="2"/>
      <c r="V126" s="2"/>
      <c r="W126" s="2"/>
      <c r="X126" s="2"/>
      <c r="Y126" s="2"/>
      <c r="Z126" s="2"/>
      <c r="AA126" s="2"/>
      <c r="AB126" s="2"/>
      <c r="AC126" s="2"/>
      <c r="AD126" s="2"/>
      <c r="AE126" s="2"/>
    </row>
    <row r="127" spans="1:31" ht="12.75" customHeight="1">
      <c r="A127" s="2"/>
      <c r="B127" s="33"/>
      <c r="C127" s="33"/>
      <c r="D127" s="33"/>
      <c r="E127" s="226"/>
      <c r="F127" s="226"/>
      <c r="G127" s="226"/>
      <c r="H127" s="226"/>
      <c r="I127" s="226"/>
      <c r="J127" s="226"/>
      <c r="K127" s="226"/>
      <c r="L127" s="226"/>
      <c r="M127" s="2"/>
      <c r="N127" s="2"/>
      <c r="O127" s="2"/>
      <c r="P127" s="2"/>
      <c r="Q127" s="2"/>
      <c r="R127" s="2"/>
      <c r="S127" s="2"/>
      <c r="T127" s="2"/>
      <c r="U127" s="2"/>
      <c r="V127" s="2"/>
      <c r="W127" s="2"/>
      <c r="X127" s="2"/>
      <c r="Y127" s="2"/>
      <c r="Z127" s="2"/>
      <c r="AA127" s="2"/>
      <c r="AB127" s="2"/>
      <c r="AC127" s="2"/>
      <c r="AD127" s="2"/>
      <c r="AE127" s="2"/>
    </row>
    <row r="128" spans="1:31" ht="12.75" customHeight="1">
      <c r="A128" s="2"/>
      <c r="B128" s="33"/>
      <c r="C128" s="33"/>
      <c r="D128" s="33"/>
      <c r="E128" s="226"/>
      <c r="F128" s="226"/>
      <c r="G128" s="226"/>
      <c r="H128" s="226"/>
      <c r="I128" s="226"/>
      <c r="J128" s="226"/>
      <c r="K128" s="226"/>
      <c r="L128" s="226"/>
      <c r="M128" s="2"/>
      <c r="N128" s="2"/>
      <c r="O128" s="2"/>
      <c r="P128" s="2"/>
      <c r="Q128" s="2"/>
      <c r="R128" s="2"/>
      <c r="S128" s="2"/>
      <c r="T128" s="2"/>
      <c r="U128" s="2"/>
      <c r="V128" s="2"/>
      <c r="W128" s="2"/>
      <c r="X128" s="2"/>
      <c r="Y128" s="2"/>
      <c r="Z128" s="2"/>
      <c r="AA128" s="2"/>
      <c r="AB128" s="2"/>
      <c r="AC128" s="2"/>
      <c r="AD128" s="2"/>
      <c r="AE128" s="2"/>
    </row>
    <row r="129" spans="1:31" ht="12.75" customHeight="1">
      <c r="A129" s="2"/>
      <c r="B129" s="226"/>
      <c r="C129" s="226"/>
      <c r="D129" s="226"/>
      <c r="E129" s="226"/>
      <c r="F129" s="226"/>
      <c r="G129" s="226"/>
      <c r="H129" s="226"/>
      <c r="I129" s="226"/>
      <c r="J129" s="226"/>
      <c r="K129" s="226"/>
      <c r="L129" s="226"/>
      <c r="M129" s="2"/>
      <c r="N129" s="2"/>
      <c r="O129" s="2"/>
      <c r="P129" s="2"/>
      <c r="Q129" s="2"/>
      <c r="R129" s="2"/>
      <c r="S129" s="2"/>
      <c r="T129" s="2"/>
      <c r="U129" s="2"/>
      <c r="V129" s="2"/>
      <c r="W129" s="2"/>
      <c r="X129" s="2"/>
      <c r="Y129" s="2"/>
      <c r="Z129" s="2"/>
      <c r="AA129" s="2"/>
      <c r="AB129" s="2"/>
      <c r="AC129" s="2"/>
      <c r="AD129" s="2"/>
      <c r="AE129" s="2"/>
    </row>
    <row r="130" spans="1:31" ht="12.75" customHeight="1">
      <c r="A130" s="2"/>
      <c r="B130" s="226"/>
      <c r="C130" s="226"/>
      <c r="D130" s="226"/>
      <c r="E130" s="226"/>
      <c r="F130" s="226"/>
      <c r="G130" s="226"/>
      <c r="H130" s="226"/>
      <c r="I130" s="226"/>
      <c r="J130" s="226"/>
      <c r="K130" s="226"/>
      <c r="L130" s="226"/>
      <c r="M130" s="2"/>
      <c r="N130" s="2"/>
      <c r="O130" s="2"/>
      <c r="P130" s="2"/>
      <c r="Q130" s="2"/>
      <c r="R130" s="2"/>
      <c r="S130" s="2"/>
      <c r="T130" s="2"/>
      <c r="U130" s="2"/>
      <c r="V130" s="2"/>
      <c r="W130" s="2"/>
      <c r="X130" s="2"/>
      <c r="Y130" s="2"/>
      <c r="Z130" s="2"/>
      <c r="AA130" s="2"/>
      <c r="AB130" s="2"/>
      <c r="AC130" s="2"/>
      <c r="AD130" s="2"/>
      <c r="AE130" s="2"/>
    </row>
    <row r="131" spans="1:31" ht="12.75" customHeight="1">
      <c r="A131" s="2"/>
      <c r="B131" s="226"/>
      <c r="C131" s="226"/>
      <c r="D131" s="226"/>
      <c r="E131" s="226"/>
      <c r="F131" s="226"/>
      <c r="G131" s="226"/>
      <c r="H131" s="226"/>
      <c r="I131" s="226"/>
      <c r="J131" s="226"/>
      <c r="K131" s="226"/>
      <c r="L131" s="226"/>
      <c r="M131" s="2"/>
      <c r="N131" s="2"/>
      <c r="O131" s="2"/>
      <c r="P131" s="2"/>
      <c r="Q131" s="2"/>
      <c r="R131" s="2"/>
      <c r="S131" s="2"/>
      <c r="T131" s="2"/>
      <c r="U131" s="2"/>
      <c r="V131" s="2"/>
      <c r="W131" s="2"/>
      <c r="X131" s="2"/>
      <c r="Y131" s="2"/>
      <c r="Z131" s="2"/>
      <c r="AA131" s="2"/>
      <c r="AB131" s="2"/>
      <c r="AC131" s="2"/>
      <c r="AD131" s="2"/>
      <c r="AE131" s="2"/>
    </row>
    <row r="132" spans="1:31" ht="12.75" customHeight="1">
      <c r="A132" s="2"/>
      <c r="B132" s="33"/>
      <c r="C132" s="33"/>
      <c r="D132" s="33"/>
      <c r="E132" s="226"/>
      <c r="F132" s="226"/>
      <c r="G132" s="226"/>
      <c r="H132" s="226"/>
      <c r="I132" s="226"/>
      <c r="J132" s="226"/>
      <c r="K132" s="226"/>
      <c r="L132" s="226"/>
      <c r="M132" s="2"/>
      <c r="N132" s="2"/>
      <c r="O132" s="2"/>
      <c r="P132" s="2"/>
      <c r="Q132" s="2"/>
      <c r="R132" s="2"/>
      <c r="S132" s="2"/>
      <c r="T132" s="2"/>
      <c r="U132" s="2"/>
      <c r="V132" s="2"/>
      <c r="W132" s="2"/>
      <c r="X132" s="2"/>
      <c r="Y132" s="2"/>
      <c r="Z132" s="2"/>
      <c r="AA132" s="2"/>
      <c r="AB132" s="2"/>
      <c r="AC132" s="2"/>
      <c r="AD132" s="2"/>
      <c r="AE132" s="2"/>
    </row>
    <row r="133" spans="1:31" ht="12.75" customHeight="1">
      <c r="A133" s="2"/>
      <c r="B133" s="33"/>
      <c r="C133" s="33"/>
      <c r="D133" s="33"/>
      <c r="E133" s="226"/>
      <c r="F133" s="226"/>
      <c r="G133" s="226"/>
      <c r="H133" s="226"/>
      <c r="I133" s="226"/>
      <c r="J133" s="226"/>
      <c r="K133" s="226"/>
      <c r="L133" s="226"/>
      <c r="M133" s="2"/>
      <c r="N133" s="2"/>
      <c r="O133" s="2"/>
      <c r="P133" s="2"/>
      <c r="Q133" s="2"/>
      <c r="R133" s="2"/>
      <c r="S133" s="2"/>
      <c r="T133" s="2"/>
      <c r="U133" s="2"/>
      <c r="V133" s="2"/>
      <c r="W133" s="2"/>
      <c r="X133" s="2"/>
      <c r="Y133" s="2"/>
      <c r="Z133" s="2"/>
      <c r="AA133" s="2"/>
      <c r="AB133" s="2"/>
      <c r="AC133" s="2"/>
      <c r="AD133" s="2"/>
      <c r="AE133" s="2"/>
    </row>
    <row r="134" spans="1:31" ht="12.75" customHeight="1">
      <c r="A134" s="2"/>
      <c r="B134" s="33"/>
      <c r="C134" s="33"/>
      <c r="D134" s="33"/>
      <c r="E134" s="226"/>
      <c r="F134" s="226"/>
      <c r="G134" s="226"/>
      <c r="H134" s="226"/>
      <c r="I134" s="226"/>
      <c r="J134" s="226"/>
      <c r="K134" s="226"/>
      <c r="L134" s="226"/>
      <c r="M134" s="2"/>
      <c r="N134" s="2"/>
      <c r="O134" s="2"/>
      <c r="P134" s="2"/>
      <c r="Q134" s="2"/>
      <c r="R134" s="2"/>
      <c r="S134" s="2"/>
      <c r="T134" s="2"/>
      <c r="U134" s="2"/>
      <c r="V134" s="2"/>
      <c r="W134" s="2"/>
      <c r="X134" s="2"/>
      <c r="Y134" s="2"/>
      <c r="Z134" s="2"/>
      <c r="AA134" s="2"/>
      <c r="AB134" s="2"/>
      <c r="AC134" s="2"/>
      <c r="AD134" s="2"/>
      <c r="AE134" s="2"/>
    </row>
    <row r="135" spans="1:31" ht="12.75" customHeight="1">
      <c r="A135" s="2"/>
      <c r="B135" s="33"/>
      <c r="C135" s="33"/>
      <c r="D135" s="33"/>
      <c r="E135" s="226"/>
      <c r="F135" s="226"/>
      <c r="G135" s="226"/>
      <c r="H135" s="226"/>
      <c r="I135" s="226"/>
      <c r="J135" s="226"/>
      <c r="K135" s="226"/>
      <c r="L135" s="226"/>
      <c r="M135" s="2"/>
      <c r="N135" s="2"/>
      <c r="O135" s="2"/>
      <c r="P135" s="2"/>
      <c r="Q135" s="2"/>
      <c r="R135" s="2"/>
      <c r="S135" s="2"/>
      <c r="T135" s="2"/>
      <c r="U135" s="2"/>
      <c r="V135" s="2"/>
      <c r="W135" s="2"/>
      <c r="X135" s="2"/>
      <c r="Y135" s="2"/>
      <c r="Z135" s="2"/>
      <c r="AA135" s="2"/>
      <c r="AB135" s="2"/>
      <c r="AC135" s="2"/>
      <c r="AD135" s="2"/>
      <c r="AE135" s="2"/>
    </row>
    <row r="136" spans="1:31" ht="12.75" customHeight="1">
      <c r="A136" s="2"/>
      <c r="B136" s="226"/>
      <c r="C136" s="226"/>
      <c r="D136" s="33"/>
      <c r="E136" s="226"/>
      <c r="F136" s="226"/>
      <c r="G136" s="226"/>
      <c r="H136" s="226"/>
      <c r="I136" s="226"/>
      <c r="J136" s="226"/>
      <c r="K136" s="226"/>
      <c r="L136" s="226"/>
      <c r="M136" s="2"/>
      <c r="N136" s="2"/>
      <c r="O136" s="2"/>
      <c r="P136" s="2"/>
      <c r="Q136" s="2"/>
      <c r="R136" s="2"/>
      <c r="S136" s="2"/>
      <c r="T136" s="2"/>
      <c r="U136" s="2"/>
      <c r="V136" s="2"/>
      <c r="W136" s="2"/>
      <c r="X136" s="2"/>
      <c r="Y136" s="2"/>
      <c r="Z136" s="2"/>
      <c r="AA136" s="2"/>
      <c r="AB136" s="2"/>
      <c r="AC136" s="2"/>
      <c r="AD136" s="2"/>
      <c r="AE136" s="2"/>
    </row>
    <row r="137" spans="1:31" ht="12.75" customHeight="1">
      <c r="A137" s="2"/>
      <c r="B137" s="33"/>
      <c r="C137" s="33"/>
      <c r="D137" s="33"/>
      <c r="E137" s="226"/>
      <c r="F137" s="226"/>
      <c r="G137" s="226"/>
      <c r="H137" s="226"/>
      <c r="I137" s="226"/>
      <c r="J137" s="226"/>
      <c r="K137" s="226"/>
      <c r="L137" s="226"/>
      <c r="M137" s="2"/>
      <c r="N137" s="2"/>
      <c r="O137" s="2"/>
      <c r="P137" s="2"/>
      <c r="Q137" s="2"/>
      <c r="R137" s="2"/>
      <c r="S137" s="2"/>
      <c r="T137" s="2"/>
      <c r="U137" s="2"/>
      <c r="V137" s="2"/>
      <c r="W137" s="2"/>
      <c r="X137" s="2"/>
      <c r="Y137" s="2"/>
      <c r="Z137" s="2"/>
      <c r="AA137" s="2"/>
      <c r="AB137" s="2"/>
      <c r="AC137" s="2"/>
      <c r="AD137" s="2"/>
      <c r="AE137" s="2"/>
    </row>
    <row r="138" spans="1:31" ht="12.75" customHeight="1">
      <c r="A138" s="2"/>
      <c r="B138" s="33"/>
      <c r="C138" s="33"/>
      <c r="D138" s="33"/>
      <c r="E138" s="226"/>
      <c r="F138" s="226"/>
      <c r="G138" s="226"/>
      <c r="H138" s="226"/>
      <c r="I138" s="226"/>
      <c r="J138" s="226"/>
      <c r="K138" s="226"/>
      <c r="L138" s="226"/>
      <c r="M138" s="2"/>
      <c r="N138" s="2"/>
      <c r="O138" s="2"/>
      <c r="P138" s="2"/>
      <c r="Q138" s="2"/>
      <c r="R138" s="2"/>
      <c r="S138" s="2"/>
      <c r="T138" s="2"/>
      <c r="U138" s="2"/>
      <c r="V138" s="2"/>
      <c r="W138" s="2"/>
      <c r="X138" s="2"/>
      <c r="Y138" s="2"/>
      <c r="Z138" s="2"/>
      <c r="AA138" s="2"/>
      <c r="AB138" s="2"/>
      <c r="AC138" s="2"/>
      <c r="AD138" s="2"/>
      <c r="AE138" s="2"/>
    </row>
    <row r="139" spans="1:31" ht="12.75" customHeight="1">
      <c r="A139" s="2"/>
      <c r="B139" s="33"/>
      <c r="C139" s="33"/>
      <c r="D139" s="33"/>
      <c r="E139" s="226"/>
      <c r="F139" s="226"/>
      <c r="G139" s="226"/>
      <c r="H139" s="226"/>
      <c r="I139" s="226"/>
      <c r="J139" s="226"/>
      <c r="K139" s="226"/>
      <c r="L139" s="226"/>
      <c r="M139" s="2"/>
      <c r="N139" s="2"/>
      <c r="O139" s="2"/>
      <c r="P139" s="2"/>
      <c r="Q139" s="2"/>
      <c r="R139" s="2"/>
      <c r="S139" s="2"/>
      <c r="T139" s="2"/>
      <c r="U139" s="2"/>
      <c r="V139" s="2"/>
      <c r="W139" s="2"/>
      <c r="X139" s="2"/>
      <c r="Y139" s="2"/>
      <c r="Z139" s="2"/>
      <c r="AA139" s="2"/>
      <c r="AB139" s="2"/>
      <c r="AC139" s="2"/>
      <c r="AD139" s="2"/>
      <c r="AE139" s="2"/>
    </row>
    <row r="140" spans="1:31" ht="12.75" customHeight="1">
      <c r="A140" s="2"/>
      <c r="B140" s="226"/>
      <c r="C140" s="226"/>
      <c r="D140" s="33"/>
      <c r="E140" s="226"/>
      <c r="F140" s="226"/>
      <c r="G140" s="226"/>
      <c r="H140" s="226"/>
      <c r="I140" s="226"/>
      <c r="J140" s="226"/>
      <c r="K140" s="226"/>
      <c r="L140" s="226"/>
      <c r="M140" s="2"/>
      <c r="N140" s="2"/>
      <c r="O140" s="2"/>
      <c r="P140" s="2"/>
      <c r="Q140" s="2"/>
      <c r="R140" s="2"/>
      <c r="S140" s="2"/>
      <c r="T140" s="2"/>
      <c r="U140" s="2"/>
      <c r="V140" s="2"/>
      <c r="W140" s="2"/>
      <c r="X140" s="2"/>
      <c r="Y140" s="2"/>
      <c r="Z140" s="2"/>
      <c r="AA140" s="2"/>
      <c r="AB140" s="2"/>
      <c r="AC140" s="2"/>
      <c r="AD140" s="2"/>
      <c r="AE140" s="2"/>
    </row>
    <row r="141" spans="1:31" ht="12.75" customHeight="1">
      <c r="A141" s="2"/>
      <c r="B141" s="33"/>
      <c r="C141" s="33"/>
      <c r="D141" s="33"/>
      <c r="E141" s="226"/>
      <c r="F141" s="226"/>
      <c r="G141" s="226"/>
      <c r="H141" s="226"/>
      <c r="I141" s="226"/>
      <c r="J141" s="226"/>
      <c r="K141" s="226"/>
      <c r="L141" s="226"/>
      <c r="M141" s="2"/>
      <c r="N141" s="2"/>
      <c r="O141" s="2"/>
      <c r="P141" s="2"/>
      <c r="Q141" s="2"/>
      <c r="R141" s="2"/>
      <c r="S141" s="2"/>
      <c r="T141" s="2"/>
      <c r="U141" s="2"/>
      <c r="V141" s="2"/>
      <c r="W141" s="2"/>
      <c r="X141" s="2"/>
      <c r="Y141" s="2"/>
      <c r="Z141" s="2"/>
      <c r="AA141" s="2"/>
      <c r="AB141" s="2"/>
      <c r="AC141" s="2"/>
      <c r="AD141" s="2"/>
      <c r="AE141" s="2"/>
    </row>
    <row r="142" spans="1:31" ht="12.75" customHeight="1">
      <c r="A142" s="2"/>
      <c r="B142" s="33"/>
      <c r="C142" s="33"/>
      <c r="D142" s="33"/>
      <c r="E142" s="226"/>
      <c r="F142" s="226"/>
      <c r="G142" s="226"/>
      <c r="H142" s="226"/>
      <c r="I142" s="226"/>
      <c r="J142" s="226"/>
      <c r="K142" s="226"/>
      <c r="L142" s="226"/>
      <c r="M142" s="2"/>
      <c r="N142" s="2"/>
      <c r="O142" s="2"/>
      <c r="P142" s="2"/>
      <c r="Q142" s="2"/>
      <c r="R142" s="2"/>
      <c r="S142" s="2"/>
      <c r="T142" s="2"/>
      <c r="U142" s="2"/>
      <c r="V142" s="2"/>
      <c r="W142" s="2"/>
      <c r="X142" s="2"/>
      <c r="Y142" s="2"/>
      <c r="Z142" s="2"/>
      <c r="AA142" s="2"/>
      <c r="AB142" s="2"/>
      <c r="AC142" s="2"/>
      <c r="AD142" s="2"/>
      <c r="AE142" s="2"/>
    </row>
    <row r="143" spans="1:31" ht="12.75" customHeight="1">
      <c r="A143" s="2"/>
      <c r="B143" s="226"/>
      <c r="C143" s="226"/>
      <c r="D143" s="226"/>
      <c r="E143" s="226"/>
      <c r="F143" s="226"/>
      <c r="G143" s="226"/>
      <c r="H143" s="226"/>
      <c r="I143" s="226"/>
      <c r="J143" s="226"/>
      <c r="K143" s="226"/>
      <c r="L143" s="226"/>
      <c r="M143" s="2"/>
      <c r="N143" s="2"/>
      <c r="O143" s="2"/>
      <c r="P143" s="2"/>
      <c r="Q143" s="2"/>
      <c r="R143" s="2"/>
      <c r="S143" s="2"/>
      <c r="T143" s="2"/>
      <c r="U143" s="2"/>
      <c r="V143" s="2"/>
      <c r="W143" s="2"/>
      <c r="X143" s="2"/>
      <c r="Y143" s="2"/>
      <c r="Z143" s="2"/>
      <c r="AA143" s="2"/>
      <c r="AB143" s="2"/>
      <c r="AC143" s="2"/>
      <c r="AD143" s="2"/>
      <c r="AE143" s="2"/>
    </row>
    <row r="144" spans="1:31" ht="12.75" customHeight="1">
      <c r="A144" s="2"/>
      <c r="B144" s="226"/>
      <c r="C144" s="226"/>
      <c r="D144" s="226"/>
      <c r="E144" s="226"/>
      <c r="F144" s="226"/>
      <c r="G144" s="226"/>
      <c r="H144" s="226"/>
      <c r="I144" s="226"/>
      <c r="J144" s="226"/>
      <c r="K144" s="226"/>
      <c r="L144" s="226"/>
      <c r="M144" s="2"/>
      <c r="N144" s="2"/>
      <c r="O144" s="2"/>
      <c r="P144" s="2"/>
      <c r="Q144" s="2"/>
      <c r="R144" s="2"/>
      <c r="S144" s="2"/>
      <c r="T144" s="2"/>
      <c r="U144" s="2"/>
      <c r="V144" s="2"/>
      <c r="W144" s="2"/>
      <c r="X144" s="2"/>
      <c r="Y144" s="2"/>
      <c r="Z144" s="2"/>
      <c r="AA144" s="2"/>
      <c r="AB144" s="2"/>
      <c r="AC144" s="2"/>
      <c r="AD144" s="2"/>
      <c r="AE144" s="2"/>
    </row>
    <row r="145" spans="1:31" ht="12.75" customHeight="1">
      <c r="A145" s="2"/>
      <c r="B145" s="226"/>
      <c r="C145" s="226"/>
      <c r="D145" s="226"/>
      <c r="E145" s="226"/>
      <c r="F145" s="226"/>
      <c r="G145" s="226"/>
      <c r="H145" s="226"/>
      <c r="I145" s="226"/>
      <c r="J145" s="226"/>
      <c r="K145" s="226"/>
      <c r="L145" s="226"/>
      <c r="M145" s="2"/>
      <c r="N145" s="2"/>
      <c r="O145" s="2"/>
      <c r="P145" s="2"/>
      <c r="Q145" s="2"/>
      <c r="R145" s="2"/>
      <c r="S145" s="2"/>
      <c r="T145" s="2"/>
      <c r="U145" s="2"/>
      <c r="V145" s="2"/>
      <c r="W145" s="2"/>
      <c r="X145" s="2"/>
      <c r="Y145" s="2"/>
      <c r="Z145" s="2"/>
      <c r="AA145" s="2"/>
      <c r="AB145" s="2"/>
      <c r="AC145" s="2"/>
      <c r="AD145" s="2"/>
      <c r="AE145" s="2"/>
    </row>
    <row r="146" spans="1:31" ht="12.75" customHeight="1">
      <c r="A146" s="2"/>
      <c r="B146" s="33"/>
      <c r="C146" s="226"/>
      <c r="D146" s="226"/>
      <c r="E146" s="226"/>
      <c r="F146" s="226"/>
      <c r="G146" s="226"/>
      <c r="H146" s="226"/>
      <c r="I146" s="226"/>
      <c r="J146" s="226"/>
      <c r="K146" s="226"/>
      <c r="L146" s="226"/>
      <c r="M146" s="2"/>
      <c r="N146" s="2"/>
      <c r="O146" s="2"/>
      <c r="P146" s="2"/>
      <c r="Q146" s="2"/>
      <c r="R146" s="2"/>
      <c r="S146" s="2"/>
      <c r="T146" s="2"/>
      <c r="U146" s="2"/>
      <c r="V146" s="2"/>
      <c r="W146" s="2"/>
      <c r="X146" s="2"/>
      <c r="Y146" s="2"/>
      <c r="Z146" s="2"/>
      <c r="AA146" s="2"/>
      <c r="AB146" s="2"/>
      <c r="AC146" s="2"/>
      <c r="AD146" s="2"/>
      <c r="AE146" s="2"/>
    </row>
    <row r="147" spans="1:31" ht="12.75" customHeight="1">
      <c r="A147" s="2"/>
      <c r="B147" s="226"/>
      <c r="C147" s="226"/>
      <c r="D147" s="226"/>
      <c r="E147" s="226"/>
      <c r="F147" s="226"/>
      <c r="G147" s="226"/>
      <c r="H147" s="226"/>
      <c r="I147" s="226"/>
      <c r="J147" s="226"/>
      <c r="K147" s="226"/>
      <c r="L147" s="226"/>
      <c r="M147" s="2"/>
      <c r="N147" s="2"/>
      <c r="O147" s="2"/>
      <c r="P147" s="2"/>
      <c r="Q147" s="2"/>
      <c r="R147" s="2"/>
      <c r="S147" s="2"/>
      <c r="T147" s="2"/>
      <c r="U147" s="2"/>
      <c r="V147" s="2"/>
      <c r="W147" s="2"/>
      <c r="X147" s="2"/>
      <c r="Y147" s="2"/>
      <c r="Z147" s="2"/>
      <c r="AA147" s="2"/>
      <c r="AB147" s="2"/>
      <c r="AC147" s="2"/>
      <c r="AD147" s="2"/>
      <c r="AE147" s="2"/>
    </row>
    <row r="148" spans="1:31" ht="12.75" customHeight="1">
      <c r="A148" s="2"/>
      <c r="B148" s="226"/>
      <c r="C148" s="226"/>
      <c r="D148" s="226"/>
      <c r="E148" s="226"/>
      <c r="F148" s="226"/>
      <c r="G148" s="226"/>
      <c r="H148" s="226"/>
      <c r="I148" s="226"/>
      <c r="J148" s="226"/>
      <c r="K148" s="226"/>
      <c r="L148" s="226"/>
      <c r="M148" s="2"/>
      <c r="N148" s="2"/>
      <c r="O148" s="2"/>
      <c r="P148" s="2"/>
      <c r="Q148" s="2"/>
      <c r="R148" s="2"/>
      <c r="S148" s="2"/>
      <c r="T148" s="2"/>
      <c r="U148" s="2"/>
      <c r="V148" s="2"/>
      <c r="W148" s="2"/>
      <c r="X148" s="2"/>
      <c r="Y148" s="2"/>
      <c r="Z148" s="2"/>
      <c r="AA148" s="2"/>
      <c r="AB148" s="2"/>
      <c r="AC148" s="2"/>
      <c r="AD148" s="2"/>
      <c r="AE148" s="2"/>
    </row>
    <row r="149" spans="1:31" ht="12.75" customHeight="1">
      <c r="A149" s="2"/>
      <c r="B149" s="33"/>
      <c r="C149" s="33"/>
      <c r="D149" s="33"/>
      <c r="E149" s="226"/>
      <c r="F149" s="226"/>
      <c r="G149" s="226"/>
      <c r="H149" s="226"/>
      <c r="I149" s="226"/>
      <c r="J149" s="226"/>
      <c r="K149" s="226"/>
      <c r="L149" s="226"/>
      <c r="M149" s="2"/>
      <c r="N149" s="2"/>
      <c r="O149" s="2"/>
      <c r="P149" s="2"/>
      <c r="Q149" s="2"/>
      <c r="R149" s="2"/>
      <c r="S149" s="2"/>
      <c r="T149" s="2"/>
      <c r="U149" s="2"/>
      <c r="V149" s="2"/>
      <c r="W149" s="2"/>
      <c r="X149" s="2"/>
      <c r="Y149" s="2"/>
      <c r="Z149" s="2"/>
      <c r="AA149" s="2"/>
      <c r="AB149" s="2"/>
      <c r="AC149" s="2"/>
      <c r="AD149" s="2"/>
      <c r="AE149" s="2"/>
    </row>
    <row r="150" spans="1:31" ht="12.75" customHeight="1">
      <c r="A150" s="2"/>
      <c r="B150" s="33"/>
      <c r="C150" s="33"/>
      <c r="D150" s="33"/>
      <c r="E150" s="226"/>
      <c r="F150" s="226"/>
      <c r="G150" s="226"/>
      <c r="H150" s="226"/>
      <c r="I150" s="226"/>
      <c r="J150" s="226"/>
      <c r="K150" s="226"/>
      <c r="L150" s="226"/>
      <c r="M150" s="2"/>
      <c r="N150" s="2"/>
      <c r="O150" s="2"/>
      <c r="P150" s="2"/>
      <c r="Q150" s="2"/>
      <c r="R150" s="2"/>
      <c r="S150" s="2"/>
      <c r="T150" s="2"/>
      <c r="U150" s="2"/>
      <c r="V150" s="2"/>
      <c r="W150" s="2"/>
      <c r="X150" s="2"/>
      <c r="Y150" s="2"/>
      <c r="Z150" s="2"/>
      <c r="AA150" s="2"/>
      <c r="AB150" s="2"/>
      <c r="AC150" s="2"/>
      <c r="AD150" s="2"/>
      <c r="AE150" s="2"/>
    </row>
    <row r="151" spans="1:31" ht="12.75" customHeight="1">
      <c r="A151" s="2"/>
      <c r="B151" s="33"/>
      <c r="C151" s="33"/>
      <c r="D151" s="33"/>
      <c r="E151" s="226"/>
      <c r="F151" s="226"/>
      <c r="G151" s="226"/>
      <c r="H151" s="226"/>
      <c r="I151" s="226"/>
      <c r="J151" s="226"/>
      <c r="K151" s="226"/>
      <c r="L151" s="226"/>
      <c r="M151" s="2"/>
      <c r="N151" s="2"/>
      <c r="O151" s="2"/>
      <c r="P151" s="2"/>
      <c r="Q151" s="2"/>
      <c r="R151" s="2"/>
      <c r="S151" s="2"/>
      <c r="T151" s="2"/>
      <c r="U151" s="2"/>
      <c r="V151" s="2"/>
      <c r="W151" s="2"/>
      <c r="X151" s="2"/>
      <c r="Y151" s="2"/>
      <c r="Z151" s="2"/>
      <c r="AA151" s="2"/>
      <c r="AB151" s="2"/>
      <c r="AC151" s="2"/>
      <c r="AD151" s="2"/>
      <c r="AE151" s="2"/>
    </row>
    <row r="152" spans="1:31" ht="12.75" customHeight="1">
      <c r="A152" s="2"/>
      <c r="B152" s="33"/>
      <c r="C152" s="33"/>
      <c r="D152" s="33"/>
      <c r="E152" s="226"/>
      <c r="F152" s="226"/>
      <c r="G152" s="226"/>
      <c r="H152" s="226"/>
      <c r="I152" s="226"/>
      <c r="J152" s="226"/>
      <c r="K152" s="226"/>
      <c r="L152" s="226"/>
      <c r="M152" s="2"/>
      <c r="N152" s="2"/>
      <c r="O152" s="2"/>
      <c r="P152" s="2"/>
      <c r="Q152" s="2"/>
      <c r="R152" s="2"/>
      <c r="S152" s="2"/>
      <c r="T152" s="2"/>
      <c r="U152" s="2"/>
      <c r="V152" s="2"/>
      <c r="W152" s="2"/>
      <c r="X152" s="2"/>
      <c r="Y152" s="2"/>
      <c r="Z152" s="2"/>
      <c r="AA152" s="2"/>
      <c r="AB152" s="2"/>
      <c r="AC152" s="2"/>
      <c r="AD152" s="2"/>
      <c r="AE152" s="2"/>
    </row>
    <row r="153" spans="1:31" ht="12.75" customHeight="1">
      <c r="A153" s="2"/>
      <c r="B153" s="226"/>
      <c r="C153" s="226"/>
      <c r="D153" s="226"/>
      <c r="E153" s="226"/>
      <c r="F153" s="226"/>
      <c r="G153" s="226"/>
      <c r="H153" s="226"/>
      <c r="I153" s="226"/>
      <c r="J153" s="226"/>
      <c r="K153" s="226"/>
      <c r="L153" s="226"/>
      <c r="M153" s="2"/>
      <c r="N153" s="2"/>
      <c r="O153" s="2"/>
      <c r="P153" s="2"/>
      <c r="Q153" s="2"/>
      <c r="R153" s="2"/>
      <c r="S153" s="2"/>
      <c r="T153" s="2"/>
      <c r="U153" s="2"/>
      <c r="V153" s="2"/>
      <c r="W153" s="2"/>
      <c r="X153" s="2"/>
      <c r="Y153" s="2"/>
      <c r="Z153" s="2"/>
      <c r="AA153" s="2"/>
      <c r="AB153" s="2"/>
      <c r="AC153" s="2"/>
      <c r="AD153" s="2"/>
      <c r="AE153" s="2"/>
    </row>
    <row r="154" spans="1:31" ht="12.75" customHeight="1">
      <c r="A154" s="2"/>
      <c r="B154" s="226"/>
      <c r="C154" s="226"/>
      <c r="D154" s="226"/>
      <c r="E154" s="226"/>
      <c r="F154" s="226"/>
      <c r="G154" s="226"/>
      <c r="H154" s="226"/>
      <c r="I154" s="226"/>
      <c r="J154" s="226"/>
      <c r="K154" s="226"/>
      <c r="L154" s="226"/>
      <c r="M154" s="2"/>
      <c r="N154" s="2"/>
      <c r="O154" s="2"/>
      <c r="P154" s="2"/>
      <c r="Q154" s="2"/>
      <c r="R154" s="2"/>
      <c r="S154" s="2"/>
      <c r="T154" s="2"/>
      <c r="U154" s="2"/>
      <c r="V154" s="2"/>
      <c r="W154" s="2"/>
      <c r="X154" s="2"/>
      <c r="Y154" s="2"/>
      <c r="Z154" s="2"/>
      <c r="AA154" s="2"/>
      <c r="AB154" s="2"/>
      <c r="AC154" s="2"/>
      <c r="AD154" s="2"/>
      <c r="AE154" s="2"/>
    </row>
    <row r="155" spans="1:31" ht="12.75" customHeight="1">
      <c r="A155" s="2"/>
      <c r="B155" s="226"/>
      <c r="C155" s="226"/>
      <c r="D155" s="226"/>
      <c r="E155" s="226"/>
      <c r="F155" s="226"/>
      <c r="G155" s="226"/>
      <c r="H155" s="226"/>
      <c r="I155" s="226"/>
      <c r="J155" s="226"/>
      <c r="K155" s="226"/>
      <c r="L155" s="226"/>
      <c r="M155" s="2"/>
      <c r="N155" s="2"/>
      <c r="O155" s="2"/>
      <c r="P155" s="2"/>
      <c r="Q155" s="2"/>
      <c r="R155" s="2"/>
      <c r="S155" s="2"/>
      <c r="T155" s="2"/>
      <c r="U155" s="2"/>
      <c r="V155" s="2"/>
      <c r="W155" s="2"/>
      <c r="X155" s="2"/>
      <c r="Y155" s="2"/>
      <c r="Z155" s="2"/>
      <c r="AA155" s="2"/>
      <c r="AB155" s="2"/>
      <c r="AC155" s="2"/>
      <c r="AD155" s="2"/>
      <c r="AE155" s="2"/>
    </row>
    <row r="156" spans="1:31" ht="12.75" customHeight="1">
      <c r="A156" s="2"/>
      <c r="B156" s="226"/>
      <c r="C156" s="226"/>
      <c r="D156" s="226"/>
      <c r="E156" s="226"/>
      <c r="F156" s="226"/>
      <c r="G156" s="226"/>
      <c r="H156" s="226"/>
      <c r="I156" s="226"/>
      <c r="J156" s="226"/>
      <c r="K156" s="226"/>
      <c r="L156" s="226"/>
      <c r="M156" s="2"/>
      <c r="N156" s="2"/>
      <c r="O156" s="2"/>
      <c r="P156" s="2"/>
      <c r="Q156" s="2"/>
      <c r="R156" s="2"/>
      <c r="S156" s="2"/>
      <c r="T156" s="2"/>
      <c r="U156" s="2"/>
      <c r="V156" s="2"/>
      <c r="W156" s="2"/>
      <c r="X156" s="2"/>
      <c r="Y156" s="2"/>
      <c r="Z156" s="2"/>
      <c r="AA156" s="2"/>
      <c r="AB156" s="2"/>
      <c r="AC156" s="2"/>
      <c r="AD156" s="2"/>
      <c r="AE156" s="2"/>
    </row>
    <row r="157" spans="1:31" ht="12.75" customHeight="1">
      <c r="A157" s="2"/>
      <c r="B157" s="33"/>
      <c r="C157" s="33"/>
      <c r="D157" s="33"/>
      <c r="E157" s="226"/>
      <c r="F157" s="226"/>
      <c r="G157" s="226"/>
      <c r="H157" s="226"/>
      <c r="I157" s="226"/>
      <c r="J157" s="226"/>
      <c r="K157" s="226"/>
      <c r="L157" s="226"/>
      <c r="M157" s="2"/>
      <c r="N157" s="2"/>
      <c r="O157" s="2"/>
      <c r="P157" s="2"/>
      <c r="Q157" s="2"/>
      <c r="R157" s="2"/>
      <c r="S157" s="2"/>
      <c r="T157" s="2"/>
      <c r="U157" s="2"/>
      <c r="V157" s="2"/>
      <c r="W157" s="2"/>
      <c r="X157" s="2"/>
      <c r="Y157" s="2"/>
      <c r="Z157" s="2"/>
      <c r="AA157" s="2"/>
      <c r="AB157" s="2"/>
      <c r="AC157" s="2"/>
      <c r="AD157" s="2"/>
      <c r="AE157" s="2"/>
    </row>
    <row r="158" spans="1:31" ht="12.75" customHeight="1">
      <c r="A158" s="2"/>
      <c r="B158" s="33"/>
      <c r="C158" s="33"/>
      <c r="D158" s="33"/>
      <c r="E158" s="226"/>
      <c r="F158" s="226"/>
      <c r="G158" s="226"/>
      <c r="H158" s="226"/>
      <c r="I158" s="226"/>
      <c r="J158" s="226"/>
      <c r="K158" s="226"/>
      <c r="L158" s="226"/>
      <c r="M158" s="2"/>
      <c r="N158" s="2"/>
      <c r="O158" s="2"/>
      <c r="P158" s="2"/>
      <c r="Q158" s="2"/>
      <c r="R158" s="2"/>
      <c r="S158" s="2"/>
      <c r="T158" s="2"/>
      <c r="U158" s="2"/>
      <c r="V158" s="2"/>
      <c r="W158" s="2"/>
      <c r="X158" s="2"/>
      <c r="Y158" s="2"/>
      <c r="Z158" s="2"/>
      <c r="AA158" s="2"/>
      <c r="AB158" s="2"/>
      <c r="AC158" s="2"/>
      <c r="AD158" s="2"/>
      <c r="AE158" s="2"/>
    </row>
    <row r="159" spans="1:31" ht="12.75" customHeight="1">
      <c r="A159" s="2"/>
      <c r="B159" s="33"/>
      <c r="C159" s="33"/>
      <c r="D159" s="33"/>
      <c r="E159" s="226"/>
      <c r="F159" s="226"/>
      <c r="G159" s="226"/>
      <c r="H159" s="226"/>
      <c r="I159" s="226"/>
      <c r="J159" s="226"/>
      <c r="K159" s="226"/>
      <c r="L159" s="226"/>
      <c r="M159" s="2"/>
      <c r="N159" s="2"/>
      <c r="O159" s="2"/>
      <c r="P159" s="2"/>
      <c r="Q159" s="2"/>
      <c r="R159" s="2"/>
      <c r="S159" s="2"/>
      <c r="T159" s="2"/>
      <c r="U159" s="2"/>
      <c r="V159" s="2"/>
      <c r="W159" s="2"/>
      <c r="X159" s="2"/>
      <c r="Y159" s="2"/>
      <c r="Z159" s="2"/>
      <c r="AA159" s="2"/>
      <c r="AB159" s="2"/>
      <c r="AC159" s="2"/>
      <c r="AD159" s="2"/>
      <c r="AE159" s="2"/>
    </row>
    <row r="160" spans="1:31" ht="12.75" customHeight="1">
      <c r="A160" s="2"/>
      <c r="B160" s="33"/>
      <c r="C160" s="33"/>
      <c r="D160" s="33"/>
      <c r="E160" s="226"/>
      <c r="F160" s="226"/>
      <c r="G160" s="226"/>
      <c r="H160" s="226"/>
      <c r="I160" s="226"/>
      <c r="J160" s="226"/>
      <c r="K160" s="226"/>
      <c r="L160" s="226"/>
      <c r="M160" s="2"/>
      <c r="N160" s="2"/>
      <c r="O160" s="2"/>
      <c r="P160" s="2"/>
      <c r="Q160" s="2"/>
      <c r="R160" s="2"/>
      <c r="S160" s="2"/>
      <c r="T160" s="2"/>
      <c r="U160" s="2"/>
      <c r="V160" s="2"/>
      <c r="W160" s="2"/>
      <c r="X160" s="2"/>
      <c r="Y160" s="2"/>
      <c r="Z160" s="2"/>
      <c r="AA160" s="2"/>
      <c r="AB160" s="2"/>
      <c r="AC160" s="2"/>
      <c r="AD160" s="2"/>
      <c r="AE160" s="2"/>
    </row>
    <row r="161" spans="1:31" ht="12.75" customHeight="1">
      <c r="A161" s="2"/>
      <c r="B161" s="226"/>
      <c r="C161" s="226"/>
      <c r="D161" s="33"/>
      <c r="E161" s="226"/>
      <c r="F161" s="226"/>
      <c r="G161" s="226"/>
      <c r="H161" s="226"/>
      <c r="I161" s="226"/>
      <c r="J161" s="226"/>
      <c r="K161" s="226"/>
      <c r="L161" s="226"/>
      <c r="M161" s="2"/>
      <c r="N161" s="2"/>
      <c r="O161" s="2"/>
      <c r="P161" s="2"/>
      <c r="Q161" s="2"/>
      <c r="R161" s="2"/>
      <c r="S161" s="2"/>
      <c r="T161" s="2"/>
      <c r="U161" s="2"/>
      <c r="V161" s="2"/>
      <c r="W161" s="2"/>
      <c r="X161" s="2"/>
      <c r="Y161" s="2"/>
      <c r="Z161" s="2"/>
      <c r="AA161" s="2"/>
      <c r="AB161" s="2"/>
      <c r="AC161" s="2"/>
      <c r="AD161" s="2"/>
      <c r="AE161" s="2"/>
    </row>
    <row r="162" spans="1:31" ht="12.75" customHeight="1">
      <c r="A162" s="2"/>
      <c r="B162" s="33"/>
      <c r="C162" s="33"/>
      <c r="D162" s="33"/>
      <c r="E162" s="226"/>
      <c r="F162" s="226"/>
      <c r="G162" s="226"/>
      <c r="H162" s="226"/>
      <c r="I162" s="226"/>
      <c r="J162" s="226"/>
      <c r="K162" s="226"/>
      <c r="L162" s="226"/>
      <c r="M162" s="2"/>
      <c r="N162" s="2"/>
      <c r="O162" s="2"/>
      <c r="P162" s="2"/>
      <c r="Q162" s="2"/>
      <c r="R162" s="2"/>
      <c r="S162" s="2"/>
      <c r="T162" s="2"/>
      <c r="U162" s="2"/>
      <c r="V162" s="2"/>
      <c r="W162" s="2"/>
      <c r="X162" s="2"/>
      <c r="Y162" s="2"/>
      <c r="Z162" s="2"/>
      <c r="AA162" s="2"/>
      <c r="AB162" s="2"/>
      <c r="AC162" s="2"/>
      <c r="AD162" s="2"/>
      <c r="AE162" s="2"/>
    </row>
    <row r="163" spans="1:31" ht="12.75" customHeight="1">
      <c r="A163" s="2"/>
      <c r="B163" s="33"/>
      <c r="C163" s="33"/>
      <c r="D163" s="33"/>
      <c r="E163" s="226"/>
      <c r="F163" s="226"/>
      <c r="G163" s="226"/>
      <c r="H163" s="226"/>
      <c r="I163" s="226"/>
      <c r="J163" s="226"/>
      <c r="K163" s="226"/>
      <c r="L163" s="226"/>
      <c r="M163" s="2"/>
      <c r="N163" s="2"/>
      <c r="O163" s="2"/>
      <c r="P163" s="2"/>
      <c r="Q163" s="2"/>
      <c r="R163" s="2"/>
      <c r="S163" s="2"/>
      <c r="T163" s="2"/>
      <c r="U163" s="2"/>
      <c r="V163" s="2"/>
      <c r="W163" s="2"/>
      <c r="X163" s="2"/>
      <c r="Y163" s="2"/>
      <c r="Z163" s="2"/>
      <c r="AA163" s="2"/>
      <c r="AB163" s="2"/>
      <c r="AC163" s="2"/>
      <c r="AD163" s="2"/>
      <c r="AE163" s="2"/>
    </row>
    <row r="164" spans="1:31" ht="12.75" customHeight="1">
      <c r="A164" s="2"/>
      <c r="B164" s="33"/>
      <c r="C164" s="33"/>
      <c r="D164" s="33"/>
      <c r="E164" s="226"/>
      <c r="F164" s="226"/>
      <c r="G164" s="226"/>
      <c r="H164" s="226"/>
      <c r="I164" s="226"/>
      <c r="J164" s="226"/>
      <c r="K164" s="226"/>
      <c r="L164" s="226"/>
      <c r="M164" s="2"/>
      <c r="N164" s="2"/>
      <c r="O164" s="2"/>
      <c r="P164" s="2"/>
      <c r="Q164" s="2"/>
      <c r="R164" s="2"/>
      <c r="S164" s="2"/>
      <c r="T164" s="2"/>
      <c r="U164" s="2"/>
      <c r="V164" s="2"/>
      <c r="W164" s="2"/>
      <c r="X164" s="2"/>
      <c r="Y164" s="2"/>
      <c r="Z164" s="2"/>
      <c r="AA164" s="2"/>
      <c r="AB164" s="2"/>
      <c r="AC164" s="2"/>
      <c r="AD164" s="2"/>
      <c r="AE164" s="2"/>
    </row>
    <row r="165" spans="1:31" ht="12.75" customHeight="1">
      <c r="A165" s="2"/>
      <c r="B165" s="226"/>
      <c r="C165" s="226"/>
      <c r="D165" s="33"/>
      <c r="E165" s="226"/>
      <c r="F165" s="226"/>
      <c r="G165" s="226"/>
      <c r="H165" s="226"/>
      <c r="I165" s="226"/>
      <c r="J165" s="226"/>
      <c r="K165" s="226"/>
      <c r="L165" s="226"/>
      <c r="M165" s="2"/>
      <c r="N165" s="2"/>
      <c r="O165" s="2"/>
      <c r="P165" s="2"/>
      <c r="Q165" s="2"/>
      <c r="R165" s="2"/>
      <c r="S165" s="2"/>
      <c r="T165" s="2"/>
      <c r="U165" s="2"/>
      <c r="V165" s="2"/>
      <c r="W165" s="2"/>
      <c r="X165" s="2"/>
      <c r="Y165" s="2"/>
      <c r="Z165" s="2"/>
      <c r="AA165" s="2"/>
      <c r="AB165" s="2"/>
      <c r="AC165" s="2"/>
      <c r="AD165" s="2"/>
      <c r="AE165" s="2"/>
    </row>
    <row r="166" spans="1:31" ht="12.75" customHeight="1">
      <c r="A166" s="2"/>
      <c r="B166" s="33"/>
      <c r="C166" s="33"/>
      <c r="D166" s="33"/>
      <c r="E166" s="226"/>
      <c r="F166" s="226"/>
      <c r="G166" s="226"/>
      <c r="H166" s="226"/>
      <c r="I166" s="226"/>
      <c r="J166" s="226"/>
      <c r="K166" s="226"/>
      <c r="L166" s="226"/>
      <c r="M166" s="2"/>
      <c r="N166" s="2"/>
      <c r="O166" s="2"/>
      <c r="P166" s="2"/>
      <c r="Q166" s="2"/>
      <c r="R166" s="2"/>
      <c r="S166" s="2"/>
      <c r="T166" s="2"/>
      <c r="U166" s="2"/>
      <c r="V166" s="2"/>
      <c r="W166" s="2"/>
      <c r="X166" s="2"/>
      <c r="Y166" s="2"/>
      <c r="Z166" s="2"/>
      <c r="AA166" s="2"/>
      <c r="AB166" s="2"/>
      <c r="AC166" s="2"/>
      <c r="AD166" s="2"/>
      <c r="AE166" s="2"/>
    </row>
    <row r="167" spans="1:31" ht="12.75" customHeight="1">
      <c r="A167" s="2"/>
      <c r="B167" s="33"/>
      <c r="C167" s="33"/>
      <c r="D167" s="33"/>
      <c r="E167" s="226"/>
      <c r="F167" s="226"/>
      <c r="G167" s="226"/>
      <c r="H167" s="226"/>
      <c r="I167" s="226"/>
      <c r="J167" s="226"/>
      <c r="K167" s="226"/>
      <c r="L167" s="226"/>
      <c r="M167" s="2"/>
      <c r="N167" s="2"/>
      <c r="O167" s="2"/>
      <c r="P167" s="2"/>
      <c r="Q167" s="2"/>
      <c r="R167" s="2"/>
      <c r="S167" s="2"/>
      <c r="T167" s="2"/>
      <c r="U167" s="2"/>
      <c r="V167" s="2"/>
      <c r="W167" s="2"/>
      <c r="X167" s="2"/>
      <c r="Y167" s="2"/>
      <c r="Z167" s="2"/>
      <c r="AA167" s="2"/>
      <c r="AB167" s="2"/>
      <c r="AC167" s="2"/>
      <c r="AD167" s="2"/>
      <c r="AE167" s="2"/>
    </row>
    <row r="168" spans="1:31" ht="12.75" customHeight="1">
      <c r="A168" s="2"/>
      <c r="B168" s="226"/>
      <c r="C168" s="226"/>
      <c r="D168" s="226"/>
      <c r="E168" s="226"/>
      <c r="F168" s="226"/>
      <c r="G168" s="226"/>
      <c r="H168" s="226"/>
      <c r="I168" s="226"/>
      <c r="J168" s="226"/>
      <c r="K168" s="226"/>
      <c r="L168" s="226"/>
      <c r="M168" s="2"/>
      <c r="N168" s="2"/>
      <c r="O168" s="2"/>
      <c r="P168" s="2"/>
      <c r="Q168" s="2"/>
      <c r="R168" s="2"/>
      <c r="S168" s="2"/>
      <c r="T168" s="2"/>
      <c r="U168" s="2"/>
      <c r="V168" s="2"/>
      <c r="W168" s="2"/>
      <c r="X168" s="2"/>
      <c r="Y168" s="2"/>
      <c r="Z168" s="2"/>
      <c r="AA168" s="2"/>
      <c r="AB168" s="2"/>
      <c r="AC168" s="2"/>
      <c r="AD168" s="2"/>
      <c r="AE168" s="2"/>
    </row>
    <row r="169" spans="1:31" ht="12.75" customHeight="1">
      <c r="A169" s="2"/>
      <c r="B169" s="226"/>
      <c r="C169" s="226"/>
      <c r="D169" s="226"/>
      <c r="E169" s="226"/>
      <c r="F169" s="226"/>
      <c r="G169" s="226"/>
      <c r="H169" s="226"/>
      <c r="I169" s="226"/>
      <c r="J169" s="226"/>
      <c r="K169" s="226"/>
      <c r="L169" s="226"/>
      <c r="M169" s="2"/>
      <c r="N169" s="2"/>
      <c r="O169" s="2"/>
      <c r="P169" s="2"/>
      <c r="Q169" s="2"/>
      <c r="R169" s="2"/>
      <c r="S169" s="2"/>
      <c r="T169" s="2"/>
      <c r="U169" s="2"/>
      <c r="V169" s="2"/>
      <c r="W169" s="2"/>
      <c r="X169" s="2"/>
      <c r="Y169" s="2"/>
      <c r="Z169" s="2"/>
      <c r="AA169" s="2"/>
      <c r="AB169" s="2"/>
      <c r="AC169" s="2"/>
      <c r="AD169" s="2"/>
      <c r="AE169" s="2"/>
    </row>
    <row r="170" spans="1:31" ht="12.75" customHeight="1">
      <c r="A170" s="2"/>
      <c r="B170" s="226"/>
      <c r="C170" s="226"/>
      <c r="D170" s="226"/>
      <c r="E170" s="226"/>
      <c r="F170" s="226"/>
      <c r="G170" s="226"/>
      <c r="H170" s="226"/>
      <c r="I170" s="226"/>
      <c r="J170" s="226"/>
      <c r="K170" s="226"/>
      <c r="L170" s="226"/>
      <c r="M170" s="2"/>
      <c r="N170" s="2"/>
      <c r="O170" s="2"/>
      <c r="P170" s="2"/>
      <c r="Q170" s="2"/>
      <c r="R170" s="2"/>
      <c r="S170" s="2"/>
      <c r="T170" s="2"/>
      <c r="U170" s="2"/>
      <c r="V170" s="2"/>
      <c r="W170" s="2"/>
      <c r="X170" s="2"/>
      <c r="Y170" s="2"/>
      <c r="Z170" s="2"/>
      <c r="AA170" s="2"/>
      <c r="AB170" s="2"/>
      <c r="AC170" s="2"/>
      <c r="AD170" s="2"/>
      <c r="AE170" s="2"/>
    </row>
    <row r="171" spans="1:31" ht="12.75" customHeight="1">
      <c r="A171" s="2"/>
      <c r="B171" s="226"/>
      <c r="C171" s="226"/>
      <c r="D171" s="226"/>
      <c r="E171" s="226"/>
      <c r="F171" s="226"/>
      <c r="G171" s="226"/>
      <c r="H171" s="226"/>
      <c r="I171" s="226"/>
      <c r="J171" s="226"/>
      <c r="K171" s="226"/>
      <c r="L171" s="226"/>
      <c r="M171" s="2"/>
      <c r="N171" s="2"/>
      <c r="O171" s="2"/>
      <c r="P171" s="2"/>
      <c r="Q171" s="2"/>
      <c r="R171" s="2"/>
      <c r="S171" s="2"/>
      <c r="T171" s="2"/>
      <c r="U171" s="2"/>
      <c r="V171" s="2"/>
      <c r="W171" s="2"/>
      <c r="X171" s="2"/>
      <c r="Y171" s="2"/>
      <c r="Z171" s="2"/>
      <c r="AA171" s="2"/>
      <c r="AB171" s="2"/>
      <c r="AC171" s="2"/>
      <c r="AD171" s="2"/>
      <c r="AE171" s="2"/>
    </row>
    <row r="172" spans="1:31" ht="12.75" customHeight="1">
      <c r="A172" s="2"/>
      <c r="B172" s="33"/>
      <c r="C172" s="33"/>
      <c r="D172" s="33"/>
      <c r="E172" s="226"/>
      <c r="F172" s="226"/>
      <c r="G172" s="226"/>
      <c r="H172" s="226"/>
      <c r="I172" s="226"/>
      <c r="J172" s="226"/>
      <c r="K172" s="226"/>
      <c r="L172" s="226"/>
      <c r="M172" s="2"/>
      <c r="N172" s="2"/>
      <c r="O172" s="2"/>
      <c r="P172" s="2"/>
      <c r="Q172" s="2"/>
      <c r="R172" s="2"/>
      <c r="S172" s="2"/>
      <c r="T172" s="2"/>
      <c r="U172" s="2"/>
      <c r="V172" s="2"/>
      <c r="W172" s="2"/>
      <c r="X172" s="2"/>
      <c r="Y172" s="2"/>
      <c r="Z172" s="2"/>
      <c r="AA172" s="2"/>
      <c r="AB172" s="2"/>
      <c r="AC172" s="2"/>
      <c r="AD172" s="2"/>
      <c r="AE172" s="2"/>
    </row>
    <row r="173" spans="1:31" ht="12.75" customHeight="1">
      <c r="A173" s="2"/>
      <c r="B173" s="226"/>
      <c r="C173" s="226"/>
      <c r="D173" s="226"/>
      <c r="E173" s="226"/>
      <c r="F173" s="226"/>
      <c r="G173" s="226"/>
      <c r="H173" s="226"/>
      <c r="I173" s="226"/>
      <c r="J173" s="226"/>
      <c r="K173" s="226"/>
      <c r="L173" s="226"/>
      <c r="M173" s="2"/>
      <c r="N173" s="2"/>
      <c r="O173" s="2"/>
      <c r="P173" s="2"/>
      <c r="Q173" s="2"/>
      <c r="R173" s="2"/>
      <c r="S173" s="2"/>
      <c r="T173" s="2"/>
      <c r="U173" s="2"/>
      <c r="V173" s="2"/>
      <c r="W173" s="2"/>
      <c r="X173" s="2"/>
      <c r="Y173" s="2"/>
      <c r="Z173" s="2"/>
      <c r="AA173" s="2"/>
      <c r="AB173" s="2"/>
      <c r="AC173" s="2"/>
      <c r="AD173" s="2"/>
      <c r="AE173" s="2"/>
    </row>
    <row r="174" spans="1:31" ht="12.75" customHeight="1">
      <c r="A174" s="2"/>
      <c r="B174" s="226"/>
      <c r="C174" s="226"/>
      <c r="D174" s="226"/>
      <c r="E174" s="226"/>
      <c r="F174" s="226"/>
      <c r="G174" s="226"/>
      <c r="H174" s="226"/>
      <c r="I174" s="226"/>
      <c r="J174" s="226"/>
      <c r="K174" s="226"/>
      <c r="L174" s="226"/>
      <c r="M174" s="2"/>
      <c r="N174" s="2"/>
      <c r="O174" s="2"/>
      <c r="P174" s="2"/>
      <c r="Q174" s="2"/>
      <c r="R174" s="2"/>
      <c r="S174" s="2"/>
      <c r="T174" s="2"/>
      <c r="U174" s="2"/>
      <c r="V174" s="2"/>
      <c r="W174" s="2"/>
      <c r="X174" s="2"/>
      <c r="Y174" s="2"/>
      <c r="Z174" s="2"/>
      <c r="AA174" s="2"/>
      <c r="AB174" s="2"/>
      <c r="AC174" s="2"/>
      <c r="AD174" s="2"/>
      <c r="AE174" s="2"/>
    </row>
    <row r="175" spans="1:31" ht="12.75" customHeight="1">
      <c r="A175" s="2"/>
      <c r="B175" s="33"/>
      <c r="C175" s="33"/>
      <c r="D175" s="33"/>
      <c r="E175" s="226"/>
      <c r="F175" s="226"/>
      <c r="G175" s="226"/>
      <c r="H175" s="226"/>
      <c r="I175" s="226"/>
      <c r="J175" s="226"/>
      <c r="K175" s="226"/>
      <c r="L175" s="226"/>
      <c r="M175" s="2"/>
      <c r="N175" s="2"/>
      <c r="O175" s="2"/>
      <c r="P175" s="2"/>
      <c r="Q175" s="2"/>
      <c r="R175" s="2"/>
      <c r="S175" s="2"/>
      <c r="T175" s="2"/>
      <c r="U175" s="2"/>
      <c r="V175" s="2"/>
      <c r="W175" s="2"/>
      <c r="X175" s="2"/>
      <c r="Y175" s="2"/>
      <c r="Z175" s="2"/>
      <c r="AA175" s="2"/>
      <c r="AB175" s="2"/>
      <c r="AC175" s="2"/>
      <c r="AD175" s="2"/>
      <c r="AE175" s="2"/>
    </row>
    <row r="176" spans="1:31" ht="12.75" customHeight="1">
      <c r="A176" s="2"/>
      <c r="B176" s="226"/>
      <c r="C176" s="226"/>
      <c r="D176" s="226"/>
      <c r="E176" s="226"/>
      <c r="F176" s="226"/>
      <c r="G176" s="226"/>
      <c r="H176" s="226"/>
      <c r="I176" s="226"/>
      <c r="J176" s="226"/>
      <c r="K176" s="226"/>
      <c r="L176" s="226"/>
      <c r="M176" s="2"/>
      <c r="N176" s="2"/>
      <c r="O176" s="2"/>
      <c r="P176" s="2"/>
      <c r="Q176" s="2"/>
      <c r="R176" s="2"/>
      <c r="S176" s="2"/>
      <c r="T176" s="2"/>
      <c r="U176" s="2"/>
      <c r="V176" s="2"/>
      <c r="W176" s="2"/>
      <c r="X176" s="2"/>
      <c r="Y176" s="2"/>
      <c r="Z176" s="2"/>
      <c r="AA176" s="2"/>
      <c r="AB176" s="2"/>
      <c r="AC176" s="2"/>
      <c r="AD176" s="2"/>
      <c r="AE176" s="2"/>
    </row>
    <row r="177" spans="1:31" ht="12.75" customHeight="1">
      <c r="A177" s="2"/>
      <c r="B177" s="33"/>
      <c r="C177" s="33"/>
      <c r="D177" s="33"/>
      <c r="E177" s="226"/>
      <c r="F177" s="226"/>
      <c r="G177" s="226"/>
      <c r="H177" s="226"/>
      <c r="I177" s="226"/>
      <c r="J177" s="226"/>
      <c r="K177" s="226"/>
      <c r="L177" s="226"/>
      <c r="M177" s="2"/>
      <c r="N177" s="2"/>
      <c r="O177" s="2"/>
      <c r="P177" s="2"/>
      <c r="Q177" s="2"/>
      <c r="R177" s="2"/>
      <c r="S177" s="2"/>
      <c r="T177" s="2"/>
      <c r="U177" s="2"/>
      <c r="V177" s="2"/>
      <c r="W177" s="2"/>
      <c r="X177" s="2"/>
      <c r="Y177" s="2"/>
      <c r="Z177" s="2"/>
      <c r="AA177" s="2"/>
      <c r="AB177" s="2"/>
      <c r="AC177" s="2"/>
      <c r="AD177" s="2"/>
      <c r="AE177" s="2"/>
    </row>
    <row r="178" spans="1:31" ht="12.75" customHeight="1">
      <c r="A178" s="2"/>
      <c r="B178" s="33"/>
      <c r="C178" s="33"/>
      <c r="D178" s="33"/>
      <c r="E178" s="226"/>
      <c r="F178" s="226"/>
      <c r="G178" s="226"/>
      <c r="H178" s="226"/>
      <c r="I178" s="226"/>
      <c r="J178" s="226"/>
      <c r="K178" s="226"/>
      <c r="L178" s="226"/>
      <c r="M178" s="2"/>
      <c r="N178" s="2"/>
      <c r="O178" s="2"/>
      <c r="P178" s="2"/>
      <c r="Q178" s="2"/>
      <c r="R178" s="2"/>
      <c r="S178" s="2"/>
      <c r="T178" s="2"/>
      <c r="U178" s="2"/>
      <c r="V178" s="2"/>
      <c r="W178" s="2"/>
      <c r="X178" s="2"/>
      <c r="Y178" s="2"/>
      <c r="Z178" s="2"/>
      <c r="AA178" s="2"/>
      <c r="AB178" s="2"/>
      <c r="AC178" s="2"/>
      <c r="AD178" s="2"/>
      <c r="AE178" s="2"/>
    </row>
    <row r="179" spans="1:31" ht="12.75" customHeight="1">
      <c r="A179" s="2"/>
      <c r="B179" s="226"/>
      <c r="C179" s="226"/>
      <c r="D179" s="226"/>
      <c r="E179" s="226"/>
      <c r="F179" s="226"/>
      <c r="G179" s="226"/>
      <c r="H179" s="226"/>
      <c r="I179" s="226"/>
      <c r="J179" s="226"/>
      <c r="K179" s="226"/>
      <c r="L179" s="226"/>
      <c r="M179" s="2"/>
      <c r="N179" s="2"/>
      <c r="O179" s="2"/>
      <c r="P179" s="2"/>
      <c r="Q179" s="2"/>
      <c r="R179" s="2"/>
      <c r="S179" s="2"/>
      <c r="T179" s="2"/>
      <c r="U179" s="2"/>
      <c r="V179" s="2"/>
      <c r="W179" s="2"/>
      <c r="X179" s="2"/>
      <c r="Y179" s="2"/>
      <c r="Z179" s="2"/>
      <c r="AA179" s="2"/>
      <c r="AB179" s="2"/>
      <c r="AC179" s="2"/>
      <c r="AD179" s="2"/>
      <c r="AE179" s="2"/>
    </row>
    <row r="180" spans="1:31" ht="12.75" customHeight="1">
      <c r="A180" s="2"/>
      <c r="B180" s="33"/>
      <c r="C180" s="33"/>
      <c r="D180" s="33"/>
      <c r="E180" s="226"/>
      <c r="F180" s="226"/>
      <c r="G180" s="226"/>
      <c r="H180" s="226"/>
      <c r="I180" s="226"/>
      <c r="J180" s="226"/>
      <c r="K180" s="226"/>
      <c r="L180" s="226"/>
      <c r="M180" s="2"/>
      <c r="N180" s="2"/>
      <c r="O180" s="2"/>
      <c r="P180" s="2"/>
      <c r="Q180" s="2"/>
      <c r="R180" s="2"/>
      <c r="S180" s="2"/>
      <c r="T180" s="2"/>
      <c r="U180" s="2"/>
      <c r="V180" s="2"/>
      <c r="W180" s="2"/>
      <c r="X180" s="2"/>
      <c r="Y180" s="2"/>
      <c r="Z180" s="2"/>
      <c r="AA180" s="2"/>
      <c r="AB180" s="2"/>
      <c r="AC180" s="2"/>
      <c r="AD180" s="2"/>
      <c r="AE180" s="2"/>
    </row>
    <row r="181" spans="1:31" ht="12.75" customHeight="1">
      <c r="A181" s="2"/>
      <c r="B181" s="33"/>
      <c r="C181" s="33"/>
      <c r="D181" s="33"/>
      <c r="E181" s="226"/>
      <c r="F181" s="226"/>
      <c r="G181" s="226"/>
      <c r="H181" s="226"/>
      <c r="I181" s="226"/>
      <c r="J181" s="226"/>
      <c r="K181" s="226"/>
      <c r="L181" s="226"/>
      <c r="M181" s="2"/>
      <c r="N181" s="2"/>
      <c r="O181" s="2"/>
      <c r="P181" s="2"/>
      <c r="Q181" s="2"/>
      <c r="R181" s="2"/>
      <c r="S181" s="2"/>
      <c r="T181" s="2"/>
      <c r="U181" s="2"/>
      <c r="V181" s="2"/>
      <c r="W181" s="2"/>
      <c r="X181" s="2"/>
      <c r="Y181" s="2"/>
      <c r="Z181" s="2"/>
      <c r="AA181" s="2"/>
      <c r="AB181" s="2"/>
      <c r="AC181" s="2"/>
      <c r="AD181" s="2"/>
      <c r="AE181" s="2"/>
    </row>
    <row r="182" spans="1:31" ht="12.75" customHeight="1">
      <c r="A182" s="2"/>
      <c r="B182" s="226"/>
      <c r="C182" s="226"/>
      <c r="D182" s="226"/>
      <c r="E182" s="226"/>
      <c r="F182" s="226"/>
      <c r="G182" s="226"/>
      <c r="H182" s="226"/>
      <c r="I182" s="226"/>
      <c r="J182" s="226"/>
      <c r="K182" s="226"/>
      <c r="L182" s="226"/>
      <c r="M182" s="2"/>
      <c r="N182" s="2"/>
      <c r="O182" s="2"/>
      <c r="P182" s="2"/>
      <c r="Q182" s="2"/>
      <c r="R182" s="2"/>
      <c r="S182" s="2"/>
      <c r="T182" s="2"/>
      <c r="U182" s="2"/>
      <c r="V182" s="2"/>
      <c r="W182" s="2"/>
      <c r="X182" s="2"/>
      <c r="Y182" s="2"/>
      <c r="Z182" s="2"/>
      <c r="AA182" s="2"/>
      <c r="AB182" s="2"/>
      <c r="AC182" s="2"/>
      <c r="AD182" s="2"/>
      <c r="AE182" s="2"/>
    </row>
    <row r="183" spans="1:31" ht="12.75" customHeight="1">
      <c r="A183" s="2"/>
      <c r="B183" s="226"/>
      <c r="C183" s="226"/>
      <c r="D183" s="226"/>
      <c r="E183" s="226"/>
      <c r="F183" s="226"/>
      <c r="G183" s="226"/>
      <c r="H183" s="226"/>
      <c r="I183" s="226"/>
      <c r="J183" s="226"/>
      <c r="K183" s="226"/>
      <c r="L183" s="226"/>
      <c r="M183" s="2"/>
      <c r="N183" s="2"/>
      <c r="O183" s="2"/>
      <c r="P183" s="2"/>
      <c r="Q183" s="2"/>
      <c r="R183" s="2"/>
      <c r="S183" s="2"/>
      <c r="T183" s="2"/>
      <c r="U183" s="2"/>
      <c r="V183" s="2"/>
      <c r="W183" s="2"/>
      <c r="X183" s="2"/>
      <c r="Y183" s="2"/>
      <c r="Z183" s="2"/>
      <c r="AA183" s="2"/>
      <c r="AB183" s="2"/>
      <c r="AC183" s="2"/>
      <c r="AD183" s="2"/>
      <c r="AE183" s="2"/>
    </row>
    <row r="184" spans="1:31" ht="12.75" customHeight="1">
      <c r="A184" s="2"/>
      <c r="B184" s="226"/>
      <c r="C184" s="226"/>
      <c r="D184" s="226"/>
      <c r="E184" s="226"/>
      <c r="F184" s="226"/>
      <c r="G184" s="226"/>
      <c r="H184" s="226"/>
      <c r="I184" s="226"/>
      <c r="J184" s="226"/>
      <c r="K184" s="226"/>
      <c r="L184" s="226"/>
      <c r="M184" s="2"/>
      <c r="N184" s="2"/>
      <c r="O184" s="2"/>
      <c r="P184" s="2"/>
      <c r="Q184" s="2"/>
      <c r="R184" s="2"/>
      <c r="S184" s="2"/>
      <c r="T184" s="2"/>
      <c r="U184" s="2"/>
      <c r="V184" s="2"/>
      <c r="W184" s="2"/>
      <c r="X184" s="2"/>
      <c r="Y184" s="2"/>
      <c r="Z184" s="2"/>
      <c r="AA184" s="2"/>
      <c r="AB184" s="2"/>
      <c r="AC184" s="2"/>
      <c r="AD184" s="2"/>
      <c r="AE184" s="2"/>
    </row>
    <row r="185" spans="1:31" ht="12.75" customHeight="1">
      <c r="A185" s="2"/>
      <c r="B185" s="226"/>
      <c r="C185" s="226"/>
      <c r="D185" s="226"/>
      <c r="E185" s="226"/>
      <c r="F185" s="226"/>
      <c r="G185" s="226"/>
      <c r="H185" s="226"/>
      <c r="I185" s="226"/>
      <c r="J185" s="226"/>
      <c r="K185" s="226"/>
      <c r="L185" s="226"/>
      <c r="M185" s="2"/>
      <c r="N185" s="2"/>
      <c r="O185" s="2"/>
      <c r="P185" s="2"/>
      <c r="Q185" s="2"/>
      <c r="R185" s="2"/>
      <c r="S185" s="2"/>
      <c r="T185" s="2"/>
      <c r="U185" s="2"/>
      <c r="V185" s="2"/>
      <c r="W185" s="2"/>
      <c r="X185" s="2"/>
      <c r="Y185" s="2"/>
      <c r="Z185" s="2"/>
      <c r="AA185" s="2"/>
      <c r="AB185" s="2"/>
      <c r="AC185" s="2"/>
      <c r="AD185" s="2"/>
      <c r="AE185" s="2"/>
    </row>
    <row r="186" spans="1:31" ht="12.75" customHeight="1">
      <c r="A186" s="2"/>
      <c r="B186" s="226"/>
      <c r="C186" s="226"/>
      <c r="D186" s="226"/>
      <c r="E186" s="226"/>
      <c r="F186" s="226"/>
      <c r="G186" s="226"/>
      <c r="H186" s="226"/>
      <c r="I186" s="226"/>
      <c r="J186" s="226"/>
      <c r="K186" s="226"/>
      <c r="L186" s="226"/>
      <c r="M186" s="2"/>
      <c r="N186" s="2"/>
      <c r="O186" s="2"/>
      <c r="P186" s="2"/>
      <c r="Q186" s="2"/>
      <c r="R186" s="2"/>
      <c r="S186" s="2"/>
      <c r="T186" s="2"/>
      <c r="U186" s="2"/>
      <c r="V186" s="2"/>
      <c r="W186" s="2"/>
      <c r="X186" s="2"/>
      <c r="Y186" s="2"/>
      <c r="Z186" s="2"/>
      <c r="AA186" s="2"/>
      <c r="AB186" s="2"/>
      <c r="AC186" s="2"/>
      <c r="AD186" s="2"/>
      <c r="AE186" s="2"/>
    </row>
    <row r="187" spans="1:31" ht="12.75" customHeight="1">
      <c r="A187" s="2"/>
      <c r="B187" s="226"/>
      <c r="C187" s="226"/>
      <c r="D187" s="226"/>
      <c r="E187" s="226"/>
      <c r="F187" s="226"/>
      <c r="G187" s="226"/>
      <c r="H187" s="226"/>
      <c r="I187" s="226"/>
      <c r="J187" s="226"/>
      <c r="K187" s="226"/>
      <c r="L187" s="226"/>
      <c r="M187" s="2"/>
      <c r="N187" s="2"/>
      <c r="O187" s="2"/>
      <c r="P187" s="2"/>
      <c r="Q187" s="2"/>
      <c r="R187" s="2"/>
      <c r="S187" s="2"/>
      <c r="T187" s="2"/>
      <c r="U187" s="2"/>
      <c r="V187" s="2"/>
      <c r="W187" s="2"/>
      <c r="X187" s="2"/>
      <c r="Y187" s="2"/>
      <c r="Z187" s="2"/>
      <c r="AA187" s="2"/>
      <c r="AB187" s="2"/>
      <c r="AC187" s="2"/>
      <c r="AD187" s="2"/>
      <c r="AE187" s="2"/>
    </row>
    <row r="188" spans="1:31" ht="12.75" customHeight="1">
      <c r="A188" s="2"/>
      <c r="B188" s="226"/>
      <c r="C188" s="226"/>
      <c r="D188" s="226"/>
      <c r="E188" s="226"/>
      <c r="F188" s="226"/>
      <c r="G188" s="226"/>
      <c r="H188" s="226"/>
      <c r="I188" s="226"/>
      <c r="J188" s="226"/>
      <c r="K188" s="226"/>
      <c r="L188" s="226"/>
      <c r="M188" s="2"/>
      <c r="N188" s="2"/>
      <c r="O188" s="2"/>
      <c r="P188" s="2"/>
      <c r="Q188" s="2"/>
      <c r="R188" s="2"/>
      <c r="S188" s="2"/>
      <c r="T188" s="2"/>
      <c r="U188" s="2"/>
      <c r="V188" s="2"/>
      <c r="W188" s="2"/>
      <c r="X188" s="2"/>
      <c r="Y188" s="2"/>
      <c r="Z188" s="2"/>
      <c r="AA188" s="2"/>
      <c r="AB188" s="2"/>
      <c r="AC188" s="2"/>
      <c r="AD188" s="2"/>
      <c r="AE188" s="2"/>
    </row>
    <row r="189" spans="1:31" ht="12.75" customHeight="1">
      <c r="A189" s="2"/>
      <c r="B189" s="226"/>
      <c r="C189" s="226"/>
      <c r="D189" s="226"/>
      <c r="E189" s="226"/>
      <c r="F189" s="226"/>
      <c r="G189" s="226"/>
      <c r="H189" s="226"/>
      <c r="I189" s="226"/>
      <c r="J189" s="226"/>
      <c r="K189" s="226"/>
      <c r="L189" s="226"/>
      <c r="M189" s="2"/>
      <c r="N189" s="2"/>
      <c r="O189" s="2"/>
      <c r="P189" s="2"/>
      <c r="Q189" s="2"/>
      <c r="R189" s="2"/>
      <c r="S189" s="2"/>
      <c r="T189" s="2"/>
      <c r="U189" s="2"/>
      <c r="V189" s="2"/>
      <c r="W189" s="2"/>
      <c r="X189" s="2"/>
      <c r="Y189" s="2"/>
      <c r="Z189" s="2"/>
      <c r="AA189" s="2"/>
      <c r="AB189" s="2"/>
      <c r="AC189" s="2"/>
      <c r="AD189" s="2"/>
      <c r="AE189" s="2"/>
    </row>
    <row r="190" spans="1:31" ht="12.75" customHeight="1">
      <c r="A190" s="2"/>
      <c r="B190" s="226"/>
      <c r="C190" s="226"/>
      <c r="D190" s="226"/>
      <c r="E190" s="226"/>
      <c r="F190" s="226"/>
      <c r="G190" s="226"/>
      <c r="H190" s="226"/>
      <c r="I190" s="226"/>
      <c r="J190" s="226"/>
      <c r="K190" s="226"/>
      <c r="L190" s="226"/>
      <c r="M190" s="2"/>
      <c r="N190" s="2"/>
      <c r="O190" s="2"/>
      <c r="P190" s="2"/>
      <c r="Q190" s="2"/>
      <c r="R190" s="2"/>
      <c r="S190" s="2"/>
      <c r="T190" s="2"/>
      <c r="U190" s="2"/>
      <c r="V190" s="2"/>
      <c r="W190" s="2"/>
      <c r="X190" s="2"/>
      <c r="Y190" s="2"/>
      <c r="Z190" s="2"/>
      <c r="AA190" s="2"/>
      <c r="AB190" s="2"/>
      <c r="AC190" s="2"/>
      <c r="AD190" s="2"/>
      <c r="AE190" s="2"/>
    </row>
    <row r="191" spans="1:31" ht="12.75" customHeight="1">
      <c r="A191" s="2"/>
      <c r="B191" s="226"/>
      <c r="C191" s="226"/>
      <c r="D191" s="226"/>
      <c r="E191" s="226"/>
      <c r="F191" s="226"/>
      <c r="G191" s="226"/>
      <c r="H191" s="226"/>
      <c r="I191" s="226"/>
      <c r="J191" s="226"/>
      <c r="K191" s="226"/>
      <c r="L191" s="226"/>
      <c r="M191" s="2"/>
      <c r="N191" s="2"/>
      <c r="O191" s="2"/>
      <c r="P191" s="2"/>
      <c r="Q191" s="2"/>
      <c r="R191" s="2"/>
      <c r="S191" s="2"/>
      <c r="T191" s="2"/>
      <c r="U191" s="2"/>
      <c r="V191" s="2"/>
      <c r="W191" s="2"/>
      <c r="X191" s="2"/>
      <c r="Y191" s="2"/>
      <c r="Z191" s="2"/>
      <c r="AA191" s="2"/>
      <c r="AB191" s="2"/>
      <c r="AC191" s="2"/>
      <c r="AD191" s="2"/>
      <c r="AE191" s="2"/>
    </row>
    <row r="192" spans="1:31" ht="12.75" customHeight="1">
      <c r="A192" s="2"/>
      <c r="B192" s="226"/>
      <c r="C192" s="226"/>
      <c r="D192" s="226"/>
      <c r="E192" s="226"/>
      <c r="F192" s="226"/>
      <c r="G192" s="226"/>
      <c r="H192" s="226"/>
      <c r="I192" s="226"/>
      <c r="J192" s="226"/>
      <c r="K192" s="226"/>
      <c r="L192" s="226"/>
      <c r="M192" s="2"/>
      <c r="N192" s="2"/>
      <c r="O192" s="2"/>
      <c r="P192" s="2"/>
      <c r="Q192" s="2"/>
      <c r="R192" s="2"/>
      <c r="S192" s="2"/>
      <c r="T192" s="2"/>
      <c r="U192" s="2"/>
      <c r="V192" s="2"/>
      <c r="W192" s="2"/>
      <c r="X192" s="2"/>
      <c r="Y192" s="2"/>
      <c r="Z192" s="2"/>
      <c r="AA192" s="2"/>
      <c r="AB192" s="2"/>
      <c r="AC192" s="2"/>
      <c r="AD192" s="2"/>
      <c r="AE192" s="2"/>
    </row>
    <row r="193" spans="1:31" ht="12.75" customHeight="1">
      <c r="A193" s="2"/>
      <c r="B193" s="226"/>
      <c r="C193" s="226"/>
      <c r="D193" s="226"/>
      <c r="E193" s="226"/>
      <c r="F193" s="226"/>
      <c r="G193" s="226"/>
      <c r="H193" s="226"/>
      <c r="I193" s="226"/>
      <c r="J193" s="226"/>
      <c r="K193" s="226"/>
      <c r="L193" s="226"/>
      <c r="M193" s="2"/>
      <c r="N193" s="2"/>
      <c r="O193" s="2"/>
      <c r="P193" s="2"/>
      <c r="Q193" s="2"/>
      <c r="R193" s="2"/>
      <c r="S193" s="2"/>
      <c r="T193" s="2"/>
      <c r="U193" s="2"/>
      <c r="V193" s="2"/>
      <c r="W193" s="2"/>
      <c r="X193" s="2"/>
      <c r="Y193" s="2"/>
      <c r="Z193" s="2"/>
      <c r="AA193" s="2"/>
      <c r="AB193" s="2"/>
      <c r="AC193" s="2"/>
      <c r="AD193" s="2"/>
      <c r="AE193" s="2"/>
    </row>
    <row r="194" spans="1:31" ht="12.75" customHeight="1">
      <c r="A194" s="2"/>
      <c r="B194" s="226"/>
      <c r="C194" s="226"/>
      <c r="D194" s="226"/>
      <c r="E194" s="226"/>
      <c r="F194" s="226"/>
      <c r="G194" s="226"/>
      <c r="H194" s="226"/>
      <c r="I194" s="226"/>
      <c r="J194" s="226"/>
      <c r="K194" s="226"/>
      <c r="L194" s="226"/>
      <c r="M194" s="2"/>
      <c r="N194" s="2"/>
      <c r="O194" s="2"/>
      <c r="P194" s="2"/>
      <c r="Q194" s="2"/>
      <c r="R194" s="2"/>
      <c r="S194" s="2"/>
      <c r="T194" s="2"/>
      <c r="U194" s="2"/>
      <c r="V194" s="2"/>
      <c r="W194" s="2"/>
      <c r="X194" s="2"/>
      <c r="Y194" s="2"/>
      <c r="Z194" s="2"/>
      <c r="AA194" s="2"/>
      <c r="AB194" s="2"/>
      <c r="AC194" s="2"/>
      <c r="AD194" s="2"/>
      <c r="AE194" s="2"/>
    </row>
    <row r="195" spans="1:31" ht="12.75" customHeight="1">
      <c r="A195" s="2"/>
      <c r="B195" s="226"/>
      <c r="C195" s="226"/>
      <c r="D195" s="226"/>
      <c r="E195" s="226"/>
      <c r="F195" s="226"/>
      <c r="G195" s="226"/>
      <c r="H195" s="226"/>
      <c r="I195" s="226"/>
      <c r="J195" s="226"/>
      <c r="K195" s="226"/>
      <c r="L195" s="226"/>
      <c r="M195" s="2"/>
      <c r="N195" s="2"/>
      <c r="O195" s="2"/>
      <c r="P195" s="2"/>
      <c r="Q195" s="2"/>
      <c r="R195" s="2"/>
      <c r="S195" s="2"/>
      <c r="T195" s="2"/>
      <c r="U195" s="2"/>
      <c r="V195" s="2"/>
      <c r="W195" s="2"/>
      <c r="X195" s="2"/>
      <c r="Y195" s="2"/>
      <c r="Z195" s="2"/>
      <c r="AA195" s="2"/>
      <c r="AB195" s="2"/>
      <c r="AC195" s="2"/>
      <c r="AD195" s="2"/>
      <c r="AE195" s="2"/>
    </row>
    <row r="196" spans="1:31" ht="12.75" customHeight="1">
      <c r="A196" s="2"/>
      <c r="B196" s="226"/>
      <c r="C196" s="226"/>
      <c r="D196" s="226"/>
      <c r="E196" s="226"/>
      <c r="F196" s="226"/>
      <c r="G196" s="226"/>
      <c r="H196" s="226"/>
      <c r="I196" s="226"/>
      <c r="J196" s="226"/>
      <c r="K196" s="226"/>
      <c r="L196" s="226"/>
      <c r="M196" s="2"/>
      <c r="N196" s="2"/>
      <c r="O196" s="2"/>
      <c r="P196" s="2"/>
      <c r="Q196" s="2"/>
      <c r="R196" s="2"/>
      <c r="S196" s="2"/>
      <c r="T196" s="2"/>
      <c r="U196" s="2"/>
      <c r="V196" s="2"/>
      <c r="W196" s="2"/>
      <c r="X196" s="2"/>
      <c r="Y196" s="2"/>
      <c r="Z196" s="2"/>
      <c r="AA196" s="2"/>
      <c r="AB196" s="2"/>
      <c r="AC196" s="2"/>
      <c r="AD196" s="2"/>
      <c r="AE196" s="2"/>
    </row>
    <row r="197" spans="1:31" ht="12.75" customHeight="1">
      <c r="A197" s="2"/>
      <c r="B197" s="226"/>
      <c r="C197" s="226"/>
      <c r="D197" s="226"/>
      <c r="E197" s="226"/>
      <c r="F197" s="226"/>
      <c r="G197" s="226"/>
      <c r="H197" s="226"/>
      <c r="I197" s="226"/>
      <c r="J197" s="226"/>
      <c r="K197" s="226"/>
      <c r="L197" s="226"/>
      <c r="M197" s="2"/>
      <c r="N197" s="2"/>
      <c r="O197" s="2"/>
      <c r="P197" s="2"/>
      <c r="Q197" s="2"/>
      <c r="R197" s="2"/>
      <c r="S197" s="2"/>
      <c r="T197" s="2"/>
      <c r="U197" s="2"/>
      <c r="V197" s="2"/>
      <c r="W197" s="2"/>
      <c r="X197" s="2"/>
      <c r="Y197" s="2"/>
      <c r="Z197" s="2"/>
      <c r="AA197" s="2"/>
      <c r="AB197" s="2"/>
      <c r="AC197" s="2"/>
      <c r="AD197" s="2"/>
      <c r="AE197" s="2"/>
    </row>
    <row r="198" spans="1:31" ht="12.75" customHeight="1">
      <c r="A198" s="2"/>
      <c r="B198" s="226"/>
      <c r="C198" s="226"/>
      <c r="D198" s="226"/>
      <c r="E198" s="226"/>
      <c r="F198" s="226"/>
      <c r="G198" s="226"/>
      <c r="H198" s="226"/>
      <c r="I198" s="226"/>
      <c r="J198" s="226"/>
      <c r="K198" s="226"/>
      <c r="L198" s="226"/>
      <c r="M198" s="2"/>
      <c r="N198" s="2"/>
      <c r="O198" s="2"/>
      <c r="P198" s="2"/>
      <c r="Q198" s="2"/>
      <c r="R198" s="2"/>
      <c r="S198" s="2"/>
      <c r="T198" s="2"/>
      <c r="U198" s="2"/>
      <c r="V198" s="2"/>
      <c r="W198" s="2"/>
      <c r="X198" s="2"/>
      <c r="Y198" s="2"/>
      <c r="Z198" s="2"/>
      <c r="AA198" s="2"/>
      <c r="AB198" s="2"/>
      <c r="AC198" s="2"/>
      <c r="AD198" s="2"/>
      <c r="AE198" s="2"/>
    </row>
    <row r="199" spans="1:31" ht="12.75" customHeight="1">
      <c r="A199" s="2"/>
      <c r="B199" s="226"/>
      <c r="C199" s="226"/>
      <c r="D199" s="226"/>
      <c r="E199" s="226"/>
      <c r="F199" s="226"/>
      <c r="G199" s="226"/>
      <c r="H199" s="226"/>
      <c r="I199" s="226"/>
      <c r="J199" s="226"/>
      <c r="K199" s="226"/>
      <c r="L199" s="226"/>
      <c r="M199" s="2"/>
      <c r="N199" s="2"/>
      <c r="O199" s="2"/>
      <c r="P199" s="2"/>
      <c r="Q199" s="2"/>
      <c r="R199" s="2"/>
      <c r="S199" s="2"/>
      <c r="T199" s="2"/>
      <c r="U199" s="2"/>
      <c r="V199" s="2"/>
      <c r="W199" s="2"/>
      <c r="X199" s="2"/>
      <c r="Y199" s="2"/>
      <c r="Z199" s="2"/>
      <c r="AA199" s="2"/>
      <c r="AB199" s="2"/>
      <c r="AC199" s="2"/>
      <c r="AD199" s="2"/>
      <c r="AE199" s="2"/>
    </row>
    <row r="200" spans="1:31" ht="12.75" customHeight="1">
      <c r="A200" s="2"/>
      <c r="B200" s="226"/>
      <c r="C200" s="226"/>
      <c r="D200" s="226"/>
      <c r="E200" s="226"/>
      <c r="F200" s="226"/>
      <c r="G200" s="226"/>
      <c r="H200" s="226"/>
      <c r="I200" s="226"/>
      <c r="J200" s="226"/>
      <c r="K200" s="226"/>
      <c r="L200" s="226"/>
      <c r="M200" s="2"/>
      <c r="N200" s="2"/>
      <c r="O200" s="2"/>
      <c r="P200" s="2"/>
      <c r="Q200" s="2"/>
      <c r="R200" s="2"/>
      <c r="S200" s="2"/>
      <c r="T200" s="2"/>
      <c r="U200" s="2"/>
      <c r="V200" s="2"/>
      <c r="W200" s="2"/>
      <c r="X200" s="2"/>
      <c r="Y200" s="2"/>
      <c r="Z200" s="2"/>
      <c r="AA200" s="2"/>
      <c r="AB200" s="2"/>
      <c r="AC200" s="2"/>
      <c r="AD200" s="2"/>
      <c r="AE200" s="2"/>
    </row>
    <row r="201" spans="1:31" ht="12.75" customHeight="1">
      <c r="A201" s="2"/>
      <c r="B201" s="226"/>
      <c r="C201" s="226"/>
      <c r="D201" s="226"/>
      <c r="E201" s="226"/>
      <c r="F201" s="226"/>
      <c r="G201" s="226"/>
      <c r="H201" s="226"/>
      <c r="I201" s="226"/>
      <c r="J201" s="226"/>
      <c r="K201" s="226"/>
      <c r="L201" s="226"/>
      <c r="M201" s="2"/>
      <c r="N201" s="2"/>
      <c r="O201" s="2"/>
      <c r="P201" s="2"/>
      <c r="Q201" s="2"/>
      <c r="R201" s="2"/>
      <c r="S201" s="2"/>
      <c r="T201" s="2"/>
      <c r="U201" s="2"/>
      <c r="V201" s="2"/>
      <c r="W201" s="2"/>
      <c r="X201" s="2"/>
      <c r="Y201" s="2"/>
      <c r="Z201" s="2"/>
      <c r="AA201" s="2"/>
      <c r="AB201" s="2"/>
      <c r="AC201" s="2"/>
      <c r="AD201" s="2"/>
      <c r="AE201" s="2"/>
    </row>
    <row r="202" spans="1:31" ht="12.75" customHeight="1">
      <c r="A202" s="2"/>
      <c r="B202" s="226"/>
      <c r="C202" s="226"/>
      <c r="D202" s="226"/>
      <c r="E202" s="226"/>
      <c r="F202" s="226"/>
      <c r="G202" s="226"/>
      <c r="H202" s="226"/>
      <c r="I202" s="226"/>
      <c r="J202" s="226"/>
      <c r="K202" s="226"/>
      <c r="L202" s="226"/>
      <c r="M202" s="2"/>
      <c r="N202" s="2"/>
      <c r="O202" s="2"/>
      <c r="P202" s="2"/>
      <c r="Q202" s="2"/>
      <c r="R202" s="2"/>
      <c r="S202" s="2"/>
      <c r="T202" s="2"/>
      <c r="U202" s="2"/>
      <c r="V202" s="2"/>
      <c r="W202" s="2"/>
      <c r="X202" s="2"/>
      <c r="Y202" s="2"/>
      <c r="Z202" s="2"/>
      <c r="AA202" s="2"/>
      <c r="AB202" s="2"/>
      <c r="AC202" s="2"/>
      <c r="AD202" s="2"/>
      <c r="AE202" s="2"/>
    </row>
    <row r="203" spans="1:31" ht="12.75" customHeight="1">
      <c r="A203" s="2"/>
      <c r="B203" s="226"/>
      <c r="C203" s="226"/>
      <c r="D203" s="226"/>
      <c r="E203" s="226"/>
      <c r="F203" s="226"/>
      <c r="G203" s="226"/>
      <c r="H203" s="226"/>
      <c r="I203" s="226"/>
      <c r="J203" s="226"/>
      <c r="K203" s="226"/>
      <c r="L203" s="226"/>
      <c r="M203" s="2"/>
      <c r="N203" s="2"/>
      <c r="O203" s="2"/>
      <c r="P203" s="2"/>
      <c r="Q203" s="2"/>
      <c r="R203" s="2"/>
      <c r="S203" s="2"/>
      <c r="T203" s="2"/>
      <c r="U203" s="2"/>
      <c r="V203" s="2"/>
      <c r="W203" s="2"/>
      <c r="X203" s="2"/>
      <c r="Y203" s="2"/>
      <c r="Z203" s="2"/>
      <c r="AA203" s="2"/>
      <c r="AB203" s="2"/>
      <c r="AC203" s="2"/>
      <c r="AD203" s="2"/>
      <c r="AE203" s="2"/>
    </row>
    <row r="204" spans="1:31" ht="12.75" customHeight="1">
      <c r="A204" s="2"/>
      <c r="B204" s="226"/>
      <c r="C204" s="226"/>
      <c r="D204" s="226"/>
      <c r="E204" s="226"/>
      <c r="F204" s="226"/>
      <c r="G204" s="226"/>
      <c r="H204" s="226"/>
      <c r="I204" s="226"/>
      <c r="J204" s="226"/>
      <c r="K204" s="226"/>
      <c r="L204" s="226"/>
      <c r="M204" s="2"/>
      <c r="N204" s="2"/>
      <c r="O204" s="2"/>
      <c r="P204" s="2"/>
      <c r="Q204" s="2"/>
      <c r="R204" s="2"/>
      <c r="S204" s="2"/>
      <c r="T204" s="2"/>
      <c r="U204" s="2"/>
      <c r="V204" s="2"/>
      <c r="W204" s="2"/>
      <c r="X204" s="2"/>
      <c r="Y204" s="2"/>
      <c r="Z204" s="2"/>
      <c r="AA204" s="2"/>
      <c r="AB204" s="2"/>
      <c r="AC204" s="2"/>
      <c r="AD204" s="2"/>
      <c r="AE204" s="2"/>
    </row>
    <row r="205" spans="1:31" ht="12.75" customHeight="1">
      <c r="A205" s="2"/>
      <c r="B205" s="226"/>
      <c r="C205" s="226"/>
      <c r="D205" s="226"/>
      <c r="E205" s="226"/>
      <c r="F205" s="226"/>
      <c r="G205" s="226"/>
      <c r="H205" s="226"/>
      <c r="I205" s="226"/>
      <c r="J205" s="226"/>
      <c r="K205" s="226"/>
      <c r="L205" s="226"/>
      <c r="M205" s="2"/>
      <c r="N205" s="2"/>
      <c r="O205" s="2"/>
      <c r="P205" s="2"/>
      <c r="Q205" s="2"/>
      <c r="R205" s="2"/>
      <c r="S205" s="2"/>
      <c r="T205" s="2"/>
      <c r="U205" s="2"/>
      <c r="V205" s="2"/>
      <c r="W205" s="2"/>
      <c r="X205" s="2"/>
      <c r="Y205" s="2"/>
      <c r="Z205" s="2"/>
      <c r="AA205" s="2"/>
      <c r="AB205" s="2"/>
      <c r="AC205" s="2"/>
      <c r="AD205" s="2"/>
      <c r="AE205" s="2"/>
    </row>
    <row r="206" spans="1:31" ht="12.75" customHeight="1">
      <c r="A206" s="2"/>
      <c r="B206" s="226"/>
      <c r="C206" s="226"/>
      <c r="D206" s="226"/>
      <c r="E206" s="226"/>
      <c r="F206" s="226"/>
      <c r="G206" s="226"/>
      <c r="H206" s="226"/>
      <c r="I206" s="226"/>
      <c r="J206" s="226"/>
      <c r="K206" s="226"/>
      <c r="L206" s="226"/>
      <c r="M206" s="2"/>
      <c r="N206" s="2"/>
      <c r="O206" s="2"/>
      <c r="P206" s="2"/>
      <c r="Q206" s="2"/>
      <c r="R206" s="2"/>
      <c r="S206" s="2"/>
      <c r="T206" s="2"/>
      <c r="U206" s="2"/>
      <c r="V206" s="2"/>
      <c r="W206" s="2"/>
      <c r="X206" s="2"/>
      <c r="Y206" s="2"/>
      <c r="Z206" s="2"/>
      <c r="AA206" s="2"/>
      <c r="AB206" s="2"/>
      <c r="AC206" s="2"/>
      <c r="AD206" s="2"/>
      <c r="AE206" s="2"/>
    </row>
    <row r="207" spans="1:31" ht="12.75" customHeight="1">
      <c r="A207" s="2"/>
      <c r="B207" s="226"/>
      <c r="C207" s="226"/>
      <c r="D207" s="226"/>
      <c r="E207" s="226"/>
      <c r="F207" s="226"/>
      <c r="G207" s="226"/>
      <c r="H207" s="226"/>
      <c r="I207" s="226"/>
      <c r="J207" s="226"/>
      <c r="K207" s="226"/>
      <c r="L207" s="226"/>
      <c r="M207" s="2"/>
      <c r="N207" s="2"/>
      <c r="O207" s="2"/>
      <c r="P207" s="2"/>
      <c r="Q207" s="2"/>
      <c r="R207" s="2"/>
      <c r="S207" s="2"/>
      <c r="T207" s="2"/>
      <c r="U207" s="2"/>
      <c r="V207" s="2"/>
      <c r="W207" s="2"/>
      <c r="X207" s="2"/>
      <c r="Y207" s="2"/>
      <c r="Z207" s="2"/>
      <c r="AA207" s="2"/>
      <c r="AB207" s="2"/>
      <c r="AC207" s="2"/>
      <c r="AD207" s="2"/>
      <c r="AE207" s="2"/>
    </row>
    <row r="208" spans="1:31" ht="12.75" customHeight="1">
      <c r="A208" s="2"/>
      <c r="B208" s="226"/>
      <c r="C208" s="226"/>
      <c r="D208" s="226"/>
      <c r="E208" s="226"/>
      <c r="F208" s="226"/>
      <c r="G208" s="226"/>
      <c r="H208" s="226"/>
      <c r="I208" s="226"/>
      <c r="J208" s="226"/>
      <c r="K208" s="226"/>
      <c r="L208" s="226"/>
      <c r="M208" s="2"/>
      <c r="N208" s="2"/>
      <c r="O208" s="2"/>
      <c r="P208" s="2"/>
      <c r="Q208" s="2"/>
      <c r="R208" s="2"/>
      <c r="S208" s="2"/>
      <c r="T208" s="2"/>
      <c r="U208" s="2"/>
      <c r="V208" s="2"/>
      <c r="W208" s="2"/>
      <c r="X208" s="2"/>
      <c r="Y208" s="2"/>
      <c r="Z208" s="2"/>
      <c r="AA208" s="2"/>
      <c r="AB208" s="2"/>
      <c r="AC208" s="2"/>
      <c r="AD208" s="2"/>
      <c r="AE208" s="2"/>
    </row>
    <row r="209" spans="1:31" ht="12.75" customHeight="1">
      <c r="A209" s="2"/>
      <c r="B209" s="226"/>
      <c r="C209" s="226"/>
      <c r="D209" s="226"/>
      <c r="E209" s="226"/>
      <c r="F209" s="226"/>
      <c r="G209" s="226"/>
      <c r="H209" s="226"/>
      <c r="I209" s="226"/>
      <c r="J209" s="226"/>
      <c r="K209" s="226"/>
      <c r="L209" s="226"/>
      <c r="M209" s="2"/>
      <c r="N209" s="2"/>
      <c r="O209" s="2"/>
      <c r="P209" s="2"/>
      <c r="Q209" s="2"/>
      <c r="R209" s="2"/>
      <c r="S209" s="2"/>
      <c r="T209" s="2"/>
      <c r="U209" s="2"/>
      <c r="V209" s="2"/>
      <c r="W209" s="2"/>
      <c r="X209" s="2"/>
      <c r="Y209" s="2"/>
      <c r="Z209" s="2"/>
      <c r="AA209" s="2"/>
      <c r="AB209" s="2"/>
      <c r="AC209" s="2"/>
      <c r="AD209" s="2"/>
      <c r="AE209" s="2"/>
    </row>
    <row r="210" spans="1:31" ht="12.75" customHeight="1">
      <c r="A210" s="2"/>
      <c r="B210" s="226"/>
      <c r="C210" s="226"/>
      <c r="D210" s="226"/>
      <c r="E210" s="226"/>
      <c r="F210" s="226"/>
      <c r="G210" s="226"/>
      <c r="H210" s="226"/>
      <c r="I210" s="226"/>
      <c r="J210" s="226"/>
      <c r="K210" s="226"/>
      <c r="L210" s="226"/>
      <c r="M210" s="2"/>
      <c r="N210" s="2"/>
      <c r="O210" s="2"/>
      <c r="P210" s="2"/>
      <c r="Q210" s="2"/>
      <c r="R210" s="2"/>
      <c r="S210" s="2"/>
      <c r="T210" s="2"/>
      <c r="U210" s="2"/>
      <c r="V210" s="2"/>
      <c r="W210" s="2"/>
      <c r="X210" s="2"/>
      <c r="Y210" s="2"/>
      <c r="Z210" s="2"/>
      <c r="AA210" s="2"/>
      <c r="AB210" s="2"/>
      <c r="AC210" s="2"/>
      <c r="AD210" s="2"/>
      <c r="AE210" s="2"/>
    </row>
    <row r="211" spans="1:31" ht="12.75" customHeight="1">
      <c r="A211" s="2"/>
      <c r="B211" s="226"/>
      <c r="C211" s="226"/>
      <c r="D211" s="226"/>
      <c r="E211" s="226"/>
      <c r="F211" s="226"/>
      <c r="G211" s="226"/>
      <c r="H211" s="226"/>
      <c r="I211" s="226"/>
      <c r="J211" s="226"/>
      <c r="K211" s="226"/>
      <c r="L211" s="226"/>
      <c r="M211" s="2"/>
      <c r="N211" s="2"/>
      <c r="O211" s="2"/>
      <c r="P211" s="2"/>
      <c r="Q211" s="2"/>
      <c r="R211" s="2"/>
      <c r="S211" s="2"/>
      <c r="T211" s="2"/>
      <c r="U211" s="2"/>
      <c r="V211" s="2"/>
      <c r="W211" s="2"/>
      <c r="X211" s="2"/>
      <c r="Y211" s="2"/>
      <c r="Z211" s="2"/>
      <c r="AA211" s="2"/>
      <c r="AB211" s="2"/>
      <c r="AC211" s="2"/>
      <c r="AD211" s="2"/>
      <c r="AE211" s="2"/>
    </row>
    <row r="212" spans="1:31" ht="12.75" customHeight="1">
      <c r="A212" s="2"/>
      <c r="B212" s="226"/>
      <c r="C212" s="226"/>
      <c r="D212" s="226"/>
      <c r="E212" s="226"/>
      <c r="F212" s="226"/>
      <c r="G212" s="226"/>
      <c r="H212" s="226"/>
      <c r="I212" s="226"/>
      <c r="J212" s="226"/>
      <c r="K212" s="226"/>
      <c r="L212" s="226"/>
      <c r="M212" s="2"/>
      <c r="N212" s="2"/>
      <c r="O212" s="2"/>
      <c r="P212" s="2"/>
      <c r="Q212" s="2"/>
      <c r="R212" s="2"/>
      <c r="S212" s="2"/>
      <c r="T212" s="2"/>
      <c r="U212" s="2"/>
      <c r="V212" s="2"/>
      <c r="W212" s="2"/>
      <c r="X212" s="2"/>
      <c r="Y212" s="2"/>
      <c r="Z212" s="2"/>
      <c r="AA212" s="2"/>
      <c r="AB212" s="2"/>
      <c r="AC212" s="2"/>
      <c r="AD212" s="2"/>
      <c r="AE212" s="2"/>
    </row>
    <row r="213" spans="1:31" ht="12.75" customHeight="1">
      <c r="A213" s="2"/>
      <c r="B213" s="226"/>
      <c r="C213" s="226"/>
      <c r="D213" s="226"/>
      <c r="E213" s="226"/>
      <c r="F213" s="226"/>
      <c r="G213" s="226"/>
      <c r="H213" s="226"/>
      <c r="I213" s="226"/>
      <c r="J213" s="226"/>
      <c r="K213" s="226"/>
      <c r="L213" s="226"/>
      <c r="M213" s="2"/>
      <c r="N213" s="2"/>
      <c r="O213" s="2"/>
      <c r="P213" s="2"/>
      <c r="Q213" s="2"/>
      <c r="R213" s="2"/>
      <c r="S213" s="2"/>
      <c r="T213" s="2"/>
      <c r="U213" s="2"/>
      <c r="V213" s="2"/>
      <c r="W213" s="2"/>
      <c r="X213" s="2"/>
      <c r="Y213" s="2"/>
      <c r="Z213" s="2"/>
      <c r="AA213" s="2"/>
      <c r="AB213" s="2"/>
      <c r="AC213" s="2"/>
      <c r="AD213" s="2"/>
      <c r="AE213" s="2"/>
    </row>
    <row r="214" spans="1:31" ht="12.75" customHeight="1">
      <c r="A214" s="2"/>
      <c r="B214" s="226"/>
      <c r="C214" s="226"/>
      <c r="D214" s="226"/>
      <c r="E214" s="226"/>
      <c r="F214" s="226"/>
      <c r="G214" s="226"/>
      <c r="H214" s="226"/>
      <c r="I214" s="226"/>
      <c r="J214" s="226"/>
      <c r="K214" s="226"/>
      <c r="L214" s="226"/>
      <c r="M214" s="2"/>
      <c r="N214" s="2"/>
      <c r="O214" s="2"/>
      <c r="P214" s="2"/>
      <c r="Q214" s="2"/>
      <c r="R214" s="2"/>
      <c r="S214" s="2"/>
      <c r="T214" s="2"/>
      <c r="U214" s="2"/>
      <c r="V214" s="2"/>
      <c r="W214" s="2"/>
      <c r="X214" s="2"/>
      <c r="Y214" s="2"/>
      <c r="Z214" s="2"/>
      <c r="AA214" s="2"/>
      <c r="AB214" s="2"/>
      <c r="AC214" s="2"/>
      <c r="AD214" s="2"/>
      <c r="AE214" s="2"/>
    </row>
    <row r="215" spans="1:31" ht="12.75" customHeight="1">
      <c r="A215" s="2"/>
      <c r="B215" s="226"/>
      <c r="C215" s="226"/>
      <c r="D215" s="226"/>
      <c r="E215" s="226"/>
      <c r="F215" s="226"/>
      <c r="G215" s="226"/>
      <c r="H215" s="226"/>
      <c r="I215" s="226"/>
      <c r="J215" s="226"/>
      <c r="K215" s="226"/>
      <c r="L215" s="226"/>
      <c r="M215" s="2"/>
      <c r="N215" s="2"/>
      <c r="O215" s="2"/>
      <c r="P215" s="2"/>
      <c r="Q215" s="2"/>
      <c r="R215" s="2"/>
      <c r="S215" s="2"/>
      <c r="T215" s="2"/>
      <c r="U215" s="2"/>
      <c r="V215" s="2"/>
      <c r="W215" s="2"/>
      <c r="X215" s="2"/>
      <c r="Y215" s="2"/>
      <c r="Z215" s="2"/>
      <c r="AA215" s="2"/>
      <c r="AB215" s="2"/>
      <c r="AC215" s="2"/>
      <c r="AD215" s="2"/>
      <c r="AE215" s="2"/>
    </row>
    <row r="216" spans="1:31" ht="12.75" customHeight="1">
      <c r="A216" s="2"/>
      <c r="B216" s="226"/>
      <c r="C216" s="226"/>
      <c r="D216" s="226"/>
      <c r="E216" s="226"/>
      <c r="F216" s="226"/>
      <c r="G216" s="226"/>
      <c r="H216" s="226"/>
      <c r="I216" s="226"/>
      <c r="J216" s="226"/>
      <c r="K216" s="226"/>
      <c r="L216" s="226"/>
      <c r="M216" s="2"/>
      <c r="N216" s="2"/>
      <c r="O216" s="2"/>
      <c r="P216" s="2"/>
      <c r="Q216" s="2"/>
      <c r="R216" s="2"/>
      <c r="S216" s="2"/>
      <c r="T216" s="2"/>
      <c r="U216" s="2"/>
      <c r="V216" s="2"/>
      <c r="W216" s="2"/>
      <c r="X216" s="2"/>
      <c r="Y216" s="2"/>
      <c r="Z216" s="2"/>
      <c r="AA216" s="2"/>
      <c r="AB216" s="2"/>
      <c r="AC216" s="2"/>
      <c r="AD216" s="2"/>
      <c r="AE216" s="2"/>
    </row>
    <row r="217" spans="1:31" ht="12.75" customHeight="1">
      <c r="A217" s="2"/>
      <c r="B217" s="226"/>
      <c r="C217" s="226"/>
      <c r="D217" s="226"/>
      <c r="E217" s="226"/>
      <c r="F217" s="226"/>
      <c r="G217" s="226"/>
      <c r="H217" s="226"/>
      <c r="I217" s="226"/>
      <c r="J217" s="226"/>
      <c r="K217" s="226"/>
      <c r="L217" s="226"/>
      <c r="M217" s="2"/>
      <c r="N217" s="2"/>
      <c r="O217" s="2"/>
      <c r="P217" s="2"/>
      <c r="Q217" s="2"/>
      <c r="R217" s="2"/>
      <c r="S217" s="2"/>
      <c r="T217" s="2"/>
      <c r="U217" s="2"/>
      <c r="V217" s="2"/>
      <c r="W217" s="2"/>
      <c r="X217" s="2"/>
      <c r="Y217" s="2"/>
      <c r="Z217" s="2"/>
      <c r="AA217" s="2"/>
      <c r="AB217" s="2"/>
      <c r="AC217" s="2"/>
      <c r="AD217" s="2"/>
      <c r="AE217" s="2"/>
    </row>
    <row r="218" spans="1:31" ht="12.75" customHeight="1">
      <c r="A218" s="2"/>
      <c r="B218" s="226"/>
      <c r="C218" s="226"/>
      <c r="D218" s="226"/>
      <c r="E218" s="226"/>
      <c r="F218" s="226"/>
      <c r="G218" s="226"/>
      <c r="H218" s="226"/>
      <c r="I218" s="226"/>
      <c r="J218" s="226"/>
      <c r="K218" s="226"/>
      <c r="L218" s="226"/>
      <c r="M218" s="2"/>
      <c r="N218" s="2"/>
      <c r="O218" s="2"/>
      <c r="P218" s="2"/>
      <c r="Q218" s="2"/>
      <c r="R218" s="2"/>
      <c r="S218" s="2"/>
      <c r="T218" s="2"/>
      <c r="U218" s="2"/>
      <c r="V218" s="2"/>
      <c r="W218" s="2"/>
      <c r="X218" s="2"/>
      <c r="Y218" s="2"/>
      <c r="Z218" s="2"/>
      <c r="AA218" s="2"/>
      <c r="AB218" s="2"/>
      <c r="AC218" s="2"/>
      <c r="AD218" s="2"/>
      <c r="AE218" s="2"/>
    </row>
    <row r="219" spans="1:31" ht="12.75" customHeight="1">
      <c r="A219" s="2"/>
      <c r="B219" s="226"/>
      <c r="C219" s="226"/>
      <c r="D219" s="226"/>
      <c r="E219" s="226"/>
      <c r="F219" s="226"/>
      <c r="G219" s="226"/>
      <c r="H219" s="226"/>
      <c r="I219" s="226"/>
      <c r="J219" s="226"/>
      <c r="K219" s="226"/>
      <c r="L219" s="226"/>
      <c r="M219" s="2"/>
      <c r="N219" s="2"/>
      <c r="O219" s="2"/>
      <c r="P219" s="2"/>
      <c r="Q219" s="2"/>
      <c r="R219" s="2"/>
      <c r="S219" s="2"/>
      <c r="T219" s="2"/>
      <c r="U219" s="2"/>
      <c r="V219" s="2"/>
      <c r="W219" s="2"/>
      <c r="X219" s="2"/>
      <c r="Y219" s="2"/>
      <c r="Z219" s="2"/>
      <c r="AA219" s="2"/>
      <c r="AB219" s="2"/>
      <c r="AC219" s="2"/>
      <c r="AD219" s="2"/>
      <c r="AE219" s="2"/>
    </row>
    <row r="220" spans="1:31" ht="12.75" customHeight="1">
      <c r="A220" s="2"/>
      <c r="B220" s="226"/>
      <c r="C220" s="226"/>
      <c r="D220" s="226"/>
      <c r="E220" s="226"/>
      <c r="F220" s="226"/>
      <c r="G220" s="226"/>
      <c r="H220" s="226"/>
      <c r="I220" s="226"/>
      <c r="J220" s="226"/>
      <c r="K220" s="226"/>
      <c r="L220" s="226"/>
      <c r="M220" s="2"/>
      <c r="N220" s="2"/>
      <c r="O220" s="2"/>
      <c r="P220" s="2"/>
      <c r="Q220" s="2"/>
      <c r="R220" s="2"/>
      <c r="S220" s="2"/>
      <c r="T220" s="2"/>
      <c r="U220" s="2"/>
      <c r="V220" s="2"/>
      <c r="W220" s="2"/>
      <c r="X220" s="2"/>
      <c r="Y220" s="2"/>
      <c r="Z220" s="2"/>
      <c r="AA220" s="2"/>
      <c r="AB220" s="2"/>
      <c r="AC220" s="2"/>
      <c r="AD220" s="2"/>
      <c r="AE220" s="2"/>
    </row>
    <row r="221" spans="1:31" ht="12.75" customHeight="1">
      <c r="A221" s="2"/>
      <c r="B221" s="226"/>
      <c r="C221" s="226"/>
      <c r="D221" s="226"/>
      <c r="E221" s="226"/>
      <c r="F221" s="226"/>
      <c r="G221" s="226"/>
      <c r="H221" s="226"/>
      <c r="I221" s="226"/>
      <c r="J221" s="226"/>
      <c r="K221" s="226"/>
      <c r="L221" s="226"/>
      <c r="M221" s="2"/>
      <c r="N221" s="2"/>
      <c r="O221" s="2"/>
      <c r="P221" s="2"/>
      <c r="Q221" s="2"/>
      <c r="R221" s="2"/>
      <c r="S221" s="2"/>
      <c r="T221" s="2"/>
      <c r="U221" s="2"/>
      <c r="V221" s="2"/>
      <c r="W221" s="2"/>
      <c r="X221" s="2"/>
      <c r="Y221" s="2"/>
      <c r="Z221" s="2"/>
      <c r="AA221" s="2"/>
      <c r="AB221" s="2"/>
      <c r="AC221" s="2"/>
      <c r="AD221" s="2"/>
      <c r="AE221" s="2"/>
    </row>
    <row r="222" spans="1:31" ht="12.75" customHeight="1">
      <c r="A222" s="2"/>
      <c r="B222" s="226"/>
      <c r="C222" s="226"/>
      <c r="D222" s="226"/>
      <c r="E222" s="226"/>
      <c r="F222" s="226"/>
      <c r="G222" s="226"/>
      <c r="H222" s="226"/>
      <c r="I222" s="226"/>
      <c r="J222" s="226"/>
      <c r="K222" s="226"/>
      <c r="L222" s="226"/>
      <c r="M222" s="2"/>
      <c r="N222" s="2"/>
      <c r="O222" s="2"/>
      <c r="P222" s="2"/>
      <c r="Q222" s="2"/>
      <c r="R222" s="2"/>
      <c r="S222" s="2"/>
      <c r="T222" s="2"/>
      <c r="U222" s="2"/>
      <c r="V222" s="2"/>
      <c r="W222" s="2"/>
      <c r="X222" s="2"/>
      <c r="Y222" s="2"/>
      <c r="Z222" s="2"/>
      <c r="AA222" s="2"/>
      <c r="AB222" s="2"/>
      <c r="AC222" s="2"/>
      <c r="AD222" s="2"/>
      <c r="AE222" s="2"/>
    </row>
    <row r="223" spans="1:31" ht="12.75" customHeight="1">
      <c r="A223" s="2"/>
      <c r="B223" s="226"/>
      <c r="C223" s="226"/>
      <c r="D223" s="226"/>
      <c r="E223" s="226"/>
      <c r="F223" s="226"/>
      <c r="G223" s="226"/>
      <c r="H223" s="226"/>
      <c r="I223" s="226"/>
      <c r="J223" s="226"/>
      <c r="K223" s="226"/>
      <c r="L223" s="226"/>
      <c r="M223" s="2"/>
      <c r="N223" s="2"/>
      <c r="O223" s="2"/>
      <c r="P223" s="2"/>
      <c r="Q223" s="2"/>
      <c r="R223" s="2"/>
      <c r="S223" s="2"/>
      <c r="T223" s="2"/>
      <c r="U223" s="2"/>
      <c r="V223" s="2"/>
      <c r="W223" s="2"/>
      <c r="X223" s="2"/>
      <c r="Y223" s="2"/>
      <c r="Z223" s="2"/>
      <c r="AA223" s="2"/>
      <c r="AB223" s="2"/>
      <c r="AC223" s="2"/>
      <c r="AD223" s="2"/>
      <c r="AE223" s="2"/>
    </row>
    <row r="224" spans="1:31" ht="12.75" customHeight="1">
      <c r="A224" s="2"/>
      <c r="B224" s="226"/>
      <c r="C224" s="226"/>
      <c r="D224" s="226"/>
      <c r="E224" s="226"/>
      <c r="F224" s="226"/>
      <c r="G224" s="226"/>
      <c r="H224" s="226"/>
      <c r="I224" s="226"/>
      <c r="J224" s="226"/>
      <c r="K224" s="226"/>
      <c r="L224" s="226"/>
      <c r="M224" s="2"/>
      <c r="N224" s="2"/>
      <c r="O224" s="2"/>
      <c r="P224" s="2"/>
      <c r="Q224" s="2"/>
      <c r="R224" s="2"/>
      <c r="S224" s="2"/>
      <c r="T224" s="2"/>
      <c r="U224" s="2"/>
      <c r="V224" s="2"/>
      <c r="W224" s="2"/>
      <c r="X224" s="2"/>
      <c r="Y224" s="2"/>
      <c r="Z224" s="2"/>
      <c r="AA224" s="2"/>
      <c r="AB224" s="2"/>
      <c r="AC224" s="2"/>
      <c r="AD224" s="2"/>
      <c r="AE224" s="2"/>
    </row>
    <row r="225" spans="1:31" ht="12.75" customHeight="1">
      <c r="A225" s="2"/>
      <c r="B225" s="226"/>
      <c r="C225" s="226"/>
      <c r="D225" s="226"/>
      <c r="E225" s="226"/>
      <c r="F225" s="226"/>
      <c r="G225" s="226"/>
      <c r="H225" s="226"/>
      <c r="I225" s="226"/>
      <c r="J225" s="226"/>
      <c r="K225" s="226"/>
      <c r="L225" s="226"/>
      <c r="M225" s="2"/>
      <c r="N225" s="2"/>
      <c r="O225" s="2"/>
      <c r="P225" s="2"/>
      <c r="Q225" s="2"/>
      <c r="R225" s="2"/>
      <c r="S225" s="2"/>
      <c r="T225" s="2"/>
      <c r="U225" s="2"/>
      <c r="V225" s="2"/>
      <c r="W225" s="2"/>
      <c r="X225" s="2"/>
      <c r="Y225" s="2"/>
      <c r="Z225" s="2"/>
      <c r="AA225" s="2"/>
      <c r="AB225" s="2"/>
      <c r="AC225" s="2"/>
      <c r="AD225" s="2"/>
      <c r="AE225" s="2"/>
    </row>
    <row r="226" spans="1:31" ht="12.75" customHeight="1">
      <c r="A226" s="2"/>
      <c r="B226" s="226"/>
      <c r="C226" s="226"/>
      <c r="D226" s="226"/>
      <c r="E226" s="226"/>
      <c r="F226" s="226"/>
      <c r="G226" s="226"/>
      <c r="H226" s="226"/>
      <c r="I226" s="226"/>
      <c r="J226" s="226"/>
      <c r="K226" s="226"/>
      <c r="L226" s="226"/>
      <c r="M226" s="2"/>
      <c r="N226" s="2"/>
      <c r="O226" s="2"/>
      <c r="P226" s="2"/>
      <c r="Q226" s="2"/>
      <c r="R226" s="2"/>
      <c r="S226" s="2"/>
      <c r="T226" s="2"/>
      <c r="U226" s="2"/>
      <c r="V226" s="2"/>
      <c r="W226" s="2"/>
      <c r="X226" s="2"/>
      <c r="Y226" s="2"/>
      <c r="Z226" s="2"/>
      <c r="AA226" s="2"/>
      <c r="AB226" s="2"/>
      <c r="AC226" s="2"/>
      <c r="AD226" s="2"/>
      <c r="AE226" s="2"/>
    </row>
    <row r="227" spans="1:31" ht="12.75" customHeight="1">
      <c r="A227" s="2"/>
      <c r="B227" s="226"/>
      <c r="C227" s="226"/>
      <c r="D227" s="226"/>
      <c r="E227" s="226"/>
      <c r="F227" s="226"/>
      <c r="G227" s="226"/>
      <c r="H227" s="226"/>
      <c r="I227" s="226"/>
      <c r="J227" s="226"/>
      <c r="K227" s="226"/>
      <c r="L227" s="226"/>
      <c r="M227" s="2"/>
      <c r="N227" s="2"/>
      <c r="O227" s="2"/>
      <c r="P227" s="2"/>
      <c r="Q227" s="2"/>
      <c r="R227" s="2"/>
      <c r="S227" s="2"/>
      <c r="T227" s="2"/>
      <c r="U227" s="2"/>
      <c r="V227" s="2"/>
      <c r="W227" s="2"/>
      <c r="X227" s="2"/>
      <c r="Y227" s="2"/>
      <c r="Z227" s="2"/>
      <c r="AA227" s="2"/>
      <c r="AB227" s="2"/>
      <c r="AC227" s="2"/>
      <c r="AD227" s="2"/>
      <c r="AE227" s="2"/>
    </row>
    <row r="228" spans="1:31" ht="12.75" customHeight="1">
      <c r="A228" s="2"/>
      <c r="B228" s="226"/>
      <c r="C228" s="226"/>
      <c r="D228" s="226"/>
      <c r="E228" s="226"/>
      <c r="F228" s="226"/>
      <c r="G228" s="226"/>
      <c r="H228" s="226"/>
      <c r="I228" s="226"/>
      <c r="J228" s="226"/>
      <c r="K228" s="226"/>
      <c r="L228" s="226"/>
      <c r="M228" s="2"/>
      <c r="N228" s="2"/>
      <c r="O228" s="2"/>
      <c r="P228" s="2"/>
      <c r="Q228" s="2"/>
      <c r="R228" s="2"/>
      <c r="S228" s="2"/>
      <c r="T228" s="2"/>
      <c r="U228" s="2"/>
      <c r="V228" s="2"/>
      <c r="W228" s="2"/>
      <c r="X228" s="2"/>
      <c r="Y228" s="2"/>
      <c r="Z228" s="2"/>
      <c r="AA228" s="2"/>
      <c r="AB228" s="2"/>
      <c r="AC228" s="2"/>
      <c r="AD228" s="2"/>
      <c r="AE228" s="2"/>
    </row>
    <row r="229" spans="1:31" ht="12.75" customHeight="1">
      <c r="A229" s="2"/>
      <c r="B229" s="226"/>
      <c r="C229" s="226"/>
      <c r="D229" s="226"/>
      <c r="E229" s="226"/>
      <c r="F229" s="226"/>
      <c r="G229" s="226"/>
      <c r="H229" s="226"/>
      <c r="I229" s="226"/>
      <c r="J229" s="226"/>
      <c r="K229" s="226"/>
      <c r="L229" s="226"/>
      <c r="M229" s="2"/>
      <c r="N229" s="2"/>
      <c r="O229" s="2"/>
      <c r="P229" s="2"/>
      <c r="Q229" s="2"/>
      <c r="R229" s="2"/>
      <c r="S229" s="2"/>
      <c r="T229" s="2"/>
      <c r="U229" s="2"/>
      <c r="V229" s="2"/>
      <c r="W229" s="2"/>
      <c r="X229" s="2"/>
      <c r="Y229" s="2"/>
      <c r="Z229" s="2"/>
      <c r="AA229" s="2"/>
      <c r="AB229" s="2"/>
      <c r="AC229" s="2"/>
      <c r="AD229" s="2"/>
      <c r="AE229" s="2"/>
    </row>
    <row r="230" spans="1:31" ht="12.75" customHeight="1">
      <c r="A230" s="2"/>
      <c r="B230" s="226"/>
      <c r="C230" s="226"/>
      <c r="D230" s="226"/>
      <c r="E230" s="226"/>
      <c r="F230" s="226"/>
      <c r="G230" s="226"/>
      <c r="H230" s="226"/>
      <c r="I230" s="226"/>
      <c r="J230" s="226"/>
      <c r="K230" s="226"/>
      <c r="L230" s="226"/>
      <c r="M230" s="2"/>
      <c r="N230" s="2"/>
      <c r="O230" s="2"/>
      <c r="P230" s="2"/>
      <c r="Q230" s="2"/>
      <c r="R230" s="2"/>
      <c r="S230" s="2"/>
      <c r="T230" s="2"/>
      <c r="U230" s="2"/>
      <c r="V230" s="2"/>
      <c r="W230" s="2"/>
      <c r="X230" s="2"/>
      <c r="Y230" s="2"/>
      <c r="Z230" s="2"/>
      <c r="AA230" s="2"/>
      <c r="AB230" s="2"/>
      <c r="AC230" s="2"/>
      <c r="AD230" s="2"/>
      <c r="AE230" s="2"/>
    </row>
    <row r="231" spans="1:31" ht="12.75" customHeight="1">
      <c r="A231" s="2"/>
      <c r="B231" s="226"/>
      <c r="C231" s="226"/>
      <c r="D231" s="226"/>
      <c r="E231" s="226"/>
      <c r="F231" s="226"/>
      <c r="G231" s="226"/>
      <c r="H231" s="226"/>
      <c r="I231" s="226"/>
      <c r="J231" s="226"/>
      <c r="K231" s="226"/>
      <c r="L231" s="226"/>
      <c r="M231" s="2"/>
      <c r="N231" s="2"/>
      <c r="O231" s="2"/>
      <c r="P231" s="2"/>
      <c r="Q231" s="2"/>
      <c r="R231" s="2"/>
      <c r="S231" s="2"/>
      <c r="T231" s="2"/>
      <c r="U231" s="2"/>
      <c r="V231" s="2"/>
      <c r="W231" s="2"/>
      <c r="X231" s="2"/>
      <c r="Y231" s="2"/>
      <c r="Z231" s="2"/>
      <c r="AA231" s="2"/>
      <c r="AB231" s="2"/>
      <c r="AC231" s="2"/>
      <c r="AD231" s="2"/>
      <c r="AE231" s="2"/>
    </row>
    <row r="232" spans="1:31" ht="12.75" customHeight="1">
      <c r="A232" s="2"/>
      <c r="B232" s="226"/>
      <c r="C232" s="226"/>
      <c r="D232" s="226"/>
      <c r="E232" s="226"/>
      <c r="F232" s="226"/>
      <c r="G232" s="226"/>
      <c r="H232" s="226"/>
      <c r="I232" s="226"/>
      <c r="J232" s="226"/>
      <c r="K232" s="226"/>
      <c r="L232" s="226"/>
      <c r="M232" s="2"/>
      <c r="N232" s="2"/>
      <c r="O232" s="2"/>
      <c r="P232" s="2"/>
      <c r="Q232" s="2"/>
      <c r="R232" s="2"/>
      <c r="S232" s="2"/>
      <c r="T232" s="2"/>
      <c r="U232" s="2"/>
      <c r="V232" s="2"/>
      <c r="W232" s="2"/>
      <c r="X232" s="2"/>
      <c r="Y232" s="2"/>
      <c r="Z232" s="2"/>
      <c r="AA232" s="2"/>
      <c r="AB232" s="2"/>
      <c r="AC232" s="2"/>
      <c r="AD232" s="2"/>
      <c r="AE232" s="2"/>
    </row>
    <row r="233" spans="1:31" ht="12.75" customHeight="1">
      <c r="A233" s="2"/>
      <c r="B233" s="226"/>
      <c r="C233" s="226"/>
      <c r="D233" s="226"/>
      <c r="E233" s="226"/>
      <c r="F233" s="226"/>
      <c r="G233" s="226"/>
      <c r="H233" s="226"/>
      <c r="I233" s="226"/>
      <c r="J233" s="226"/>
      <c r="K233" s="226"/>
      <c r="L233" s="226"/>
      <c r="M233" s="2"/>
      <c r="N233" s="2"/>
      <c r="O233" s="2"/>
      <c r="P233" s="2"/>
      <c r="Q233" s="2"/>
      <c r="R233" s="2"/>
      <c r="S233" s="2"/>
      <c r="T233" s="2"/>
      <c r="U233" s="2"/>
      <c r="V233" s="2"/>
      <c r="W233" s="2"/>
      <c r="X233" s="2"/>
      <c r="Y233" s="2"/>
      <c r="Z233" s="2"/>
      <c r="AA233" s="2"/>
      <c r="AB233" s="2"/>
      <c r="AC233" s="2"/>
      <c r="AD233" s="2"/>
      <c r="AE233" s="2"/>
    </row>
    <row r="234" spans="1:31" ht="12.75" customHeight="1">
      <c r="A234" s="2"/>
      <c r="B234" s="226"/>
      <c r="C234" s="226"/>
      <c r="D234" s="226"/>
      <c r="E234" s="226"/>
      <c r="F234" s="226"/>
      <c r="G234" s="226"/>
      <c r="H234" s="226"/>
      <c r="I234" s="226"/>
      <c r="J234" s="226"/>
      <c r="K234" s="226"/>
      <c r="L234" s="226"/>
      <c r="M234" s="2"/>
      <c r="N234" s="2"/>
      <c r="O234" s="2"/>
      <c r="P234" s="2"/>
      <c r="Q234" s="2"/>
      <c r="R234" s="2"/>
      <c r="S234" s="2"/>
      <c r="T234" s="2"/>
      <c r="U234" s="2"/>
      <c r="V234" s="2"/>
      <c r="W234" s="2"/>
      <c r="X234" s="2"/>
      <c r="Y234" s="2"/>
      <c r="Z234" s="2"/>
      <c r="AA234" s="2"/>
      <c r="AB234" s="2"/>
      <c r="AC234" s="2"/>
      <c r="AD234" s="2"/>
      <c r="AE234" s="2"/>
    </row>
    <row r="235" spans="1:31" ht="12.75" customHeight="1">
      <c r="A235" s="2"/>
      <c r="B235" s="226"/>
      <c r="C235" s="226"/>
      <c r="D235" s="226"/>
      <c r="E235" s="226"/>
      <c r="F235" s="226"/>
      <c r="G235" s="226"/>
      <c r="H235" s="226"/>
      <c r="I235" s="226"/>
      <c r="J235" s="226"/>
      <c r="K235" s="226"/>
      <c r="L235" s="226"/>
      <c r="M235" s="2"/>
      <c r="N235" s="2"/>
      <c r="O235" s="2"/>
      <c r="P235" s="2"/>
      <c r="Q235" s="2"/>
      <c r="R235" s="2"/>
      <c r="S235" s="2"/>
      <c r="T235" s="2"/>
      <c r="U235" s="2"/>
      <c r="V235" s="2"/>
      <c r="W235" s="2"/>
      <c r="X235" s="2"/>
      <c r="Y235" s="2"/>
      <c r="Z235" s="2"/>
      <c r="AA235" s="2"/>
      <c r="AB235" s="2"/>
      <c r="AC235" s="2"/>
      <c r="AD235" s="2"/>
      <c r="AE235" s="2"/>
    </row>
    <row r="236" spans="1:31" ht="12.75" customHeight="1">
      <c r="A236" s="2"/>
      <c r="B236" s="226"/>
      <c r="C236" s="226"/>
      <c r="D236" s="226"/>
      <c r="E236" s="226"/>
      <c r="F236" s="226"/>
      <c r="G236" s="226"/>
      <c r="H236" s="226"/>
      <c r="I236" s="226"/>
      <c r="J236" s="226"/>
      <c r="K236" s="226"/>
      <c r="L236" s="226"/>
      <c r="M236" s="2"/>
      <c r="N236" s="2"/>
      <c r="O236" s="2"/>
      <c r="P236" s="2"/>
      <c r="Q236" s="2"/>
      <c r="R236" s="2"/>
      <c r="S236" s="2"/>
      <c r="T236" s="2"/>
      <c r="U236" s="2"/>
      <c r="V236" s="2"/>
      <c r="W236" s="2"/>
      <c r="X236" s="2"/>
      <c r="Y236" s="2"/>
      <c r="Z236" s="2"/>
      <c r="AA236" s="2"/>
      <c r="AB236" s="2"/>
      <c r="AC236" s="2"/>
      <c r="AD236" s="2"/>
      <c r="AE236" s="2"/>
    </row>
    <row r="237" spans="1:31" ht="12.75" customHeight="1">
      <c r="A237" s="2"/>
      <c r="B237" s="226"/>
      <c r="C237" s="226"/>
      <c r="D237" s="226"/>
      <c r="E237" s="226"/>
      <c r="F237" s="226"/>
      <c r="G237" s="226"/>
      <c r="H237" s="226"/>
      <c r="I237" s="226"/>
      <c r="J237" s="226"/>
      <c r="K237" s="226"/>
      <c r="L237" s="226"/>
      <c r="M237" s="2"/>
      <c r="N237" s="2"/>
      <c r="O237" s="2"/>
      <c r="P237" s="2"/>
      <c r="Q237" s="2"/>
      <c r="R237" s="2"/>
      <c r="S237" s="2"/>
      <c r="T237" s="2"/>
      <c r="U237" s="2"/>
      <c r="V237" s="2"/>
      <c r="W237" s="2"/>
      <c r="X237" s="2"/>
      <c r="Y237" s="2"/>
      <c r="Z237" s="2"/>
      <c r="AA237" s="2"/>
      <c r="AB237" s="2"/>
      <c r="AC237" s="2"/>
      <c r="AD237" s="2"/>
      <c r="AE237" s="2"/>
    </row>
    <row r="238" spans="1:31" ht="12.75" customHeight="1">
      <c r="A238" s="2"/>
      <c r="B238" s="226"/>
      <c r="C238" s="226"/>
      <c r="D238" s="226"/>
      <c r="E238" s="226"/>
      <c r="F238" s="226"/>
      <c r="G238" s="226"/>
      <c r="H238" s="226"/>
      <c r="I238" s="226"/>
      <c r="J238" s="226"/>
      <c r="K238" s="226"/>
      <c r="L238" s="226"/>
      <c r="M238" s="2"/>
      <c r="N238" s="2"/>
      <c r="O238" s="2"/>
      <c r="P238" s="2"/>
      <c r="Q238" s="2"/>
      <c r="R238" s="2"/>
      <c r="S238" s="2"/>
      <c r="T238" s="2"/>
      <c r="U238" s="2"/>
      <c r="V238" s="2"/>
      <c r="W238" s="2"/>
      <c r="X238" s="2"/>
      <c r="Y238" s="2"/>
      <c r="Z238" s="2"/>
      <c r="AA238" s="2"/>
      <c r="AB238" s="2"/>
      <c r="AC238" s="2"/>
      <c r="AD238" s="2"/>
      <c r="AE238" s="2"/>
    </row>
    <row r="239" spans="1:31" ht="12.75" customHeight="1">
      <c r="A239" s="2"/>
      <c r="B239" s="226"/>
      <c r="C239" s="226"/>
      <c r="D239" s="226"/>
      <c r="E239" s="226"/>
      <c r="F239" s="226"/>
      <c r="G239" s="226"/>
      <c r="H239" s="226"/>
      <c r="I239" s="226"/>
      <c r="J239" s="226"/>
      <c r="K239" s="226"/>
      <c r="L239" s="226"/>
      <c r="M239" s="2"/>
      <c r="N239" s="2"/>
      <c r="O239" s="2"/>
      <c r="P239" s="2"/>
      <c r="Q239" s="2"/>
      <c r="R239" s="2"/>
      <c r="S239" s="2"/>
      <c r="T239" s="2"/>
      <c r="U239" s="2"/>
      <c r="V239" s="2"/>
      <c r="W239" s="2"/>
      <c r="X239" s="2"/>
      <c r="Y239" s="2"/>
      <c r="Z239" s="2"/>
      <c r="AA239" s="2"/>
      <c r="AB239" s="2"/>
      <c r="AC239" s="2"/>
      <c r="AD239" s="2"/>
      <c r="AE239" s="2"/>
    </row>
    <row r="240" spans="1:31" ht="12.75" customHeight="1">
      <c r="A240" s="2"/>
      <c r="B240" s="226"/>
      <c r="C240" s="226"/>
      <c r="D240" s="226"/>
      <c r="E240" s="226"/>
      <c r="F240" s="226"/>
      <c r="G240" s="226"/>
      <c r="H240" s="226"/>
      <c r="I240" s="226"/>
      <c r="J240" s="226"/>
      <c r="K240" s="226"/>
      <c r="L240" s="226"/>
      <c r="M240" s="2"/>
      <c r="N240" s="2"/>
      <c r="O240" s="2"/>
      <c r="P240" s="2"/>
      <c r="Q240" s="2"/>
      <c r="R240" s="2"/>
      <c r="S240" s="2"/>
      <c r="T240" s="2"/>
      <c r="U240" s="2"/>
      <c r="V240" s="2"/>
      <c r="W240" s="2"/>
      <c r="X240" s="2"/>
      <c r="Y240" s="2"/>
      <c r="Z240" s="2"/>
      <c r="AA240" s="2"/>
      <c r="AB240" s="2"/>
      <c r="AC240" s="2"/>
      <c r="AD240" s="2"/>
      <c r="AE240" s="2"/>
    </row>
    <row r="241" spans="1:31" ht="12.75" customHeight="1">
      <c r="A241" s="2"/>
      <c r="B241" s="226"/>
      <c r="C241" s="226"/>
      <c r="D241" s="226"/>
      <c r="E241" s="226"/>
      <c r="F241" s="226"/>
      <c r="G241" s="226"/>
      <c r="H241" s="226"/>
      <c r="I241" s="226"/>
      <c r="J241" s="226"/>
      <c r="K241" s="226"/>
      <c r="L241" s="226"/>
      <c r="M241" s="2"/>
      <c r="N241" s="2"/>
      <c r="O241" s="2"/>
      <c r="P241" s="2"/>
      <c r="Q241" s="2"/>
      <c r="R241" s="2"/>
      <c r="S241" s="2"/>
      <c r="T241" s="2"/>
      <c r="U241" s="2"/>
      <c r="V241" s="2"/>
      <c r="W241" s="2"/>
      <c r="X241" s="2"/>
      <c r="Y241" s="2"/>
      <c r="Z241" s="2"/>
      <c r="AA241" s="2"/>
      <c r="AB241" s="2"/>
      <c r="AC241" s="2"/>
      <c r="AD241" s="2"/>
      <c r="AE241" s="2"/>
    </row>
    <row r="242" spans="1:31" ht="12.75" customHeight="1">
      <c r="A242" s="2"/>
      <c r="B242" s="226"/>
      <c r="C242" s="226"/>
      <c r="D242" s="226"/>
      <c r="E242" s="226"/>
      <c r="F242" s="226"/>
      <c r="G242" s="226"/>
      <c r="H242" s="226"/>
      <c r="I242" s="226"/>
      <c r="J242" s="226"/>
      <c r="K242" s="226"/>
      <c r="L242" s="226"/>
      <c r="M242" s="2"/>
      <c r="N242" s="2"/>
      <c r="O242" s="2"/>
      <c r="P242" s="2"/>
      <c r="Q242" s="2"/>
      <c r="R242" s="2"/>
      <c r="S242" s="2"/>
      <c r="T242" s="2"/>
      <c r="U242" s="2"/>
      <c r="V242" s="2"/>
      <c r="W242" s="2"/>
      <c r="X242" s="2"/>
      <c r="Y242" s="2"/>
      <c r="Z242" s="2"/>
      <c r="AA242" s="2"/>
      <c r="AB242" s="2"/>
      <c r="AC242" s="2"/>
      <c r="AD242" s="2"/>
      <c r="AE242" s="2"/>
    </row>
    <row r="243" spans="1:31" ht="12.75" customHeight="1">
      <c r="A243" s="2"/>
      <c r="B243" s="226"/>
      <c r="C243" s="226"/>
      <c r="D243" s="226"/>
      <c r="E243" s="226"/>
      <c r="F243" s="226"/>
      <c r="G243" s="226"/>
      <c r="H243" s="226"/>
      <c r="I243" s="226"/>
      <c r="J243" s="226"/>
      <c r="K243" s="226"/>
      <c r="L243" s="226"/>
      <c r="M243" s="2"/>
      <c r="N243" s="2"/>
      <c r="O243" s="2"/>
      <c r="P243" s="2"/>
      <c r="Q243" s="2"/>
      <c r="R243" s="2"/>
      <c r="S243" s="2"/>
      <c r="T243" s="2"/>
      <c r="U243" s="2"/>
      <c r="V243" s="2"/>
      <c r="W243" s="2"/>
      <c r="X243" s="2"/>
      <c r="Y243" s="2"/>
      <c r="Z243" s="2"/>
      <c r="AA243" s="2"/>
      <c r="AB243" s="2"/>
      <c r="AC243" s="2"/>
      <c r="AD243" s="2"/>
      <c r="AE243" s="2"/>
    </row>
    <row r="244" spans="1:31" ht="12.75" customHeight="1">
      <c r="A244" s="2"/>
      <c r="B244" s="226"/>
      <c r="C244" s="226"/>
      <c r="D244" s="226"/>
      <c r="E244" s="226"/>
      <c r="F244" s="226"/>
      <c r="G244" s="226"/>
      <c r="H244" s="226"/>
      <c r="I244" s="226"/>
      <c r="J244" s="226"/>
      <c r="K244" s="226"/>
      <c r="L244" s="226"/>
      <c r="M244" s="2"/>
      <c r="N244" s="2"/>
      <c r="O244" s="2"/>
      <c r="P244" s="2"/>
      <c r="Q244" s="2"/>
      <c r="R244" s="2"/>
      <c r="S244" s="2"/>
      <c r="T244" s="2"/>
      <c r="U244" s="2"/>
      <c r="V244" s="2"/>
      <c r="W244" s="2"/>
      <c r="X244" s="2"/>
      <c r="Y244" s="2"/>
      <c r="Z244" s="2"/>
      <c r="AA244" s="2"/>
      <c r="AB244" s="2"/>
      <c r="AC244" s="2"/>
      <c r="AD244" s="2"/>
      <c r="AE244" s="2"/>
    </row>
    <row r="245" spans="1:31" ht="12.75" customHeight="1">
      <c r="A245" s="2"/>
      <c r="B245" s="226"/>
      <c r="C245" s="226"/>
      <c r="D245" s="226"/>
      <c r="E245" s="226"/>
      <c r="F245" s="226"/>
      <c r="G245" s="226"/>
      <c r="H245" s="226"/>
      <c r="I245" s="226"/>
      <c r="J245" s="226"/>
      <c r="K245" s="226"/>
      <c r="L245" s="226"/>
      <c r="M245" s="2"/>
      <c r="N245" s="2"/>
      <c r="O245" s="2"/>
      <c r="P245" s="2"/>
      <c r="Q245" s="2"/>
      <c r="R245" s="2"/>
      <c r="S245" s="2"/>
      <c r="T245" s="2"/>
      <c r="U245" s="2"/>
      <c r="V245" s="2"/>
      <c r="W245" s="2"/>
      <c r="X245" s="2"/>
      <c r="Y245" s="2"/>
      <c r="Z245" s="2"/>
      <c r="AA245" s="2"/>
      <c r="AB245" s="2"/>
      <c r="AC245" s="2"/>
      <c r="AD245" s="2"/>
      <c r="AE245" s="2"/>
    </row>
    <row r="246" spans="1:31" ht="12.75" customHeight="1">
      <c r="A246" s="2"/>
      <c r="B246" s="226"/>
      <c r="C246" s="226"/>
      <c r="D246" s="226"/>
      <c r="E246" s="226"/>
      <c r="F246" s="226"/>
      <c r="G246" s="226"/>
      <c r="H246" s="226"/>
      <c r="I246" s="226"/>
      <c r="J246" s="226"/>
      <c r="K246" s="226"/>
      <c r="L246" s="226"/>
      <c r="M246" s="2"/>
      <c r="N246" s="2"/>
      <c r="O246" s="2"/>
      <c r="P246" s="2"/>
      <c r="Q246" s="2"/>
      <c r="R246" s="2"/>
      <c r="S246" s="2"/>
      <c r="T246" s="2"/>
      <c r="U246" s="2"/>
      <c r="V246" s="2"/>
      <c r="W246" s="2"/>
      <c r="X246" s="2"/>
      <c r="Y246" s="2"/>
      <c r="Z246" s="2"/>
      <c r="AA246" s="2"/>
      <c r="AB246" s="2"/>
      <c r="AC246" s="2"/>
      <c r="AD246" s="2"/>
      <c r="AE246" s="2"/>
    </row>
    <row r="247" spans="1:31" ht="12.75" customHeight="1">
      <c r="A247" s="2"/>
      <c r="B247" s="226"/>
      <c r="C247" s="226"/>
      <c r="D247" s="226"/>
      <c r="E247" s="226"/>
      <c r="F247" s="226"/>
      <c r="G247" s="226"/>
      <c r="H247" s="226"/>
      <c r="I247" s="226"/>
      <c r="J247" s="226"/>
      <c r="K247" s="226"/>
      <c r="L247" s="226"/>
      <c r="M247" s="2"/>
      <c r="N247" s="2"/>
      <c r="O247" s="2"/>
      <c r="P247" s="2"/>
      <c r="Q247" s="2"/>
      <c r="R247" s="2"/>
      <c r="S247" s="2"/>
      <c r="T247" s="2"/>
      <c r="U247" s="2"/>
      <c r="V247" s="2"/>
      <c r="W247" s="2"/>
      <c r="X247" s="2"/>
      <c r="Y247" s="2"/>
      <c r="Z247" s="2"/>
      <c r="AA247" s="2"/>
      <c r="AB247" s="2"/>
      <c r="AC247" s="2"/>
      <c r="AD247" s="2"/>
      <c r="AE247" s="2"/>
    </row>
    <row r="248" spans="1:31" ht="12.75" customHeight="1">
      <c r="A248" s="2"/>
      <c r="B248" s="226"/>
      <c r="C248" s="226"/>
      <c r="D248" s="226"/>
      <c r="E248" s="226"/>
      <c r="F248" s="226"/>
      <c r="G248" s="226"/>
      <c r="H248" s="226"/>
      <c r="I248" s="226"/>
      <c r="J248" s="226"/>
      <c r="K248" s="226"/>
      <c r="L248" s="226"/>
      <c r="M248" s="2"/>
      <c r="N248" s="2"/>
      <c r="O248" s="2"/>
      <c r="P248" s="2"/>
      <c r="Q248" s="2"/>
      <c r="R248" s="2"/>
      <c r="S248" s="2"/>
      <c r="T248" s="2"/>
      <c r="U248" s="2"/>
      <c r="V248" s="2"/>
      <c r="W248" s="2"/>
      <c r="X248" s="2"/>
      <c r="Y248" s="2"/>
      <c r="Z248" s="2"/>
      <c r="AA248" s="2"/>
      <c r="AB248" s="2"/>
      <c r="AC248" s="2"/>
      <c r="AD248" s="2"/>
      <c r="AE248" s="2"/>
    </row>
    <row r="249" spans="1:31" ht="12.75" customHeight="1">
      <c r="A249" s="2"/>
      <c r="B249" s="226"/>
      <c r="C249" s="226"/>
      <c r="D249" s="226"/>
      <c r="E249" s="226"/>
      <c r="F249" s="226"/>
      <c r="G249" s="226"/>
      <c r="H249" s="226"/>
      <c r="I249" s="226"/>
      <c r="J249" s="226"/>
      <c r="K249" s="226"/>
      <c r="L249" s="226"/>
      <c r="M249" s="2"/>
      <c r="N249" s="2"/>
      <c r="O249" s="2"/>
      <c r="P249" s="2"/>
      <c r="Q249" s="2"/>
      <c r="R249" s="2"/>
      <c r="S249" s="2"/>
      <c r="T249" s="2"/>
      <c r="U249" s="2"/>
      <c r="V249" s="2"/>
      <c r="W249" s="2"/>
      <c r="X249" s="2"/>
      <c r="Y249" s="2"/>
      <c r="Z249" s="2"/>
      <c r="AA249" s="2"/>
      <c r="AB249" s="2"/>
      <c r="AC249" s="2"/>
      <c r="AD249" s="2"/>
      <c r="AE249" s="2"/>
    </row>
    <row r="250" spans="1:31" ht="12.75" customHeight="1">
      <c r="A250" s="2"/>
      <c r="B250" s="226"/>
      <c r="C250" s="226"/>
      <c r="D250" s="226"/>
      <c r="E250" s="226"/>
      <c r="F250" s="226"/>
      <c r="G250" s="226"/>
      <c r="H250" s="226"/>
      <c r="I250" s="226"/>
      <c r="J250" s="226"/>
      <c r="K250" s="226"/>
      <c r="L250" s="226"/>
      <c r="M250" s="2"/>
      <c r="N250" s="2"/>
      <c r="O250" s="2"/>
      <c r="P250" s="2"/>
      <c r="Q250" s="2"/>
      <c r="R250" s="2"/>
      <c r="S250" s="2"/>
      <c r="T250" s="2"/>
      <c r="U250" s="2"/>
      <c r="V250" s="2"/>
      <c r="W250" s="2"/>
      <c r="X250" s="2"/>
      <c r="Y250" s="2"/>
      <c r="Z250" s="2"/>
      <c r="AA250" s="2"/>
      <c r="AB250" s="2"/>
      <c r="AC250" s="2"/>
      <c r="AD250" s="2"/>
      <c r="AE250" s="2"/>
    </row>
    <row r="251" spans="1:31" ht="12.75" customHeight="1">
      <c r="A251" s="2"/>
      <c r="B251" s="226"/>
      <c r="C251" s="226"/>
      <c r="D251" s="226"/>
      <c r="E251" s="226"/>
      <c r="F251" s="226"/>
      <c r="G251" s="226"/>
      <c r="H251" s="226"/>
      <c r="I251" s="226"/>
      <c r="J251" s="226"/>
      <c r="K251" s="226"/>
      <c r="L251" s="226"/>
      <c r="M251" s="2"/>
      <c r="N251" s="2"/>
      <c r="O251" s="2"/>
      <c r="P251" s="2"/>
      <c r="Q251" s="2"/>
      <c r="R251" s="2"/>
      <c r="S251" s="2"/>
      <c r="T251" s="2"/>
      <c r="U251" s="2"/>
      <c r="V251" s="2"/>
      <c r="W251" s="2"/>
      <c r="X251" s="2"/>
      <c r="Y251" s="2"/>
      <c r="Z251" s="2"/>
      <c r="AA251" s="2"/>
      <c r="AB251" s="2"/>
      <c r="AC251" s="2"/>
      <c r="AD251" s="2"/>
      <c r="AE251" s="2"/>
    </row>
    <row r="252" spans="1:31" ht="12.75" customHeight="1">
      <c r="A252" s="2"/>
      <c r="B252" s="226"/>
      <c r="C252" s="226"/>
      <c r="D252" s="226"/>
      <c r="E252" s="226"/>
      <c r="F252" s="226"/>
      <c r="G252" s="226"/>
      <c r="H252" s="226"/>
      <c r="I252" s="226"/>
      <c r="J252" s="226"/>
      <c r="K252" s="226"/>
      <c r="L252" s="226"/>
      <c r="M252" s="2"/>
      <c r="N252" s="2"/>
      <c r="O252" s="2"/>
      <c r="P252" s="2"/>
      <c r="Q252" s="2"/>
      <c r="R252" s="2"/>
      <c r="S252" s="2"/>
      <c r="T252" s="2"/>
      <c r="U252" s="2"/>
      <c r="V252" s="2"/>
      <c r="W252" s="2"/>
      <c r="X252" s="2"/>
      <c r="Y252" s="2"/>
      <c r="Z252" s="2"/>
      <c r="AA252" s="2"/>
      <c r="AB252" s="2"/>
      <c r="AC252" s="2"/>
      <c r="AD252" s="2"/>
      <c r="AE252" s="2"/>
    </row>
    <row r="253" spans="1:31" ht="12.75" customHeight="1">
      <c r="A253" s="2"/>
      <c r="B253" s="226"/>
      <c r="C253" s="226"/>
      <c r="D253" s="226"/>
      <c r="E253" s="226"/>
      <c r="F253" s="226"/>
      <c r="G253" s="226"/>
      <c r="H253" s="226"/>
      <c r="I253" s="226"/>
      <c r="J253" s="226"/>
      <c r="K253" s="226"/>
      <c r="L253" s="226"/>
      <c r="M253" s="2"/>
      <c r="N253" s="2"/>
      <c r="O253" s="2"/>
      <c r="P253" s="2"/>
      <c r="Q253" s="2"/>
      <c r="R253" s="2"/>
      <c r="S253" s="2"/>
      <c r="T253" s="2"/>
      <c r="U253" s="2"/>
      <c r="V253" s="2"/>
      <c r="W253" s="2"/>
      <c r="X253" s="2"/>
      <c r="Y253" s="2"/>
      <c r="Z253" s="2"/>
      <c r="AA253" s="2"/>
      <c r="AB253" s="2"/>
      <c r="AC253" s="2"/>
      <c r="AD253" s="2"/>
      <c r="AE253" s="2"/>
    </row>
    <row r="254" spans="1:31" ht="12.75" customHeight="1">
      <c r="A254" s="2"/>
      <c r="B254" s="226"/>
      <c r="C254" s="226"/>
      <c r="D254" s="226"/>
      <c r="E254" s="226"/>
      <c r="F254" s="226"/>
      <c r="G254" s="226"/>
      <c r="H254" s="226"/>
      <c r="I254" s="226"/>
      <c r="J254" s="226"/>
      <c r="K254" s="226"/>
      <c r="L254" s="226"/>
      <c r="M254" s="2"/>
      <c r="N254" s="2"/>
      <c r="O254" s="2"/>
      <c r="P254" s="2"/>
      <c r="Q254" s="2"/>
      <c r="R254" s="2"/>
      <c r="S254" s="2"/>
      <c r="T254" s="2"/>
      <c r="U254" s="2"/>
      <c r="V254" s="2"/>
      <c r="W254" s="2"/>
      <c r="X254" s="2"/>
      <c r="Y254" s="2"/>
      <c r="Z254" s="2"/>
      <c r="AA254" s="2"/>
      <c r="AB254" s="2"/>
      <c r="AC254" s="2"/>
      <c r="AD254" s="2"/>
      <c r="AE254" s="2"/>
    </row>
    <row r="255" spans="1:31" ht="12.75" customHeight="1">
      <c r="A255" s="2"/>
      <c r="B255" s="226"/>
      <c r="C255" s="226"/>
      <c r="D255" s="226"/>
      <c r="E255" s="226"/>
      <c r="F255" s="226"/>
      <c r="G255" s="226"/>
      <c r="H255" s="226"/>
      <c r="I255" s="226"/>
      <c r="J255" s="226"/>
      <c r="K255" s="226"/>
      <c r="L255" s="226"/>
      <c r="M255" s="2"/>
      <c r="N255" s="2"/>
      <c r="O255" s="2"/>
      <c r="P255" s="2"/>
      <c r="Q255" s="2"/>
      <c r="R255" s="2"/>
      <c r="S255" s="2"/>
      <c r="T255" s="2"/>
      <c r="U255" s="2"/>
      <c r="V255" s="2"/>
      <c r="W255" s="2"/>
      <c r="X255" s="2"/>
      <c r="Y255" s="2"/>
      <c r="Z255" s="2"/>
      <c r="AA255" s="2"/>
      <c r="AB255" s="2"/>
      <c r="AC255" s="2"/>
      <c r="AD255" s="2"/>
      <c r="AE255" s="2"/>
    </row>
    <row r="256" spans="1:31" ht="12.75" customHeight="1">
      <c r="A256" s="2"/>
      <c r="B256" s="226"/>
      <c r="C256" s="226"/>
      <c r="D256" s="226"/>
      <c r="E256" s="226"/>
      <c r="F256" s="226"/>
      <c r="G256" s="226"/>
      <c r="H256" s="226"/>
      <c r="I256" s="226"/>
      <c r="J256" s="226"/>
      <c r="K256" s="226"/>
      <c r="L256" s="226"/>
      <c r="M256" s="2"/>
      <c r="N256" s="2"/>
      <c r="O256" s="2"/>
      <c r="P256" s="2"/>
      <c r="Q256" s="2"/>
      <c r="R256" s="2"/>
      <c r="S256" s="2"/>
      <c r="T256" s="2"/>
      <c r="U256" s="2"/>
      <c r="V256" s="2"/>
      <c r="W256" s="2"/>
      <c r="X256" s="2"/>
      <c r="Y256" s="2"/>
      <c r="Z256" s="2"/>
      <c r="AA256" s="2"/>
      <c r="AB256" s="2"/>
      <c r="AC256" s="2"/>
      <c r="AD256" s="2"/>
      <c r="AE256" s="2"/>
    </row>
    <row r="257" spans="1:31" ht="12.75" customHeight="1">
      <c r="A257" s="2"/>
      <c r="B257" s="226"/>
      <c r="C257" s="226"/>
      <c r="D257" s="226"/>
      <c r="E257" s="226"/>
      <c r="F257" s="226"/>
      <c r="G257" s="226"/>
      <c r="H257" s="226"/>
      <c r="I257" s="226"/>
      <c r="J257" s="226"/>
      <c r="K257" s="226"/>
      <c r="L257" s="226"/>
      <c r="M257" s="2"/>
      <c r="N257" s="2"/>
      <c r="O257" s="2"/>
      <c r="P257" s="2"/>
      <c r="Q257" s="2"/>
      <c r="R257" s="2"/>
      <c r="S257" s="2"/>
      <c r="T257" s="2"/>
      <c r="U257" s="2"/>
      <c r="V257" s="2"/>
      <c r="W257" s="2"/>
      <c r="X257" s="2"/>
      <c r="Y257" s="2"/>
      <c r="Z257" s="2"/>
      <c r="AA257" s="2"/>
      <c r="AB257" s="2"/>
      <c r="AC257" s="2"/>
      <c r="AD257" s="2"/>
      <c r="AE257" s="2"/>
    </row>
    <row r="258" spans="1:31" ht="12.75" customHeight="1">
      <c r="A258" s="2"/>
      <c r="B258" s="226"/>
      <c r="C258" s="226"/>
      <c r="D258" s="226"/>
      <c r="E258" s="226"/>
      <c r="F258" s="226"/>
      <c r="G258" s="226"/>
      <c r="H258" s="226"/>
      <c r="I258" s="226"/>
      <c r="J258" s="226"/>
      <c r="K258" s="226"/>
      <c r="L258" s="226"/>
      <c r="M258" s="2"/>
      <c r="N258" s="2"/>
      <c r="O258" s="2"/>
      <c r="P258" s="2"/>
      <c r="Q258" s="2"/>
      <c r="R258" s="2"/>
      <c r="S258" s="2"/>
      <c r="T258" s="2"/>
      <c r="U258" s="2"/>
      <c r="V258" s="2"/>
      <c r="W258" s="2"/>
      <c r="X258" s="2"/>
      <c r="Y258" s="2"/>
      <c r="Z258" s="2"/>
      <c r="AA258" s="2"/>
      <c r="AB258" s="2"/>
      <c r="AC258" s="2"/>
      <c r="AD258" s="2"/>
      <c r="AE258" s="2"/>
    </row>
    <row r="259" spans="1:31" ht="12.75" customHeight="1">
      <c r="A259" s="2"/>
      <c r="B259" s="226"/>
      <c r="C259" s="226"/>
      <c r="D259" s="226"/>
      <c r="E259" s="226"/>
      <c r="F259" s="226"/>
      <c r="G259" s="226"/>
      <c r="H259" s="226"/>
      <c r="I259" s="226"/>
      <c r="J259" s="226"/>
      <c r="K259" s="226"/>
      <c r="L259" s="226"/>
      <c r="M259" s="2"/>
      <c r="N259" s="2"/>
      <c r="O259" s="2"/>
      <c r="P259" s="2"/>
      <c r="Q259" s="2"/>
      <c r="R259" s="2"/>
      <c r="S259" s="2"/>
      <c r="T259" s="2"/>
      <c r="U259" s="2"/>
      <c r="V259" s="2"/>
      <c r="W259" s="2"/>
      <c r="X259" s="2"/>
      <c r="Y259" s="2"/>
      <c r="Z259" s="2"/>
      <c r="AA259" s="2"/>
      <c r="AB259" s="2"/>
      <c r="AC259" s="2"/>
      <c r="AD259" s="2"/>
      <c r="AE259" s="2"/>
    </row>
    <row r="260" spans="1:31" ht="12.75" customHeight="1">
      <c r="A260" s="2"/>
      <c r="B260" s="226"/>
      <c r="C260" s="226"/>
      <c r="D260" s="226"/>
      <c r="E260" s="226"/>
      <c r="F260" s="226"/>
      <c r="G260" s="226"/>
      <c r="H260" s="226"/>
      <c r="I260" s="226"/>
      <c r="J260" s="226"/>
      <c r="K260" s="226"/>
      <c r="L260" s="226"/>
      <c r="M260" s="2"/>
      <c r="N260" s="2"/>
      <c r="O260" s="2"/>
      <c r="P260" s="2"/>
      <c r="Q260" s="2"/>
      <c r="R260" s="2"/>
      <c r="S260" s="2"/>
      <c r="T260" s="2"/>
      <c r="U260" s="2"/>
      <c r="V260" s="2"/>
      <c r="W260" s="2"/>
      <c r="X260" s="2"/>
      <c r="Y260" s="2"/>
      <c r="Z260" s="2"/>
      <c r="AA260" s="2"/>
      <c r="AB260" s="2"/>
      <c r="AC260" s="2"/>
      <c r="AD260" s="2"/>
      <c r="AE260" s="2"/>
    </row>
    <row r="261" spans="1:31" ht="12.75" customHeight="1">
      <c r="A261" s="2"/>
      <c r="B261" s="226"/>
      <c r="C261" s="226"/>
      <c r="D261" s="226"/>
      <c r="E261" s="226"/>
      <c r="F261" s="226"/>
      <c r="G261" s="226"/>
      <c r="H261" s="226"/>
      <c r="I261" s="226"/>
      <c r="J261" s="226"/>
      <c r="K261" s="226"/>
      <c r="L261" s="226"/>
      <c r="M261" s="2"/>
      <c r="N261" s="2"/>
      <c r="O261" s="2"/>
      <c r="P261" s="2"/>
      <c r="Q261" s="2"/>
      <c r="R261" s="2"/>
      <c r="S261" s="2"/>
      <c r="T261" s="2"/>
      <c r="U261" s="2"/>
      <c r="V261" s="2"/>
      <c r="W261" s="2"/>
      <c r="X261" s="2"/>
      <c r="Y261" s="2"/>
      <c r="Z261" s="2"/>
      <c r="AA261" s="2"/>
      <c r="AB261" s="2"/>
      <c r="AC261" s="2"/>
      <c r="AD261" s="2"/>
      <c r="AE261" s="2"/>
    </row>
    <row r="262" spans="1:31" ht="12.75" customHeight="1">
      <c r="A262" s="2"/>
      <c r="B262" s="226"/>
      <c r="C262" s="226"/>
      <c r="D262" s="226"/>
      <c r="E262" s="226"/>
      <c r="F262" s="226"/>
      <c r="G262" s="226"/>
      <c r="H262" s="226"/>
      <c r="I262" s="226"/>
      <c r="J262" s="226"/>
      <c r="K262" s="226"/>
      <c r="L262" s="226"/>
      <c r="M262" s="2"/>
      <c r="N262" s="2"/>
      <c r="O262" s="2"/>
      <c r="P262" s="2"/>
      <c r="Q262" s="2"/>
      <c r="R262" s="2"/>
      <c r="S262" s="2"/>
      <c r="T262" s="2"/>
      <c r="U262" s="2"/>
      <c r="V262" s="2"/>
      <c r="W262" s="2"/>
      <c r="X262" s="2"/>
      <c r="Y262" s="2"/>
      <c r="Z262" s="2"/>
      <c r="AA262" s="2"/>
      <c r="AB262" s="2"/>
      <c r="AC262" s="2"/>
      <c r="AD262" s="2"/>
      <c r="AE262" s="2"/>
    </row>
    <row r="263" spans="1:31" ht="12.75" customHeight="1">
      <c r="A263" s="2"/>
      <c r="B263" s="226"/>
      <c r="C263" s="226"/>
      <c r="D263" s="226"/>
      <c r="E263" s="226"/>
      <c r="F263" s="226"/>
      <c r="G263" s="226"/>
      <c r="H263" s="226"/>
      <c r="I263" s="226"/>
      <c r="J263" s="226"/>
      <c r="K263" s="226"/>
      <c r="L263" s="226"/>
      <c r="M263" s="2"/>
      <c r="N263" s="2"/>
      <c r="O263" s="2"/>
      <c r="P263" s="2"/>
      <c r="Q263" s="2"/>
      <c r="R263" s="2"/>
      <c r="S263" s="2"/>
      <c r="T263" s="2"/>
      <c r="U263" s="2"/>
      <c r="V263" s="2"/>
      <c r="W263" s="2"/>
      <c r="X263" s="2"/>
      <c r="Y263" s="2"/>
      <c r="Z263" s="2"/>
      <c r="AA263" s="2"/>
      <c r="AB263" s="2"/>
      <c r="AC263" s="2"/>
      <c r="AD263" s="2"/>
      <c r="AE263" s="2"/>
    </row>
    <row r="264" spans="1:31" ht="12.75" customHeight="1">
      <c r="A264" s="2"/>
      <c r="B264" s="226"/>
      <c r="C264" s="226"/>
      <c r="D264" s="226"/>
      <c r="E264" s="226"/>
      <c r="F264" s="226"/>
      <c r="G264" s="226"/>
      <c r="H264" s="226"/>
      <c r="I264" s="226"/>
      <c r="J264" s="226"/>
      <c r="K264" s="226"/>
      <c r="L264" s="226"/>
      <c r="M264" s="2"/>
      <c r="N264" s="2"/>
      <c r="O264" s="2"/>
      <c r="P264" s="2"/>
      <c r="Q264" s="2"/>
      <c r="R264" s="2"/>
      <c r="S264" s="2"/>
      <c r="T264" s="2"/>
      <c r="U264" s="2"/>
      <c r="V264" s="2"/>
      <c r="W264" s="2"/>
      <c r="X264" s="2"/>
      <c r="Y264" s="2"/>
      <c r="Z264" s="2"/>
      <c r="AA264" s="2"/>
      <c r="AB264" s="2"/>
      <c r="AC264" s="2"/>
      <c r="AD264" s="2"/>
      <c r="AE264" s="2"/>
    </row>
    <row r="265" spans="1:31" ht="12.75" customHeight="1">
      <c r="A265" s="2"/>
      <c r="B265" s="226"/>
      <c r="C265" s="226"/>
      <c r="D265" s="226"/>
      <c r="E265" s="226"/>
      <c r="F265" s="226"/>
      <c r="G265" s="226"/>
      <c r="H265" s="226"/>
      <c r="I265" s="226"/>
      <c r="J265" s="226"/>
      <c r="K265" s="226"/>
      <c r="L265" s="226"/>
      <c r="M265" s="2"/>
      <c r="N265" s="2"/>
      <c r="O265" s="2"/>
      <c r="P265" s="2"/>
      <c r="Q265" s="2"/>
      <c r="R265" s="2"/>
      <c r="S265" s="2"/>
      <c r="T265" s="2"/>
      <c r="U265" s="2"/>
      <c r="V265" s="2"/>
      <c r="W265" s="2"/>
      <c r="X265" s="2"/>
      <c r="Y265" s="2"/>
      <c r="Z265" s="2"/>
      <c r="AA265" s="2"/>
      <c r="AB265" s="2"/>
      <c r="AC265" s="2"/>
      <c r="AD265" s="2"/>
      <c r="AE265" s="2"/>
    </row>
    <row r="266" spans="1:31" ht="12.75" customHeight="1">
      <c r="A266" s="2"/>
      <c r="B266" s="226"/>
      <c r="C266" s="226"/>
      <c r="D266" s="226"/>
      <c r="E266" s="226"/>
      <c r="F266" s="226"/>
      <c r="G266" s="226"/>
      <c r="H266" s="226"/>
      <c r="I266" s="226"/>
      <c r="J266" s="226"/>
      <c r="K266" s="226"/>
      <c r="L266" s="226"/>
      <c r="M266" s="2"/>
      <c r="N266" s="2"/>
      <c r="O266" s="2"/>
      <c r="P266" s="2"/>
      <c r="Q266" s="2"/>
      <c r="R266" s="2"/>
      <c r="S266" s="2"/>
      <c r="T266" s="2"/>
      <c r="U266" s="2"/>
      <c r="V266" s="2"/>
      <c r="W266" s="2"/>
      <c r="X266" s="2"/>
      <c r="Y266" s="2"/>
      <c r="Z266" s="2"/>
      <c r="AA266" s="2"/>
      <c r="AB266" s="2"/>
      <c r="AC266" s="2"/>
      <c r="AD266" s="2"/>
      <c r="AE266" s="2"/>
    </row>
    <row r="267" spans="1:31" ht="12.75" customHeight="1">
      <c r="A267" s="2"/>
      <c r="B267" s="226"/>
      <c r="C267" s="226"/>
      <c r="D267" s="226"/>
      <c r="E267" s="226"/>
      <c r="F267" s="226"/>
      <c r="G267" s="226"/>
      <c r="H267" s="226"/>
      <c r="I267" s="226"/>
      <c r="J267" s="226"/>
      <c r="K267" s="226"/>
      <c r="L267" s="226"/>
      <c r="M267" s="2"/>
      <c r="N267" s="2"/>
      <c r="O267" s="2"/>
      <c r="P267" s="2"/>
      <c r="Q267" s="2"/>
      <c r="R267" s="2"/>
      <c r="S267" s="2"/>
      <c r="T267" s="2"/>
      <c r="U267" s="2"/>
      <c r="V267" s="2"/>
      <c r="W267" s="2"/>
      <c r="X267" s="2"/>
      <c r="Y267" s="2"/>
      <c r="Z267" s="2"/>
      <c r="AA267" s="2"/>
      <c r="AB267" s="2"/>
      <c r="AC267" s="2"/>
      <c r="AD267" s="2"/>
      <c r="AE267" s="2"/>
    </row>
    <row r="268" spans="1:31" ht="12.75" customHeight="1">
      <c r="A268" s="2"/>
      <c r="B268" s="226"/>
      <c r="C268" s="226"/>
      <c r="D268" s="226"/>
      <c r="E268" s="226"/>
      <c r="F268" s="226"/>
      <c r="G268" s="226"/>
      <c r="H268" s="226"/>
      <c r="I268" s="226"/>
      <c r="J268" s="226"/>
      <c r="K268" s="226"/>
      <c r="L268" s="226"/>
      <c r="M268" s="2"/>
      <c r="N268" s="2"/>
      <c r="O268" s="2"/>
      <c r="P268" s="2"/>
      <c r="Q268" s="2"/>
      <c r="R268" s="2"/>
      <c r="S268" s="2"/>
      <c r="T268" s="2"/>
      <c r="U268" s="2"/>
      <c r="V268" s="2"/>
      <c r="W268" s="2"/>
      <c r="X268" s="2"/>
      <c r="Y268" s="2"/>
      <c r="Z268" s="2"/>
      <c r="AA268" s="2"/>
      <c r="AB268" s="2"/>
      <c r="AC268" s="2"/>
      <c r="AD268" s="2"/>
      <c r="AE268" s="2"/>
    </row>
    <row r="269" spans="1:31" ht="12.75" customHeight="1">
      <c r="A269" s="2"/>
      <c r="B269" s="226"/>
      <c r="C269" s="226"/>
      <c r="D269" s="226"/>
      <c r="E269" s="226"/>
      <c r="F269" s="226"/>
      <c r="G269" s="226"/>
      <c r="H269" s="226"/>
      <c r="I269" s="226"/>
      <c r="J269" s="226"/>
      <c r="K269" s="226"/>
      <c r="L269" s="226"/>
      <c r="M269" s="2"/>
      <c r="N269" s="2"/>
      <c r="O269" s="2"/>
      <c r="P269" s="2"/>
      <c r="Q269" s="2"/>
      <c r="R269" s="2"/>
      <c r="S269" s="2"/>
      <c r="T269" s="2"/>
      <c r="U269" s="2"/>
      <c r="V269" s="2"/>
      <c r="W269" s="2"/>
      <c r="X269" s="2"/>
      <c r="Y269" s="2"/>
      <c r="Z269" s="2"/>
      <c r="AA269" s="2"/>
      <c r="AB269" s="2"/>
      <c r="AC269" s="2"/>
      <c r="AD269" s="2"/>
      <c r="AE269" s="2"/>
    </row>
    <row r="270" spans="1:31" ht="12.75" customHeight="1">
      <c r="A270" s="2"/>
      <c r="B270" s="226"/>
      <c r="C270" s="226"/>
      <c r="D270" s="226"/>
      <c r="E270" s="226"/>
      <c r="F270" s="226"/>
      <c r="G270" s="226"/>
      <c r="H270" s="226"/>
      <c r="I270" s="226"/>
      <c r="J270" s="226"/>
      <c r="K270" s="226"/>
      <c r="L270" s="226"/>
      <c r="M270" s="2"/>
      <c r="N270" s="2"/>
      <c r="O270" s="2"/>
      <c r="P270" s="2"/>
      <c r="Q270" s="2"/>
      <c r="R270" s="2"/>
      <c r="S270" s="2"/>
      <c r="T270" s="2"/>
      <c r="U270" s="2"/>
      <c r="V270" s="2"/>
      <c r="W270" s="2"/>
      <c r="X270" s="2"/>
      <c r="Y270" s="2"/>
      <c r="Z270" s="2"/>
      <c r="AA270" s="2"/>
      <c r="AB270" s="2"/>
      <c r="AC270" s="2"/>
      <c r="AD270" s="2"/>
      <c r="AE270" s="2"/>
    </row>
    <row r="271" spans="1:31" ht="12.75" customHeight="1">
      <c r="A271" s="2"/>
      <c r="B271" s="226"/>
      <c r="C271" s="226"/>
      <c r="D271" s="226"/>
      <c r="E271" s="226"/>
      <c r="F271" s="226"/>
      <c r="G271" s="226"/>
      <c r="H271" s="226"/>
      <c r="I271" s="226"/>
      <c r="J271" s="226"/>
      <c r="K271" s="226"/>
      <c r="L271" s="226"/>
      <c r="M271" s="2"/>
      <c r="N271" s="2"/>
      <c r="O271" s="2"/>
      <c r="P271" s="2"/>
      <c r="Q271" s="2"/>
      <c r="R271" s="2"/>
      <c r="S271" s="2"/>
      <c r="T271" s="2"/>
      <c r="U271" s="2"/>
      <c r="V271" s="2"/>
      <c r="W271" s="2"/>
      <c r="X271" s="2"/>
      <c r="Y271" s="2"/>
      <c r="Z271" s="2"/>
      <c r="AA271" s="2"/>
      <c r="AB271" s="2"/>
      <c r="AC271" s="2"/>
      <c r="AD271" s="2"/>
      <c r="AE271" s="2"/>
    </row>
    <row r="272" spans="1:31" ht="12.75" customHeight="1">
      <c r="A272" s="2"/>
      <c r="B272" s="226"/>
      <c r="C272" s="226"/>
      <c r="D272" s="226"/>
      <c r="E272" s="226"/>
      <c r="F272" s="226"/>
      <c r="G272" s="226"/>
      <c r="H272" s="226"/>
      <c r="I272" s="226"/>
      <c r="J272" s="226"/>
      <c r="K272" s="226"/>
      <c r="L272" s="226"/>
      <c r="M272" s="2"/>
      <c r="N272" s="2"/>
      <c r="O272" s="2"/>
      <c r="P272" s="2"/>
      <c r="Q272" s="2"/>
      <c r="R272" s="2"/>
      <c r="S272" s="2"/>
      <c r="T272" s="2"/>
      <c r="U272" s="2"/>
      <c r="V272" s="2"/>
      <c r="W272" s="2"/>
      <c r="X272" s="2"/>
      <c r="Y272" s="2"/>
      <c r="Z272" s="2"/>
      <c r="AA272" s="2"/>
      <c r="AB272" s="2"/>
      <c r="AC272" s="2"/>
      <c r="AD272" s="2"/>
      <c r="AE272" s="2"/>
    </row>
    <row r="273" spans="1:31" ht="12.75" customHeight="1">
      <c r="A273" s="2"/>
      <c r="B273" s="226"/>
      <c r="C273" s="226"/>
      <c r="D273" s="226"/>
      <c r="E273" s="226"/>
      <c r="F273" s="226"/>
      <c r="G273" s="226"/>
      <c r="H273" s="226"/>
      <c r="I273" s="226"/>
      <c r="J273" s="226"/>
      <c r="K273" s="226"/>
      <c r="L273" s="226"/>
      <c r="M273" s="2"/>
      <c r="N273" s="2"/>
      <c r="O273" s="2"/>
      <c r="P273" s="2"/>
      <c r="Q273" s="2"/>
      <c r="R273" s="2"/>
      <c r="S273" s="2"/>
      <c r="T273" s="2"/>
      <c r="U273" s="2"/>
      <c r="V273" s="2"/>
      <c r="W273" s="2"/>
      <c r="X273" s="2"/>
      <c r="Y273" s="2"/>
      <c r="Z273" s="2"/>
      <c r="AA273" s="2"/>
      <c r="AB273" s="2"/>
      <c r="AC273" s="2"/>
      <c r="AD273" s="2"/>
      <c r="AE273" s="2"/>
    </row>
    <row r="274" spans="1:31" ht="12.75" customHeight="1">
      <c r="A274" s="2"/>
      <c r="B274" s="226"/>
      <c r="C274" s="226"/>
      <c r="D274" s="226"/>
      <c r="E274" s="226"/>
      <c r="F274" s="226"/>
      <c r="G274" s="226"/>
      <c r="H274" s="226"/>
      <c r="I274" s="226"/>
      <c r="J274" s="226"/>
      <c r="K274" s="226"/>
      <c r="L274" s="226"/>
      <c r="M274" s="2"/>
      <c r="N274" s="2"/>
      <c r="O274" s="2"/>
      <c r="P274" s="2"/>
      <c r="Q274" s="2"/>
      <c r="R274" s="2"/>
      <c r="S274" s="2"/>
      <c r="T274" s="2"/>
      <c r="U274" s="2"/>
      <c r="V274" s="2"/>
      <c r="W274" s="2"/>
      <c r="X274" s="2"/>
      <c r="Y274" s="2"/>
      <c r="Z274" s="2"/>
      <c r="AA274" s="2"/>
      <c r="AB274" s="2"/>
      <c r="AC274" s="2"/>
      <c r="AD274" s="2"/>
      <c r="AE274" s="2"/>
    </row>
    <row r="275" spans="1:31" ht="12.75" customHeight="1">
      <c r="A275" s="2"/>
      <c r="B275" s="226"/>
      <c r="C275" s="226"/>
      <c r="D275" s="226"/>
      <c r="E275" s="226"/>
      <c r="F275" s="226"/>
      <c r="G275" s="226"/>
      <c r="H275" s="226"/>
      <c r="I275" s="226"/>
      <c r="J275" s="226"/>
      <c r="K275" s="226"/>
      <c r="L275" s="226"/>
      <c r="M275" s="2"/>
      <c r="N275" s="2"/>
      <c r="O275" s="2"/>
      <c r="P275" s="2"/>
      <c r="Q275" s="2"/>
      <c r="R275" s="2"/>
      <c r="S275" s="2"/>
      <c r="T275" s="2"/>
      <c r="U275" s="2"/>
      <c r="V275" s="2"/>
      <c r="W275" s="2"/>
      <c r="X275" s="2"/>
      <c r="Y275" s="2"/>
      <c r="Z275" s="2"/>
      <c r="AA275" s="2"/>
      <c r="AB275" s="2"/>
      <c r="AC275" s="2"/>
      <c r="AD275" s="2"/>
      <c r="AE275" s="2"/>
    </row>
    <row r="276" spans="1:31" ht="12.75" customHeight="1">
      <c r="A276" s="2"/>
      <c r="B276" s="226"/>
      <c r="C276" s="226"/>
      <c r="D276" s="226"/>
      <c r="E276" s="226"/>
      <c r="F276" s="226"/>
      <c r="G276" s="226"/>
      <c r="H276" s="226"/>
      <c r="I276" s="226"/>
      <c r="J276" s="226"/>
      <c r="K276" s="226"/>
      <c r="L276" s="226"/>
      <c r="M276" s="2"/>
      <c r="N276" s="2"/>
      <c r="O276" s="2"/>
      <c r="P276" s="2"/>
      <c r="Q276" s="2"/>
      <c r="R276" s="2"/>
      <c r="S276" s="2"/>
      <c r="T276" s="2"/>
      <c r="U276" s="2"/>
      <c r="V276" s="2"/>
      <c r="W276" s="2"/>
      <c r="X276" s="2"/>
      <c r="Y276" s="2"/>
      <c r="Z276" s="2"/>
      <c r="AA276" s="2"/>
      <c r="AB276" s="2"/>
      <c r="AC276" s="2"/>
      <c r="AD276" s="2"/>
      <c r="AE276" s="2"/>
    </row>
    <row r="277" spans="1:31" ht="15.75" customHeight="1"/>
    <row r="278" spans="1:31" ht="15.75" customHeight="1"/>
    <row r="279" spans="1:31" ht="15.75" customHeight="1"/>
    <row r="280" spans="1:31" ht="15.75" customHeight="1"/>
    <row r="281" spans="1:31" ht="15.75" customHeight="1"/>
    <row r="282" spans="1:31" ht="15.75" customHeight="1"/>
    <row r="283" spans="1:31" ht="15.75" customHeight="1"/>
    <row r="284" spans="1:31" ht="15.75" customHeight="1"/>
    <row r="285" spans="1:31" ht="15.75" customHeight="1"/>
    <row r="286" spans="1:31" ht="15.75" customHeight="1"/>
    <row r="287" spans="1:31" ht="15.75" customHeight="1"/>
    <row r="288" spans="1:31"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8</vt:i4>
      </vt:variant>
      <vt:variant>
        <vt:lpstr>Intervalli denominati</vt:lpstr>
      </vt:variant>
      <vt:variant>
        <vt:i4>76</vt:i4>
      </vt:variant>
    </vt:vector>
  </HeadingPairs>
  <TitlesOfParts>
    <vt:vector size="84" baseType="lpstr">
      <vt:lpstr>About</vt:lpstr>
      <vt:lpstr>Roster</vt:lpstr>
      <vt:lpstr>Games</vt:lpstr>
      <vt:lpstr>Dead &amp; Retired Players</vt:lpstr>
      <vt:lpstr>Team Cards</vt:lpstr>
      <vt:lpstr>Team Cards B&amp;W Print</vt:lpstr>
      <vt:lpstr>Teams</vt:lpstr>
      <vt:lpstr>StarPlayers</vt:lpstr>
      <vt:lpstr>Amazon</vt:lpstr>
      <vt:lpstr>BadlandsBrawl</vt:lpstr>
      <vt:lpstr>BadlandsBrawlOldWorldClassic</vt:lpstr>
      <vt:lpstr>BadlandsBrawlUnderworldChallenge</vt:lpstr>
      <vt:lpstr>BlackOrc</vt:lpstr>
      <vt:lpstr>CARNE</vt:lpstr>
      <vt:lpstr>CARTASDEJUEGO</vt:lpstr>
      <vt:lpstr>ChaosChosen</vt:lpstr>
      <vt:lpstr>ChaosDwarf</vt:lpstr>
      <vt:lpstr>ChaosRenegades</vt:lpstr>
      <vt:lpstr>DaemonsofKhorne</vt:lpstr>
      <vt:lpstr>DarkElf</vt:lpstr>
      <vt:lpstr>Dwarf</vt:lpstr>
      <vt:lpstr>ElvenKingdomsLeague</vt:lpstr>
      <vt:lpstr>ElvenUnion</vt:lpstr>
      <vt:lpstr>ENGLISH</vt:lpstr>
      <vt:lpstr>Español</vt:lpstr>
      <vt:lpstr>ESSS</vt:lpstr>
      <vt:lpstr>FavouredOf</vt:lpstr>
      <vt:lpstr>FavouredOfWorldsEdgeSuperleagueBadlandsBrawl</vt:lpstr>
      <vt:lpstr>Goblin</vt:lpstr>
      <vt:lpstr>Halfling</vt:lpstr>
      <vt:lpstr>HalflingThimbleCup</vt:lpstr>
      <vt:lpstr>HalflingThimbleCupOldWorldClassic</vt:lpstr>
      <vt:lpstr>HighElf</vt:lpstr>
      <vt:lpstr>Human</vt:lpstr>
      <vt:lpstr>ImperialNobility</vt:lpstr>
      <vt:lpstr>INCENTIVOS_DE_RAZA</vt:lpstr>
      <vt:lpstr>INCENTIVOSDERAZA</vt:lpstr>
      <vt:lpstr>INFAMOUSSTAFF</vt:lpstr>
      <vt:lpstr>INJURIES</vt:lpstr>
      <vt:lpstr>INJURY</vt:lpstr>
      <vt:lpstr>INJURYs</vt:lpstr>
      <vt:lpstr>LESION</vt:lpstr>
      <vt:lpstr>LESIONes</vt:lpstr>
      <vt:lpstr>LESIONESS</vt:lpstr>
      <vt:lpstr>Lizardman</vt:lpstr>
      <vt:lpstr>LustrianSuperleague</vt:lpstr>
      <vt:lpstr>LustrianSuperleagueOldWorldClassic</vt:lpstr>
      <vt:lpstr>Necromantic</vt:lpstr>
      <vt:lpstr>Norse</vt:lpstr>
      <vt:lpstr>Nurgle</vt:lpstr>
      <vt:lpstr>Ogre</vt:lpstr>
      <vt:lpstr>OldWorldAlliance</vt:lpstr>
      <vt:lpstr>OldWorldClassic</vt:lpstr>
      <vt:lpstr>OldWorldClassicWorldsEdgeSuperleague</vt:lpstr>
      <vt:lpstr>Orc</vt:lpstr>
      <vt:lpstr>PERSONAL_INFAME</vt:lpstr>
      <vt:lpstr>PERSONALINFAME</vt:lpstr>
      <vt:lpstr>RACIAL_INDUCEMENT</vt:lpstr>
      <vt:lpstr>RACIALINDUCEMENT</vt:lpstr>
      <vt:lpstr>ShamblingUndead</vt:lpstr>
      <vt:lpstr>Skaven</vt:lpstr>
      <vt:lpstr>Slann</vt:lpstr>
      <vt:lpstr>Snotling</vt:lpstr>
      <vt:lpstr>SPECIALPLAYCARDS</vt:lpstr>
      <vt:lpstr>SylvanianSpotlight</vt:lpstr>
      <vt:lpstr>TombKing</vt:lpstr>
      <vt:lpstr>UnderworldChallenge</vt:lpstr>
      <vt:lpstr>UnderworldDenizens</vt:lpstr>
      <vt:lpstr>valorequipo</vt:lpstr>
      <vt:lpstr>Vampire</vt:lpstr>
      <vt:lpstr>WoodElf</vt:lpstr>
      <vt:lpstr>WorldsEdgeSuperleague</vt:lpstr>
      <vt:lpstr>Games!Z_000DFA95_C5ED_4E25_B049_8595AFF84C6A_.wvu.Cols</vt:lpstr>
      <vt:lpstr>'Dead &amp; Retired Players'!Z_000DFA95_C5ED_4E25_B049_8595AFF84C6A_.wvu.PrintArea</vt:lpstr>
      <vt:lpstr>Roster!Z_000DFA95_C5ED_4E25_B049_8595AFF84C6A_.wvu.PrintArea</vt:lpstr>
      <vt:lpstr>Games!Z_321F642C_C9F4_43AA_AD98_F704A19C5B24_.wvu.Cols</vt:lpstr>
      <vt:lpstr>'Dead &amp; Retired Players'!Z_321F642C_C9F4_43AA_AD98_F704A19C5B24_.wvu.PrintArea</vt:lpstr>
      <vt:lpstr>Roster!Z_321F642C_C9F4_43AA_AD98_F704A19C5B24_.wvu.PrintArea</vt:lpstr>
      <vt:lpstr>Games!Z_B1FCC566_F3B8_4120_9959_D3488490C2B3_.wvu.Cols</vt:lpstr>
      <vt:lpstr>'Dead &amp; Retired Players'!Z_B1FCC566_F3B8_4120_9959_D3488490C2B3_.wvu.PrintArea</vt:lpstr>
      <vt:lpstr>Roster!Z_B1FCC566_F3B8_4120_9959_D3488490C2B3_.wvu.PrintArea</vt:lpstr>
      <vt:lpstr>Games!Z_D9D0E8AE_A23E_48A5_872D_2FD66A335355_.wvu.Cols</vt:lpstr>
      <vt:lpstr>'Dead &amp; Retired Players'!Z_D9D0E8AE_A23E_48A5_872D_2FD66A335355_.wvu.PrintArea</vt:lpstr>
      <vt:lpstr>Roster!Z_D9D0E8AE_A23E_48A5_872D_2FD66A335355_.wvu.PrintArea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Utente</cp:lastModifiedBy>
  <dcterms:modified xsi:type="dcterms:W3CDTF">2022-06-05T18:37:14Z</dcterms:modified>
</cp:coreProperties>
</file>