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Documenti\Personal\Teo\Giochi\Games Workshop\Blood Bowl\League\LBBL\League\www\downloads\seasons\2025\"/>
    </mc:Choice>
  </mc:AlternateContent>
  <xr:revisionPtr revIDLastSave="0" documentId="13_ncr:1_{C819F2A0-A345-4A9D-ABD9-1B96CEA00E36}" xr6:coauthVersionLast="47" xr6:coauthVersionMax="47" xr10:uidLastSave="{00000000-0000-0000-0000-000000000000}"/>
  <workbookProtection workbookAlgorithmName="SHA-512" workbookHashValue="r/45hkHzrr23oHMozW+oL5LFSNbwX8Lhu0/NNF/f1q8Z+bi0RKiYtjEijoTb18xiq1WqfuCu+dAQ9yN29vFjZQ==" workbookSaltValue="A89be1QFVtRhZobx0Y0lmw==" workbookSpinCount="100000" lockStructure="1"/>
  <bookViews>
    <workbookView xWindow="-120" yWindow="-120" windowWidth="29040" windowHeight="15720" tabRatio="795" activeTab="1" xr2:uid="{00000000-000D-0000-FFFF-FFFF00000000}"/>
  </bookViews>
  <sheets>
    <sheet name="About" sheetId="1" r:id="rId1"/>
    <sheet name="Roster" sheetId="2" r:id="rId2"/>
    <sheet name="Games" sheetId="3" r:id="rId3"/>
    <sheet name="Dead &amp; Retired Players" sheetId="4" r:id="rId4"/>
    <sheet name="Mercenaries" sheetId="9" r:id="rId5"/>
    <sheet name="Team Cards" sheetId="5" r:id="rId6"/>
    <sheet name="Team Cards B&amp;W Print" sheetId="6" r:id="rId7"/>
    <sheet name="Teams" sheetId="7" state="hidden" r:id="rId8"/>
    <sheet name="StarPlayers" sheetId="8" state="hidden" r:id="rId9"/>
  </sheets>
  <definedNames>
    <definedName name="Amazon">Teams!$C$2:$C$7</definedName>
    <definedName name="BadlandsBrawl">StarPlayers!$E$94:$E$101</definedName>
    <definedName name="BadlandsBrawlOldWorldClassic">StarPlayers!$N$94:$N$109</definedName>
    <definedName name="BadlandsBrawlUnderworldChallenge">StarPlayers!$Q$94:$Q$104</definedName>
    <definedName name="BlackOrc">Teams!$C$14:$C$18</definedName>
    <definedName name="CARNE">Roster!$Q$64:$Q$72</definedName>
    <definedName name="CARTASDEJUEGO">Roster!$BD$104:$BD$110</definedName>
    <definedName name="ChaosChosen">Teams!$C$24:$C$30</definedName>
    <definedName name="ChaosDwarf">Teams!$C$31:$C$36</definedName>
    <definedName name="ChaosRenegades">Teams!$C$45:$C$56</definedName>
    <definedName name="DaemonsofKhorne">Teams!#REF!</definedName>
    <definedName name="DarkElf">Teams!$C$57:$C$63</definedName>
    <definedName name="Dwarf">Teams!$C$64:$C$70</definedName>
    <definedName name="ElvenKingdomsLeague">StarPlayers!$J$94:$J$106</definedName>
    <definedName name="ElvenUnion">Teams!$C$71:$C$76</definedName>
    <definedName name="ENGLISH">Roster!$BN$3:$BN$34</definedName>
    <definedName name="Español">Roster!$BN$3:$BN$34</definedName>
    <definedName name="ESSS">Roster!$BA$65:$BA$74</definedName>
    <definedName name="FavouredOf">StarPlayers!$K$94:$K$106</definedName>
    <definedName name="FavouredOfWorldsEdgeSuperleagueBadlandsBrawl">StarPlayers!$S$94:$S$112</definedName>
    <definedName name="Goblin">Teams!$C$77:$C$86</definedName>
    <definedName name="Halfling">Teams!$C$94:$C$99</definedName>
    <definedName name="HalflingThimbleCup">StarPlayers!$G$94:$G$105</definedName>
    <definedName name="HalflingThimbleCupOldWorldClassic">StarPlayers!$P$94:$P$107</definedName>
    <definedName name="HighElf">Teams!$C$100:$C$105</definedName>
    <definedName name="Human">Teams!$C$106:$C$113</definedName>
    <definedName name="ImperialNobility">Teams!$C$114:$C$120</definedName>
    <definedName name="INCENTIVOS_DE_RAZA">Roster!$BB$104:$BB$110</definedName>
    <definedName name="INCENTIVOSDERAZA">Roster!$BB$104:$BB$110</definedName>
    <definedName name="INFAMOUSSTAFF">Roster!$AZ$97:$AZ$103</definedName>
    <definedName name="INJURIES">Roster!$BG$65:$BG$69</definedName>
    <definedName name="INJURY">Roster!$Q$64:$Q$72</definedName>
    <definedName name="INJURYs">Roster!$Q$64:$Q$72</definedName>
    <definedName name="LESION">Roster!$BA$65:$BA$74</definedName>
    <definedName name="LESIONes">Roster!$BA$65:$BA$74</definedName>
    <definedName name="LESIONESS">Roster!$BI$63:$BI$68</definedName>
    <definedName name="Lizardman">Teams!$C$127:$C$132</definedName>
    <definedName name="LustrianSuperleague">StarPlayers!$M$94:$M$103</definedName>
    <definedName name="LustrianSuperleagueOldWorldClassic">StarPlayers!$O$94:$O$108</definedName>
    <definedName name="Necromantic">Teams!$C$133:$C$140</definedName>
    <definedName name="Norse">Teams!$C$141:$C$148</definedName>
    <definedName name="Nurgle">Teams!$C$157:$C$162</definedName>
    <definedName name="Ogre">Teams!$C$163:$C$167</definedName>
    <definedName name="OldWorldAlliance">Teams!$C$168:$C$180</definedName>
    <definedName name="OldWorldClassic">StarPlayers!$H$94:$H$107</definedName>
    <definedName name="OldWorldClassicWorldsEdgeSuperleague">StarPlayers!$R$94:$R$108</definedName>
    <definedName name="Orc">Teams!$C$181:$C$188</definedName>
    <definedName name="PERSONAL_INFAME">Roster!$AZ$104:$AZ$110</definedName>
    <definedName name="PERSONALINFAME">Roster!$AZ$104:$AZ$110</definedName>
    <definedName name="RACIAL_INDUCEMENT">Roster!$BB$97:$BB$103</definedName>
    <definedName name="RACIALINDUCEMENT">Roster!$BB$97:$BB$103</definedName>
    <definedName name="ShamblingUndead">Teams!$C$189:$C$197</definedName>
    <definedName name="Skaven">Teams!$C$204:$C$210</definedName>
    <definedName name="Slann">Teams!$C$198:$C$203</definedName>
    <definedName name="Snotling">Teams!$C$217:$C$224</definedName>
    <definedName name="SPECIALPLAYCARDS">Roster!$BD$97:$BD$103</definedName>
    <definedName name="SylvanianSpotlight">StarPlayers!$L$94:$L$103</definedName>
    <definedName name="TombKing">Teams!$C$211:$C$216</definedName>
    <definedName name="UnderworldChallenge">StarPlayers!$F$94:$F$104</definedName>
    <definedName name="UnderworldDenizens">Teams!$C$225:$C$234</definedName>
    <definedName name="valorequipo">Roster!$AS$71:$AS$171</definedName>
    <definedName name="Vampire">Teams!$C$235:$C$238</definedName>
    <definedName name="WoodElf">Teams!$C$239:$C$245</definedName>
    <definedName name="WorldsEdgeSuperleague">StarPlayers!$I$94:$I$102</definedName>
    <definedName name="Z_000DFA95_C5ED_4E25_B049_8595AFF84C6A_.wvu.Cols" localSheetId="3">#REF!</definedName>
    <definedName name="Z_000DFA95_C5ED_4E25_B049_8595AFF84C6A_.wvu.PrintArea" localSheetId="3">'Dead &amp; Retired Players'!$A$2:$AK$32</definedName>
    <definedName name="Z_000DFA95_C5ED_4E25_B049_8595AFF84C6A_.wvu.PrintArea" localSheetId="1">Roster!$A$1:$AP$32</definedName>
    <definedName name="Z_000DFA95_C5ED_4E25_B049_8595AFF84C6A_.wvu.Rows" localSheetId="3">#REF!</definedName>
    <definedName name="Z_321F642C_C9F4_43AA_AD98_F704A19C5B24_.wvu.Cols" localSheetId="3">#REF!</definedName>
    <definedName name="Z_321F642C_C9F4_43AA_AD98_F704A19C5B24_.wvu.PrintArea" localSheetId="3">'Dead &amp; Retired Players'!$A$2:$AK$32</definedName>
    <definedName name="Z_321F642C_C9F4_43AA_AD98_F704A19C5B24_.wvu.PrintArea" localSheetId="1">Roster!$A$1:$AP$32</definedName>
    <definedName name="Z_321F642C_C9F4_43AA_AD98_F704A19C5B24_.wvu.Rows" localSheetId="3">#REF!</definedName>
    <definedName name="Z_B1FCC566_F3B8_4120_9959_D3488490C2B3_.wvu.Cols" localSheetId="3">#REF!</definedName>
    <definedName name="Z_B1FCC566_F3B8_4120_9959_D3488490C2B3_.wvu.PrintArea" localSheetId="3">'Dead &amp; Retired Players'!$A$2:$AK$32</definedName>
    <definedName name="Z_B1FCC566_F3B8_4120_9959_D3488490C2B3_.wvu.PrintArea" localSheetId="1">Roster!$A$1:$AP$32</definedName>
    <definedName name="Z_B1FCC566_F3B8_4120_9959_D3488490C2B3_.wvu.Rows" localSheetId="3">#REF!</definedName>
    <definedName name="Z_D9D0E8AE_A23E_48A5_872D_2FD66A335355_.wvu.Cols" localSheetId="3">#REF!</definedName>
    <definedName name="Z_D9D0E8AE_A23E_48A5_872D_2FD66A335355_.wvu.PrintArea" localSheetId="3">'Dead &amp; Retired Players'!$A$2:$AK$32</definedName>
    <definedName name="Z_D9D0E8AE_A23E_48A5_872D_2FD66A335355_.wvu.PrintArea" localSheetId="1">Roster!$A$1:$AP$32</definedName>
    <definedName name="Z_D9D0E8AE_A23E_48A5_872D_2FD66A335355_.wvu.Rows" localSheetId="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2" roundtripDataSignature="AMtx7mhVcyteUjwm+L/eDXguRbGI/fG/rQ=="/>
    </ext>
  </extLst>
</workbook>
</file>

<file path=xl/calcChain.xml><?xml version="1.0" encoding="utf-8"?>
<calcChain xmlns="http://schemas.openxmlformats.org/spreadsheetml/2006/main">
  <c r="J18" i="7" l="1"/>
  <c r="J19" i="7"/>
  <c r="J20" i="7"/>
  <c r="J21" i="7"/>
  <c r="J22" i="7"/>
  <c r="J23" i="7"/>
  <c r="J24" i="7"/>
  <c r="J25" i="7"/>
  <c r="J26" i="7"/>
  <c r="J27" i="7"/>
  <c r="A33" i="2" l="1"/>
  <c r="BT8" i="2"/>
  <c r="BT9" i="2"/>
  <c r="BN7" i="2"/>
  <c r="BN8" i="2"/>
  <c r="BN9" i="2"/>
  <c r="BN10" i="2"/>
  <c r="BN11" i="2"/>
  <c r="BN12" i="2"/>
  <c r="BN13" i="2"/>
  <c r="BN14" i="2"/>
  <c r="BN15" i="2"/>
  <c r="BN16" i="2"/>
  <c r="BN17" i="2"/>
  <c r="BN18" i="2"/>
  <c r="BN19" i="2"/>
  <c r="BN20" i="2"/>
  <c r="BN21" i="2"/>
  <c r="BN22" i="2"/>
  <c r="BN23" i="2"/>
  <c r="BN24" i="2"/>
  <c r="BN25" i="2"/>
  <c r="BN26" i="2"/>
  <c r="BN27" i="2"/>
  <c r="BN28" i="2"/>
  <c r="BN29" i="2"/>
  <c r="BN30" i="2"/>
  <c r="BN31" i="2"/>
  <c r="BN32" i="2"/>
  <c r="BN33" i="2"/>
  <c r="BN34" i="2"/>
  <c r="BN35" i="2"/>
  <c r="BN36" i="2"/>
  <c r="BN6" i="2"/>
  <c r="C130" i="8"/>
  <c r="H61" i="8"/>
  <c r="I61" i="8"/>
  <c r="H62" i="8"/>
  <c r="I62" i="8"/>
  <c r="H63" i="8"/>
  <c r="I63" i="8"/>
  <c r="H64" i="8"/>
  <c r="L37" i="7"/>
  <c r="L38" i="7"/>
  <c r="L39" i="7"/>
  <c r="L40" i="7"/>
  <c r="L41" i="7"/>
  <c r="L42" i="7"/>
  <c r="L43" i="7"/>
  <c r="L45" i="7"/>
  <c r="L46" i="7"/>
  <c r="J37" i="7"/>
  <c r="J38" i="7"/>
  <c r="J39" i="7"/>
  <c r="J40" i="7"/>
  <c r="J41" i="7"/>
  <c r="J42" i="7"/>
  <c r="J43" i="7"/>
  <c r="J44" i="7"/>
  <c r="J45" i="7"/>
  <c r="J46" i="7"/>
  <c r="J47" i="7"/>
  <c r="B37" i="7"/>
  <c r="B38" i="7"/>
  <c r="B39" i="7"/>
  <c r="B40" i="7"/>
  <c r="B41" i="7"/>
  <c r="B42" i="7"/>
  <c r="B43" i="7"/>
  <c r="B44" i="7"/>
  <c r="B45" i="7"/>
  <c r="BN4" i="2"/>
  <c r="BN5" i="2"/>
  <c r="BN3" i="2"/>
  <c r="BT36" i="2"/>
  <c r="BT35" i="2"/>
  <c r="BT34" i="2"/>
  <c r="BT33" i="2"/>
  <c r="BT32" i="2"/>
  <c r="BT31" i="2"/>
  <c r="BT30" i="2"/>
  <c r="BT29" i="2"/>
  <c r="BT28" i="2"/>
  <c r="BT27" i="2"/>
  <c r="BT26" i="2"/>
  <c r="BT25" i="2"/>
  <c r="BT24" i="2"/>
  <c r="BT23" i="2"/>
  <c r="BT22" i="2"/>
  <c r="BT21" i="2"/>
  <c r="BT20" i="2"/>
  <c r="BT19" i="2"/>
  <c r="BT18" i="2"/>
  <c r="BT17" i="2"/>
  <c r="BT16" i="2"/>
  <c r="BT15" i="2"/>
  <c r="BT14" i="2"/>
  <c r="BT13" i="2"/>
  <c r="BT12" i="2"/>
  <c r="BT11" i="2"/>
  <c r="BT10" i="2"/>
  <c r="BT7" i="2"/>
  <c r="BT6" i="2"/>
  <c r="C19" i="7"/>
  <c r="D19" i="7" s="1"/>
  <c r="C24" i="7"/>
  <c r="D23" i="7"/>
  <c r="B23" i="7"/>
  <c r="L22" i="7"/>
  <c r="D22" i="7"/>
  <c r="B22" i="7"/>
  <c r="L21" i="7"/>
  <c r="D21" i="7"/>
  <c r="B21" i="7"/>
  <c r="L20" i="7"/>
  <c r="D20" i="7"/>
  <c r="B20" i="7"/>
  <c r="L19" i="7"/>
  <c r="B19" i="7"/>
  <c r="BL41" i="2"/>
  <c r="BM41" i="2"/>
  <c r="BN41" i="2"/>
  <c r="BO41" i="2"/>
  <c r="BP41" i="2"/>
  <c r="BQ41" i="2"/>
  <c r="BL42" i="2"/>
  <c r="BM42" i="2"/>
  <c r="BN42" i="2"/>
  <c r="BO42" i="2"/>
  <c r="BP42" i="2"/>
  <c r="BQ42" i="2"/>
  <c r="BL43" i="2"/>
  <c r="BM43" i="2"/>
  <c r="BN43" i="2"/>
  <c r="BO43" i="2"/>
  <c r="BP43" i="2"/>
  <c r="BQ43" i="2"/>
  <c r="BL44" i="2"/>
  <c r="BM44" i="2"/>
  <c r="BN44" i="2"/>
  <c r="BO44" i="2"/>
  <c r="BP44" i="2"/>
  <c r="BQ44" i="2"/>
  <c r="BL45" i="2"/>
  <c r="BM45" i="2"/>
  <c r="BN45" i="2"/>
  <c r="BO45" i="2"/>
  <c r="BP45" i="2"/>
  <c r="BQ45" i="2"/>
  <c r="BL46" i="2"/>
  <c r="BM46" i="2"/>
  <c r="BN46" i="2"/>
  <c r="BO46" i="2"/>
  <c r="BP46" i="2"/>
  <c r="BQ46" i="2"/>
  <c r="BL47" i="2"/>
  <c r="BM47" i="2"/>
  <c r="BN47" i="2"/>
  <c r="BO47" i="2"/>
  <c r="BP47" i="2"/>
  <c r="BQ47" i="2"/>
  <c r="BL48" i="2"/>
  <c r="BM48" i="2"/>
  <c r="BN48" i="2"/>
  <c r="BO48" i="2"/>
  <c r="BP48" i="2"/>
  <c r="BQ48" i="2"/>
  <c r="BL49" i="2"/>
  <c r="BM49" i="2"/>
  <c r="BN49" i="2"/>
  <c r="BO49" i="2"/>
  <c r="BP49" i="2"/>
  <c r="BQ49" i="2"/>
  <c r="BL50" i="2"/>
  <c r="BM50" i="2"/>
  <c r="BN50" i="2"/>
  <c r="BO50" i="2"/>
  <c r="BP50" i="2"/>
  <c r="BQ50" i="2"/>
  <c r="BL51" i="2"/>
  <c r="BM51" i="2"/>
  <c r="BN51" i="2"/>
  <c r="BO51" i="2"/>
  <c r="BP51" i="2"/>
  <c r="BQ51" i="2"/>
  <c r="BL52" i="2"/>
  <c r="BM52" i="2"/>
  <c r="BN52" i="2"/>
  <c r="BO52" i="2"/>
  <c r="BP52" i="2"/>
  <c r="BQ52" i="2"/>
  <c r="BL53" i="2"/>
  <c r="BM53" i="2"/>
  <c r="BN53" i="2"/>
  <c r="BO53" i="2"/>
  <c r="BP53" i="2"/>
  <c r="BQ53" i="2"/>
  <c r="BL54" i="2"/>
  <c r="BM54" i="2"/>
  <c r="BN54" i="2"/>
  <c r="BO54" i="2"/>
  <c r="BP54" i="2"/>
  <c r="BQ54" i="2"/>
  <c r="BL55" i="2"/>
  <c r="BM55" i="2"/>
  <c r="BN55" i="2"/>
  <c r="BO55" i="2"/>
  <c r="BP55" i="2"/>
  <c r="BQ55" i="2"/>
  <c r="BQ40" i="2"/>
  <c r="BP40" i="2"/>
  <c r="BO40" i="2"/>
  <c r="BN40" i="2"/>
  <c r="BM40" i="2"/>
  <c r="BL40" i="2"/>
  <c r="CB146" i="2"/>
  <c r="CC146" i="2"/>
  <c r="CB142" i="2"/>
  <c r="CC142" i="2"/>
  <c r="CB143" i="2"/>
  <c r="CC143" i="2"/>
  <c r="CB144" i="2"/>
  <c r="CC144" i="2"/>
  <c r="CB145" i="2"/>
  <c r="CC145" i="2"/>
  <c r="CC141" i="2"/>
  <c r="CB141" i="2"/>
  <c r="CC140" i="2"/>
  <c r="CB140" i="2"/>
  <c r="CC139" i="2"/>
  <c r="CB139" i="2"/>
  <c r="CC138" i="2"/>
  <c r="CB138" i="2"/>
  <c r="CC137" i="2"/>
  <c r="CB137" i="2"/>
  <c r="CC136" i="2"/>
  <c r="CB136" i="2"/>
  <c r="CC135" i="2"/>
  <c r="CB135" i="2"/>
  <c r="CC134" i="2"/>
  <c r="CB134" i="2"/>
  <c r="CC133" i="2"/>
  <c r="CB133" i="2"/>
  <c r="CC132" i="2"/>
  <c r="CB132" i="2"/>
  <c r="CC131" i="2"/>
  <c r="CB131" i="2"/>
  <c r="CC130" i="2"/>
  <c r="CB130" i="2"/>
  <c r="CC129" i="2"/>
  <c r="CB129" i="2"/>
  <c r="CC128" i="2"/>
  <c r="CB128" i="2"/>
  <c r="CC127" i="2"/>
  <c r="CB127" i="2"/>
  <c r="CC126" i="2"/>
  <c r="CB126" i="2"/>
  <c r="CC125" i="2"/>
  <c r="CB125" i="2"/>
  <c r="CC124" i="2"/>
  <c r="CB124" i="2"/>
  <c r="CC123" i="2"/>
  <c r="CB123" i="2"/>
  <c r="CC122" i="2"/>
  <c r="CB122" i="2"/>
  <c r="CC121" i="2"/>
  <c r="CB121" i="2"/>
  <c r="CC120" i="2"/>
  <c r="CB120" i="2"/>
  <c r="CC119" i="2"/>
  <c r="CB119" i="2"/>
  <c r="CC118" i="2"/>
  <c r="CB118" i="2"/>
  <c r="CC117" i="2"/>
  <c r="CB117" i="2"/>
  <c r="CC116" i="2"/>
  <c r="CB116" i="2"/>
  <c r="CC115" i="2"/>
  <c r="CB115" i="2"/>
  <c r="CC114" i="2"/>
  <c r="CB114" i="2"/>
  <c r="CC113" i="2"/>
  <c r="CB113" i="2"/>
  <c r="CC112" i="2"/>
  <c r="CB112" i="2"/>
  <c r="CC111" i="2"/>
  <c r="CB111" i="2"/>
  <c r="CC110" i="2"/>
  <c r="CB110" i="2"/>
  <c r="CC109" i="2"/>
  <c r="CB109" i="2"/>
  <c r="CC108" i="2"/>
  <c r="CB108" i="2"/>
  <c r="CC107" i="2"/>
  <c r="CB107" i="2"/>
  <c r="CC106" i="2"/>
  <c r="CB106" i="2"/>
  <c r="CC105" i="2"/>
  <c r="CB105" i="2"/>
  <c r="CC104" i="2"/>
  <c r="CB104" i="2"/>
  <c r="CC103" i="2"/>
  <c r="CB103" i="2"/>
  <c r="CC102" i="2"/>
  <c r="CB102" i="2"/>
  <c r="CC101" i="2"/>
  <c r="CB101" i="2"/>
  <c r="CC100" i="2"/>
  <c r="CB100" i="2"/>
  <c r="CC99" i="2"/>
  <c r="CB99" i="2"/>
  <c r="CC98" i="2"/>
  <c r="CB98" i="2"/>
  <c r="CC97" i="2"/>
  <c r="CB97" i="2"/>
  <c r="CC96" i="2"/>
  <c r="CB96" i="2"/>
  <c r="CC95" i="2"/>
  <c r="CB95" i="2"/>
  <c r="CC94" i="2"/>
  <c r="CB94" i="2"/>
  <c r="CC93" i="2"/>
  <c r="CB93" i="2"/>
  <c r="CC92" i="2"/>
  <c r="CB92" i="2"/>
  <c r="CC91" i="2"/>
  <c r="CB91" i="2"/>
  <c r="CC90" i="2"/>
  <c r="CB90" i="2"/>
  <c r="CC89" i="2"/>
  <c r="CB89" i="2"/>
  <c r="CC88" i="2"/>
  <c r="CB88" i="2"/>
  <c r="CC87" i="2"/>
  <c r="CB87" i="2"/>
  <c r="CC86" i="2"/>
  <c r="CB86" i="2"/>
  <c r="CC85" i="2"/>
  <c r="CB85" i="2"/>
  <c r="CC84" i="2"/>
  <c r="CB84" i="2"/>
  <c r="CB83" i="2"/>
  <c r="CB82" i="2"/>
  <c r="CB81" i="2"/>
  <c r="CB80" i="2"/>
  <c r="CB79" i="2"/>
  <c r="CB78" i="2"/>
  <c r="CB77" i="2"/>
  <c r="CB76" i="2"/>
  <c r="CB75" i="2"/>
  <c r="CB74" i="2"/>
  <c r="CB73" i="2"/>
  <c r="CB72" i="2"/>
  <c r="CB71" i="2"/>
  <c r="CB70" i="2"/>
  <c r="CB69" i="2"/>
  <c r="CB68" i="2"/>
  <c r="CC67" i="2"/>
  <c r="CB67" i="2"/>
  <c r="BX66" i="2"/>
  <c r="H58" i="8"/>
  <c r="I58" i="8"/>
  <c r="H59" i="8"/>
  <c r="I59" i="8"/>
  <c r="H60" i="8"/>
  <c r="I60" i="8"/>
  <c r="T92" i="7"/>
  <c r="J93" i="7"/>
  <c r="B93" i="7"/>
  <c r="D93" i="7"/>
  <c r="L92" i="7"/>
  <c r="L91" i="7"/>
  <c r="L90" i="7"/>
  <c r="L89" i="7"/>
  <c r="L88" i="7"/>
  <c r="L87" i="7"/>
  <c r="J87" i="7"/>
  <c r="J88" i="7"/>
  <c r="J89" i="7"/>
  <c r="J90" i="7"/>
  <c r="J91" i="7"/>
  <c r="J92" i="7"/>
  <c r="D87" i="7"/>
  <c r="D88" i="7"/>
  <c r="D89" i="7"/>
  <c r="D90" i="7"/>
  <c r="D91" i="7"/>
  <c r="D92" i="7"/>
  <c r="B87" i="7"/>
  <c r="B88" i="7"/>
  <c r="B89" i="7"/>
  <c r="B90" i="7"/>
  <c r="B91" i="7"/>
  <c r="B92" i="7"/>
  <c r="J243" i="7"/>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4" i="8"/>
  <c r="BT95" i="2" l="1"/>
  <c r="BT90" i="2"/>
  <c r="F12" i="9"/>
  <c r="C10" i="9"/>
  <c r="C12" i="9"/>
  <c r="C36" i="9"/>
  <c r="C23" i="9"/>
  <c r="L38" i="9"/>
  <c r="I38" i="9"/>
  <c r="F38" i="9"/>
  <c r="C38" i="9"/>
  <c r="L25" i="9"/>
  <c r="I25" i="9"/>
  <c r="F25" i="9"/>
  <c r="C25" i="9"/>
  <c r="L12" i="9"/>
  <c r="I12" i="9"/>
  <c r="V5" i="9"/>
  <c r="C35" i="9"/>
  <c r="C22" i="9"/>
  <c r="C9" i="9"/>
  <c r="L165" i="7"/>
  <c r="L167" i="7"/>
  <c r="L168" i="7"/>
  <c r="L169" i="7"/>
  <c r="L170" i="7"/>
  <c r="L171" i="7"/>
  <c r="L172" i="7"/>
  <c r="L173" i="7"/>
  <c r="L174" i="7"/>
  <c r="L175" i="7"/>
  <c r="L176" i="7"/>
  <c r="L177" i="7"/>
  <c r="L178" i="7"/>
  <c r="L180" i="7"/>
  <c r="L181" i="7"/>
  <c r="L182" i="7"/>
  <c r="L183" i="7"/>
  <c r="L184" i="7"/>
  <c r="L185" i="7"/>
  <c r="L186" i="7"/>
  <c r="L188" i="7"/>
  <c r="L189" i="7"/>
  <c r="L190" i="7"/>
  <c r="L191" i="7"/>
  <c r="L192" i="7"/>
  <c r="L193" i="7"/>
  <c r="L194" i="7"/>
  <c r="L196" i="7"/>
  <c r="L197" i="7"/>
  <c r="L198" i="7"/>
  <c r="L199" i="7"/>
  <c r="L200" i="7"/>
  <c r="L202" i="7"/>
  <c r="L203" i="7"/>
  <c r="L204" i="7"/>
  <c r="L205" i="7"/>
  <c r="L206" i="7"/>
  <c r="L207" i="7"/>
  <c r="L209" i="7"/>
  <c r="L210" i="7"/>
  <c r="L211" i="7"/>
  <c r="L212" i="7"/>
  <c r="L213" i="7"/>
  <c r="L215" i="7"/>
  <c r="L217" i="7"/>
  <c r="L218" i="7"/>
  <c r="L219" i="7"/>
  <c r="L220" i="7"/>
  <c r="L221" i="7"/>
  <c r="L223" i="7"/>
  <c r="L224" i="7"/>
  <c r="L225" i="7"/>
  <c r="L226" i="7"/>
  <c r="L227" i="7"/>
  <c r="L228" i="7"/>
  <c r="L229" i="7"/>
  <c r="L230" i="7"/>
  <c r="L231" i="7"/>
  <c r="L233" i="7"/>
  <c r="L234" i="7"/>
  <c r="L235" i="7"/>
  <c r="L237" i="7"/>
  <c r="L238" i="7"/>
  <c r="L239" i="7"/>
  <c r="L240" i="7"/>
  <c r="L241" i="7"/>
  <c r="L242" i="7"/>
  <c r="L244" i="7"/>
  <c r="L245" i="7"/>
  <c r="L246" i="7"/>
  <c r="L247" i="7"/>
  <c r="L248" i="7"/>
  <c r="L249" i="7"/>
  <c r="L3" i="7"/>
  <c r="L4" i="7"/>
  <c r="L5" i="7"/>
  <c r="L6" i="7"/>
  <c r="L8" i="7"/>
  <c r="L9" i="7"/>
  <c r="L10" i="7"/>
  <c r="L11" i="7"/>
  <c r="L12" i="7"/>
  <c r="L14" i="7"/>
  <c r="L15" i="7"/>
  <c r="L16" i="7"/>
  <c r="L17" i="7"/>
  <c r="L24" i="7"/>
  <c r="L25" i="7"/>
  <c r="L26" i="7"/>
  <c r="L27" i="7"/>
  <c r="L28" i="7"/>
  <c r="L29" i="7"/>
  <c r="L31" i="7"/>
  <c r="L32" i="7"/>
  <c r="L33" i="7"/>
  <c r="L34" i="7"/>
  <c r="L35" i="7"/>
  <c r="L47" i="7"/>
  <c r="L48" i="7"/>
  <c r="L49" i="7"/>
  <c r="L50" i="7"/>
  <c r="L51" i="7"/>
  <c r="L52" i="7"/>
  <c r="L53" i="7"/>
  <c r="L54" i="7"/>
  <c r="L55" i="7"/>
  <c r="L57" i="7"/>
  <c r="L58" i="7"/>
  <c r="L59" i="7"/>
  <c r="L60" i="7"/>
  <c r="L61" i="7"/>
  <c r="L62" i="7"/>
  <c r="L64" i="7"/>
  <c r="L65" i="7"/>
  <c r="L66" i="7"/>
  <c r="L67" i="7"/>
  <c r="L68" i="7"/>
  <c r="L69" i="7"/>
  <c r="L71" i="7"/>
  <c r="L72" i="7"/>
  <c r="L73" i="7"/>
  <c r="L74" i="7"/>
  <c r="L75" i="7"/>
  <c r="L77" i="7"/>
  <c r="L78" i="7"/>
  <c r="L79" i="7"/>
  <c r="L80" i="7"/>
  <c r="L81" i="7"/>
  <c r="L82" i="7"/>
  <c r="L83" i="7"/>
  <c r="L84" i="7"/>
  <c r="L85" i="7"/>
  <c r="L94" i="7"/>
  <c r="L95" i="7"/>
  <c r="L96" i="7"/>
  <c r="L97" i="7"/>
  <c r="L98" i="7"/>
  <c r="L100" i="7"/>
  <c r="L101" i="7"/>
  <c r="L102" i="7"/>
  <c r="L103" i="7"/>
  <c r="L104" i="7"/>
  <c r="L106" i="7"/>
  <c r="L107" i="7"/>
  <c r="L108" i="7"/>
  <c r="L109" i="7"/>
  <c r="L110" i="7"/>
  <c r="L111" i="7"/>
  <c r="L112" i="7"/>
  <c r="L114" i="7"/>
  <c r="L115" i="7"/>
  <c r="L116" i="7"/>
  <c r="L117" i="7"/>
  <c r="L118" i="7"/>
  <c r="L119" i="7"/>
  <c r="L121" i="7"/>
  <c r="L122" i="7"/>
  <c r="L123" i="7"/>
  <c r="L124" i="7"/>
  <c r="L125" i="7"/>
  <c r="L127" i="7"/>
  <c r="L128" i="7"/>
  <c r="L129" i="7"/>
  <c r="L130" i="7"/>
  <c r="L131" i="7"/>
  <c r="L133" i="7"/>
  <c r="L134" i="7"/>
  <c r="L135" i="7"/>
  <c r="L136" i="7"/>
  <c r="L137" i="7"/>
  <c r="L138" i="7"/>
  <c r="L140" i="7"/>
  <c r="L141" i="7"/>
  <c r="L142" i="7"/>
  <c r="L143" i="7"/>
  <c r="L144" i="7"/>
  <c r="L145" i="7"/>
  <c r="L146" i="7"/>
  <c r="L148" i="7"/>
  <c r="L149" i="7"/>
  <c r="L150" i="7"/>
  <c r="L151" i="7"/>
  <c r="L152" i="7"/>
  <c r="L153" i="7"/>
  <c r="L154" i="7"/>
  <c r="L156" i="7"/>
  <c r="L157" i="7"/>
  <c r="L158" i="7"/>
  <c r="L159" i="7"/>
  <c r="L160" i="7"/>
  <c r="L162" i="7"/>
  <c r="L164" i="7"/>
  <c r="A1" i="9" l="1"/>
  <c r="B67" i="8"/>
  <c r="B66" i="8"/>
  <c r="B65" i="8"/>
  <c r="BP68" i="2"/>
  <c r="Y245" i="7"/>
  <c r="X245" i="7"/>
  <c r="W245" i="7"/>
  <c r="V245" i="7"/>
  <c r="U245" i="7"/>
  <c r="J245" i="7" s="1"/>
  <c r="Y243" i="7"/>
  <c r="Y238" i="7"/>
  <c r="X238" i="7"/>
  <c r="W238" i="7"/>
  <c r="V238" i="7"/>
  <c r="U238" i="7"/>
  <c r="Y234" i="7"/>
  <c r="X234" i="7"/>
  <c r="W234" i="7"/>
  <c r="V234" i="7"/>
  <c r="U234" i="7"/>
  <c r="Y203" i="7"/>
  <c r="X203" i="7"/>
  <c r="W203" i="7"/>
  <c r="V203" i="7"/>
  <c r="U203" i="7"/>
  <c r="Y168" i="7"/>
  <c r="X168" i="7"/>
  <c r="W168" i="7"/>
  <c r="V168" i="7"/>
  <c r="U168" i="7"/>
  <c r="Y130" i="7"/>
  <c r="X130" i="7"/>
  <c r="W130" i="7"/>
  <c r="V130" i="7"/>
  <c r="U130" i="7"/>
  <c r="Y107" i="7"/>
  <c r="X107" i="7"/>
  <c r="W107" i="7"/>
  <c r="V107" i="7"/>
  <c r="U107" i="7"/>
  <c r="Y101" i="7"/>
  <c r="X101" i="7"/>
  <c r="W101" i="7"/>
  <c r="V101" i="7"/>
  <c r="U101" i="7"/>
  <c r="Y72" i="7"/>
  <c r="X72" i="7"/>
  <c r="W72" i="7"/>
  <c r="V72" i="7"/>
  <c r="U72" i="7"/>
  <c r="Y58" i="7"/>
  <c r="X58" i="7"/>
  <c r="W58" i="7"/>
  <c r="V58" i="7"/>
  <c r="U58" i="7"/>
  <c r="Y46" i="7"/>
  <c r="X46" i="7"/>
  <c r="W46" i="7"/>
  <c r="V46" i="7"/>
  <c r="U46" i="7"/>
  <c r="X32" i="7"/>
  <c r="W32" i="7"/>
  <c r="V32" i="7"/>
  <c r="U32" i="7"/>
  <c r="Y26" i="7"/>
  <c r="X26" i="7"/>
  <c r="W26" i="7"/>
  <c r="V26" i="7"/>
  <c r="U26" i="7"/>
  <c r="T246" i="7"/>
  <c r="T247" i="7"/>
  <c r="T248" i="7"/>
  <c r="T249" i="7"/>
  <c r="T250" i="7"/>
  <c r="N155" i="7"/>
  <c r="N154" i="7"/>
  <c r="N149" i="7"/>
  <c r="J238" i="7"/>
  <c r="J239" i="7"/>
  <c r="J240" i="7"/>
  <c r="J241" i="7"/>
  <c r="J242" i="7"/>
  <c r="J244" i="7"/>
  <c r="J246" i="7"/>
  <c r="J247" i="7"/>
  <c r="J248" i="7"/>
  <c r="J249" i="7"/>
  <c r="J250" i="7"/>
  <c r="D236" i="7"/>
  <c r="D237" i="7"/>
  <c r="D238" i="7"/>
  <c r="D239" i="7"/>
  <c r="D240" i="7"/>
  <c r="D241" i="7"/>
  <c r="D242" i="7"/>
  <c r="D243" i="7"/>
  <c r="D245" i="7"/>
  <c r="D246" i="7"/>
  <c r="D247" i="7"/>
  <c r="D248" i="7"/>
  <c r="D249" i="7"/>
  <c r="D250" i="7"/>
  <c r="B237" i="7"/>
  <c r="B238" i="7"/>
  <c r="B239" i="7"/>
  <c r="B240" i="7"/>
  <c r="B241" i="7"/>
  <c r="B242" i="7"/>
  <c r="B243" i="7"/>
  <c r="B244" i="7"/>
  <c r="B245" i="7"/>
  <c r="B246" i="7"/>
  <c r="B247" i="7"/>
  <c r="B248" i="7"/>
  <c r="B249" i="7"/>
  <c r="B250" i="7"/>
  <c r="B236" i="7"/>
  <c r="B3" i="7"/>
  <c r="B4" i="7"/>
  <c r="B5" i="7"/>
  <c r="B6" i="7"/>
  <c r="B7" i="7"/>
  <c r="B8" i="7"/>
  <c r="B9" i="7"/>
  <c r="B10" i="7"/>
  <c r="B11" i="7"/>
  <c r="B12" i="7"/>
  <c r="B13" i="7"/>
  <c r="B14" i="7"/>
  <c r="B15" i="7"/>
  <c r="B16" i="7"/>
  <c r="B17" i="7"/>
  <c r="B18" i="7"/>
  <c r="B24" i="7"/>
  <c r="B25" i="7"/>
  <c r="B26" i="7"/>
  <c r="B27" i="7"/>
  <c r="B28" i="7"/>
  <c r="B29" i="7"/>
  <c r="B30" i="7"/>
  <c r="B31" i="7"/>
  <c r="B32" i="7"/>
  <c r="B33" i="7"/>
  <c r="B34" i="7"/>
  <c r="B35" i="7"/>
  <c r="B36"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C244" i="7"/>
  <c r="D244" i="7" s="1"/>
  <c r="C233" i="7"/>
  <c r="C223" i="7"/>
  <c r="C215" i="7"/>
  <c r="C209" i="7"/>
  <c r="C202" i="7"/>
  <c r="C196" i="7"/>
  <c r="C188" i="7"/>
  <c r="C180" i="7"/>
  <c r="C167" i="7"/>
  <c r="C162" i="7"/>
  <c r="C156" i="7"/>
  <c r="C140" i="7"/>
  <c r="C133" i="7"/>
  <c r="C127" i="7"/>
  <c r="C114" i="7"/>
  <c r="C106" i="7"/>
  <c r="C100" i="7"/>
  <c r="C94" i="7"/>
  <c r="C77" i="7"/>
  <c r="C71" i="7"/>
  <c r="C64" i="7"/>
  <c r="C57" i="7"/>
  <c r="C45" i="7"/>
  <c r="C31" i="7"/>
  <c r="C14" i="7"/>
  <c r="C8" i="7"/>
  <c r="C2" i="7"/>
  <c r="C91" i="8"/>
  <c r="Z91" i="8"/>
  <c r="E92" i="8"/>
  <c r="F92" i="8"/>
  <c r="G92" i="8"/>
  <c r="H92" i="8"/>
  <c r="I92" i="8"/>
  <c r="J92" i="8"/>
  <c r="K92" i="8"/>
  <c r="L92" i="8"/>
  <c r="M92" i="8"/>
  <c r="N92" i="8"/>
  <c r="O92" i="8"/>
  <c r="P92" i="8"/>
  <c r="Q92" i="8"/>
  <c r="R92" i="8"/>
  <c r="S92" i="8"/>
  <c r="E102" i="8"/>
  <c r="I102" i="8"/>
  <c r="L102" i="8"/>
  <c r="E103" i="8"/>
  <c r="I103" i="8"/>
  <c r="L103" i="8"/>
  <c r="E104" i="8"/>
  <c r="I104" i="8"/>
  <c r="L104" i="8"/>
  <c r="E105" i="8"/>
  <c r="F105" i="8"/>
  <c r="I105" i="8"/>
  <c r="J105" i="8"/>
  <c r="L105" i="8"/>
  <c r="M105" i="8"/>
  <c r="Q105" i="8"/>
  <c r="E106" i="8"/>
  <c r="F106" i="8"/>
  <c r="I106" i="8"/>
  <c r="J106" i="8"/>
  <c r="L106" i="8"/>
  <c r="M106" i="8"/>
  <c r="Q106" i="8"/>
  <c r="E107" i="8"/>
  <c r="F107" i="8"/>
  <c r="I107" i="8"/>
  <c r="J107" i="8"/>
  <c r="L107" i="8"/>
  <c r="M107" i="8"/>
  <c r="Q107" i="8"/>
  <c r="E108" i="8"/>
  <c r="F108" i="8"/>
  <c r="I108" i="8"/>
  <c r="J108" i="8"/>
  <c r="K108" i="8"/>
  <c r="L108" i="8"/>
  <c r="M108" i="8"/>
  <c r="Q108" i="8"/>
  <c r="E109" i="8"/>
  <c r="F109" i="8"/>
  <c r="I109" i="8"/>
  <c r="J109" i="8"/>
  <c r="K109" i="8"/>
  <c r="L109" i="8"/>
  <c r="M109" i="8"/>
  <c r="Q109" i="8"/>
  <c r="E110" i="8"/>
  <c r="F110" i="8"/>
  <c r="G110" i="8"/>
  <c r="H110" i="8"/>
  <c r="I110" i="8"/>
  <c r="J110" i="8"/>
  <c r="K110" i="8"/>
  <c r="L110" i="8"/>
  <c r="M110" i="8"/>
  <c r="P110" i="8"/>
  <c r="Q110" i="8"/>
  <c r="E111" i="8"/>
  <c r="F111" i="8"/>
  <c r="G111" i="8"/>
  <c r="H111" i="8"/>
  <c r="I111" i="8"/>
  <c r="J111" i="8"/>
  <c r="K111" i="8"/>
  <c r="L111" i="8"/>
  <c r="M111" i="8"/>
  <c r="P111" i="8"/>
  <c r="Q111" i="8"/>
  <c r="R111" i="8"/>
  <c r="E112" i="8"/>
  <c r="F112" i="8"/>
  <c r="G112" i="8"/>
  <c r="H112" i="8"/>
  <c r="I112" i="8"/>
  <c r="J112" i="8"/>
  <c r="K112" i="8"/>
  <c r="L112" i="8"/>
  <c r="M112" i="8"/>
  <c r="P112" i="8"/>
  <c r="Q112" i="8"/>
  <c r="R112" i="8"/>
  <c r="R113" i="8"/>
  <c r="Q64" i="8"/>
  <c r="P64" i="8"/>
  <c r="O64" i="8"/>
  <c r="N64" i="8"/>
  <c r="M64" i="8"/>
  <c r="I64" i="8" s="1"/>
  <c r="BZ2" i="2" l="1"/>
  <c r="BT138" i="2"/>
  <c r="BU138" i="2"/>
  <c r="BV138" i="2"/>
  <c r="BW138" i="2"/>
  <c r="BX138" i="2"/>
  <c r="BY138" i="2"/>
  <c r="BZ138" i="2"/>
  <c r="CA138" i="2"/>
  <c r="BT139" i="2"/>
  <c r="BU139" i="2"/>
  <c r="BV139" i="2"/>
  <c r="BW139" i="2"/>
  <c r="BX139" i="2"/>
  <c r="BY139" i="2"/>
  <c r="BZ139" i="2"/>
  <c r="CA139" i="2"/>
  <c r="BT141" i="2"/>
  <c r="BU141" i="2"/>
  <c r="BV141" i="2"/>
  <c r="BW141" i="2"/>
  <c r="BX141" i="2"/>
  <c r="BY141" i="2"/>
  <c r="BZ141" i="2"/>
  <c r="CA141" i="2"/>
  <c r="BT142" i="2"/>
  <c r="BU142" i="2"/>
  <c r="BV142" i="2"/>
  <c r="BW142" i="2"/>
  <c r="BX142" i="2"/>
  <c r="BY142" i="2"/>
  <c r="BZ142" i="2"/>
  <c r="CA142" i="2"/>
  <c r="CD77" i="2" l="1"/>
  <c r="CD88" i="2"/>
  <c r="CD87" i="2"/>
  <c r="CD85" i="2"/>
  <c r="CD84" i="2"/>
  <c r="CD83" i="2"/>
  <c r="CD82" i="2"/>
  <c r="CD81" i="2"/>
  <c r="CD80" i="2"/>
  <c r="CD79" i="2"/>
  <c r="CD78" i="2"/>
  <c r="BX88" i="2"/>
  <c r="J9" i="7"/>
  <c r="J10" i="7"/>
  <c r="J11" i="7"/>
  <c r="J12" i="7"/>
  <c r="J13" i="7"/>
  <c r="D9" i="7"/>
  <c r="D10" i="7"/>
  <c r="D11" i="7"/>
  <c r="D12" i="7"/>
  <c r="D13" i="7"/>
  <c r="J8" i="7"/>
  <c r="D8" i="7"/>
  <c r="BT4" i="2"/>
  <c r="J148" i="7" l="1"/>
  <c r="J149" i="7"/>
  <c r="J150" i="7"/>
  <c r="J151" i="7"/>
  <c r="J152" i="7"/>
  <c r="J153" i="7"/>
  <c r="J154" i="7"/>
  <c r="J155" i="7"/>
  <c r="J156" i="7"/>
  <c r="J157" i="7"/>
  <c r="J158" i="7"/>
  <c r="J159" i="7"/>
  <c r="D156" i="7"/>
  <c r="D155" i="7"/>
  <c r="D154" i="7"/>
  <c r="D153" i="7"/>
  <c r="D152" i="7"/>
  <c r="D151" i="7"/>
  <c r="D150" i="7"/>
  <c r="D149" i="7"/>
  <c r="AK2" i="2"/>
  <c r="Y1" i="3"/>
  <c r="Y5" i="3"/>
  <c r="X5" i="3"/>
  <c r="Y2" i="3"/>
  <c r="Y3" i="3" s="1"/>
  <c r="AZ3" i="2"/>
  <c r="BA3" i="2"/>
  <c r="BB3" i="2"/>
  <c r="BC3" i="2"/>
  <c r="BD3" i="2"/>
  <c r="BF3" i="2"/>
  <c r="AZ4" i="2"/>
  <c r="BA4" i="2"/>
  <c r="BB4" i="2"/>
  <c r="BC4" i="2"/>
  <c r="BD4" i="2"/>
  <c r="BF4" i="2"/>
  <c r="AY5" i="2"/>
  <c r="AZ5" i="2"/>
  <c r="BA5" i="2"/>
  <c r="BB5" i="2"/>
  <c r="BC5" i="2"/>
  <c r="BD5" i="2"/>
  <c r="BF5" i="2"/>
  <c r="AY6" i="2"/>
  <c r="AZ6" i="2"/>
  <c r="BA6" i="2"/>
  <c r="BB6" i="2"/>
  <c r="BC6" i="2"/>
  <c r="BD6" i="2"/>
  <c r="BF6" i="2"/>
  <c r="AZ7" i="2"/>
  <c r="BA7" i="2"/>
  <c r="BB7" i="2"/>
  <c r="BC7" i="2"/>
  <c r="BD7" i="2"/>
  <c r="BF7" i="2"/>
  <c r="AY8" i="2"/>
  <c r="AZ8" i="2"/>
  <c r="BA8" i="2"/>
  <c r="BB8" i="2"/>
  <c r="BC8" i="2"/>
  <c r="BD8" i="2"/>
  <c r="BF8" i="2"/>
  <c r="AZ9" i="2"/>
  <c r="BA9" i="2"/>
  <c r="BB9" i="2"/>
  <c r="BC9" i="2"/>
  <c r="BD9" i="2"/>
  <c r="BF9" i="2"/>
  <c r="AY10" i="2"/>
  <c r="AZ10" i="2"/>
  <c r="BA10" i="2"/>
  <c r="BB10" i="2"/>
  <c r="BC10" i="2"/>
  <c r="BD10" i="2"/>
  <c r="BF10" i="2"/>
  <c r="AY11" i="2"/>
  <c r="AZ11" i="2"/>
  <c r="BA11" i="2"/>
  <c r="BB11" i="2"/>
  <c r="BC11" i="2"/>
  <c r="BD11" i="2"/>
  <c r="BF11" i="2"/>
  <c r="AY12" i="2"/>
  <c r="AZ12" i="2"/>
  <c r="BA12" i="2"/>
  <c r="BB12" i="2"/>
  <c r="BC12" i="2"/>
  <c r="BD12" i="2"/>
  <c r="BF12" i="2"/>
  <c r="AY13" i="2"/>
  <c r="AZ13" i="2"/>
  <c r="BA13" i="2"/>
  <c r="BB13" i="2"/>
  <c r="BC13" i="2"/>
  <c r="BD13" i="2"/>
  <c r="BF13" i="2"/>
  <c r="AY14" i="2"/>
  <c r="AZ14" i="2"/>
  <c r="BA14" i="2"/>
  <c r="BB14" i="2"/>
  <c r="BC14" i="2"/>
  <c r="BD14" i="2"/>
  <c r="BF14" i="2"/>
  <c r="AY15" i="2"/>
  <c r="AZ15" i="2"/>
  <c r="BA15" i="2"/>
  <c r="BB15" i="2"/>
  <c r="BC15" i="2"/>
  <c r="BD15" i="2"/>
  <c r="BF15" i="2"/>
  <c r="AY16" i="2"/>
  <c r="AZ16" i="2"/>
  <c r="BA16" i="2"/>
  <c r="BB16" i="2"/>
  <c r="BC16" i="2"/>
  <c r="BD16" i="2"/>
  <c r="BF16" i="2"/>
  <c r="AY17" i="2"/>
  <c r="AZ17" i="2"/>
  <c r="BA17" i="2"/>
  <c r="BB17" i="2"/>
  <c r="BC17" i="2"/>
  <c r="BD17" i="2"/>
  <c r="BF17" i="2"/>
  <c r="BF2" i="2"/>
  <c r="BD2" i="2"/>
  <c r="BC2" i="2"/>
  <c r="BB2" i="2"/>
  <c r="BA2" i="2"/>
  <c r="AZ2" i="2"/>
  <c r="AK1" i="2" l="1"/>
  <c r="D22" i="2"/>
  <c r="D24" i="2"/>
  <c r="D26" i="2"/>
  <c r="D27" i="2"/>
  <c r="D28" i="2"/>
  <c r="D29" i="2"/>
  <c r="O30" i="2"/>
  <c r="O29" i="2"/>
  <c r="D30" i="2"/>
  <c r="B7" i="3" l="1"/>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6" i="3"/>
  <c r="AK17" i="2"/>
  <c r="CA40" i="2"/>
  <c r="CB40" i="2"/>
  <c r="CC40" i="2"/>
  <c r="CD40" i="2"/>
  <c r="CE40" i="2"/>
  <c r="CF40" i="2"/>
  <c r="CA41" i="2"/>
  <c r="CB41" i="2"/>
  <c r="CC41" i="2"/>
  <c r="CD41" i="2"/>
  <c r="CE41" i="2"/>
  <c r="CF41" i="2"/>
  <c r="CA42" i="2"/>
  <c r="CB42" i="2"/>
  <c r="CC42" i="2"/>
  <c r="CD42" i="2"/>
  <c r="CE42" i="2"/>
  <c r="CF42" i="2"/>
  <c r="CA43" i="2"/>
  <c r="CB43" i="2"/>
  <c r="CC43" i="2"/>
  <c r="CD43" i="2"/>
  <c r="CE43" i="2"/>
  <c r="CF43" i="2"/>
  <c r="CA44" i="2"/>
  <c r="CB44" i="2"/>
  <c r="CC44" i="2"/>
  <c r="CD44" i="2"/>
  <c r="CE44" i="2"/>
  <c r="CF44" i="2"/>
  <c r="CA45" i="2"/>
  <c r="CB45" i="2"/>
  <c r="CC45" i="2"/>
  <c r="CD45" i="2"/>
  <c r="CE45" i="2"/>
  <c r="CF45" i="2"/>
  <c r="CA46" i="2"/>
  <c r="CB46" i="2"/>
  <c r="CC46" i="2"/>
  <c r="CD46" i="2"/>
  <c r="CE46" i="2"/>
  <c r="CF46" i="2"/>
  <c r="CA47" i="2"/>
  <c r="CB47" i="2"/>
  <c r="CC47" i="2"/>
  <c r="CD47" i="2"/>
  <c r="CE47" i="2"/>
  <c r="CF47" i="2"/>
  <c r="CA48" i="2"/>
  <c r="CB48" i="2"/>
  <c r="CC48" i="2"/>
  <c r="CD48" i="2"/>
  <c r="CE48" i="2"/>
  <c r="CF48" i="2"/>
  <c r="CA49" i="2"/>
  <c r="CB49" i="2"/>
  <c r="CC49" i="2"/>
  <c r="CD49" i="2"/>
  <c r="CE49" i="2"/>
  <c r="CF49" i="2"/>
  <c r="CA50" i="2"/>
  <c r="CB50" i="2"/>
  <c r="CC50" i="2"/>
  <c r="CD50" i="2"/>
  <c r="CE50" i="2"/>
  <c r="CF50" i="2"/>
  <c r="CA51" i="2"/>
  <c r="CB51" i="2"/>
  <c r="CC51" i="2"/>
  <c r="CD51" i="2"/>
  <c r="CE51" i="2"/>
  <c r="CF51" i="2"/>
  <c r="CA52" i="2"/>
  <c r="CB52" i="2"/>
  <c r="CC52" i="2"/>
  <c r="CD52" i="2"/>
  <c r="CE52" i="2"/>
  <c r="CF52" i="2"/>
  <c r="CA53" i="2"/>
  <c r="CB53" i="2"/>
  <c r="CC53" i="2"/>
  <c r="CD53" i="2"/>
  <c r="CE53" i="2"/>
  <c r="CF53" i="2"/>
  <c r="CA54" i="2"/>
  <c r="CB54" i="2"/>
  <c r="CC54" i="2"/>
  <c r="CD54" i="2"/>
  <c r="CE54" i="2"/>
  <c r="CF54" i="2"/>
  <c r="CF55" i="2"/>
  <c r="CE55" i="2"/>
  <c r="CD55" i="2"/>
  <c r="CC55" i="2"/>
  <c r="CB55" i="2"/>
  <c r="CA55" i="2"/>
  <c r="CO55" i="2"/>
  <c r="AB35" i="2"/>
  <c r="Z35" i="2"/>
  <c r="X35" i="2"/>
  <c r="V35" i="2"/>
  <c r="T35" i="2"/>
  <c r="R35" i="2"/>
  <c r="P35" i="2"/>
  <c r="N35" i="2"/>
  <c r="L35" i="2"/>
  <c r="H35" i="2"/>
  <c r="F35" i="2"/>
  <c r="D35" i="2"/>
  <c r="C35" i="2"/>
  <c r="CC2" i="2" l="1"/>
  <c r="CB2" i="2"/>
  <c r="CA2" i="2"/>
  <c r="AB5" i="3"/>
  <c r="U5" i="3"/>
  <c r="R5" i="3"/>
  <c r="I5" i="3"/>
  <c r="E5" i="3"/>
  <c r="D5" i="3"/>
  <c r="BP2" i="2" l="1"/>
  <c r="BQ61" i="2" s="1"/>
  <c r="BP1" i="2"/>
  <c r="BJ2" i="2" s="1"/>
  <c r="AA1" i="3"/>
  <c r="Z1" i="3"/>
  <c r="X1" i="3"/>
  <c r="U1" i="3"/>
  <c r="R1" i="3"/>
  <c r="I1" i="3"/>
  <c r="AA5" i="3"/>
  <c r="Z5" i="3"/>
  <c r="AB3" i="3"/>
  <c r="AB2" i="3"/>
  <c r="AB1" i="3"/>
  <c r="CH58" i="2" l="1"/>
  <c r="AC21" i="2"/>
  <c r="B20" i="2" l="1"/>
  <c r="B18" i="2"/>
  <c r="AW113" i="6"/>
  <c r="AW103" i="6"/>
  <c r="AV100" i="6"/>
  <c r="AV100" i="5"/>
  <c r="AW113" i="5"/>
  <c r="AW103" i="5"/>
  <c r="V23" i="9"/>
  <c r="V17" i="9"/>
  <c r="AV13" i="9"/>
  <c r="AV12" i="9"/>
  <c r="AV11" i="9"/>
  <c r="AV10" i="9"/>
  <c r="AV9" i="9"/>
  <c r="AV8" i="9"/>
  <c r="AV7" i="9"/>
  <c r="AV6" i="9"/>
  <c r="AV5" i="9"/>
  <c r="AV4" i="9"/>
  <c r="AV3" i="9"/>
  <c r="AV2" i="9"/>
  <c r="T54" i="7" l="1"/>
  <c r="W32" i="9"/>
  <c r="AS18" i="9"/>
  <c r="AP5" i="9"/>
  <c r="AT5" i="9"/>
  <c r="AS5" i="9"/>
  <c r="W8" i="9"/>
  <c r="A28" i="9"/>
  <c r="A15" i="9"/>
  <c r="A2" i="9"/>
  <c r="B19" i="2"/>
  <c r="H20" i="2"/>
  <c r="H18" i="2"/>
  <c r="H19" i="2"/>
  <c r="G29" i="9"/>
  <c r="G67" i="8" s="1"/>
  <c r="F29" i="9"/>
  <c r="F67" i="8" s="1"/>
  <c r="G16" i="9"/>
  <c r="G66" i="8" s="1"/>
  <c r="F16" i="9"/>
  <c r="F66" i="8" s="1"/>
  <c r="G3" i="9"/>
  <c r="G65" i="8" s="1"/>
  <c r="F3" i="9"/>
  <c r="F65" i="8" s="1"/>
  <c r="L36" i="9"/>
  <c r="L23" i="9"/>
  <c r="L10" i="9"/>
  <c r="F10" i="9"/>
  <c r="F23" i="9"/>
  <c r="F36" i="9"/>
  <c r="R8" i="9"/>
  <c r="R21" i="9"/>
  <c r="R34" i="9"/>
  <c r="AK34" i="9"/>
  <c r="AK21" i="9"/>
  <c r="AK8" i="9"/>
  <c r="S32" i="9"/>
  <c r="AC38" i="9" s="1"/>
  <c r="M32" i="9"/>
  <c r="Z38" i="9" s="1"/>
  <c r="S19" i="9"/>
  <c r="Q19" i="9"/>
  <c r="AB25" i="9" s="1"/>
  <c r="O19" i="9"/>
  <c r="M19" i="9"/>
  <c r="Z25" i="9" s="1"/>
  <c r="K19" i="9"/>
  <c r="Y25" i="9" s="1"/>
  <c r="K6" i="9"/>
  <c r="Y12" i="9" s="1"/>
  <c r="S6" i="9"/>
  <c r="AC12" i="9" s="1"/>
  <c r="Q6" i="9"/>
  <c r="AB12" i="9" s="1"/>
  <c r="O6" i="9"/>
  <c r="AA12" i="9" s="1"/>
  <c r="M6" i="9"/>
  <c r="Z12" i="9" s="1"/>
  <c r="AL33" i="9"/>
  <c r="AT31" i="9"/>
  <c r="AS31" i="9"/>
  <c r="AR31" i="9"/>
  <c r="AP31" i="9"/>
  <c r="AN31" i="9"/>
  <c r="AM31" i="9"/>
  <c r="AT30" i="9"/>
  <c r="AS30" i="9"/>
  <c r="AR30" i="9"/>
  <c r="AP30" i="9"/>
  <c r="K32" i="9" s="1"/>
  <c r="Y38" i="9" s="1"/>
  <c r="AN30" i="9"/>
  <c r="Q32" i="9" s="1"/>
  <c r="AB38" i="9" s="1"/>
  <c r="AM30" i="9"/>
  <c r="O32" i="9" s="1"/>
  <c r="AA38" i="9" s="1"/>
  <c r="AL20" i="9"/>
  <c r="AT18" i="9"/>
  <c r="AR18" i="9"/>
  <c r="AP18" i="9"/>
  <c r="AN18" i="9"/>
  <c r="AM18" i="9"/>
  <c r="AT17" i="9"/>
  <c r="AS17" i="9"/>
  <c r="AR17" i="9"/>
  <c r="AP17" i="9"/>
  <c r="AN17" i="9"/>
  <c r="AM17" i="9"/>
  <c r="W31" i="9"/>
  <c r="W17" i="9"/>
  <c r="W23" i="9"/>
  <c r="W22" i="9"/>
  <c r="W21" i="9"/>
  <c r="W20" i="9"/>
  <c r="W19" i="9"/>
  <c r="W18" i="9"/>
  <c r="W36" i="9"/>
  <c r="W35" i="9"/>
  <c r="W34" i="9"/>
  <c r="W33" i="9"/>
  <c r="W30" i="9"/>
  <c r="C8" i="9"/>
  <c r="F9" i="9"/>
  <c r="F35" i="9"/>
  <c r="F22" i="9"/>
  <c r="AE29" i="9"/>
  <c r="AG36" i="9" s="1"/>
  <c r="AE3" i="9"/>
  <c r="AH10" i="9" s="1"/>
  <c r="AE16" i="9"/>
  <c r="AF21" i="9" s="1"/>
  <c r="AI29" i="9"/>
  <c r="AH29" i="9"/>
  <c r="AG29" i="9"/>
  <c r="AF29" i="9"/>
  <c r="AI16" i="9"/>
  <c r="AH16" i="9"/>
  <c r="AG16" i="9"/>
  <c r="AF16" i="9"/>
  <c r="AI3" i="9"/>
  <c r="AH3" i="9"/>
  <c r="AG3" i="9"/>
  <c r="AF3" i="9"/>
  <c r="V22" i="9"/>
  <c r="V21" i="9"/>
  <c r="V20" i="9"/>
  <c r="V19" i="9"/>
  <c r="V18" i="9"/>
  <c r="A27" i="9"/>
  <c r="A14" i="9"/>
  <c r="R38" i="9"/>
  <c r="O38" i="9"/>
  <c r="A38" i="9"/>
  <c r="C37" i="9"/>
  <c r="S37" i="9" s="1"/>
  <c r="AH38" i="9" s="1"/>
  <c r="A37" i="9"/>
  <c r="R36" i="9"/>
  <c r="O36" i="9"/>
  <c r="I36" i="9"/>
  <c r="A36" i="9"/>
  <c r="AH35" i="9"/>
  <c r="AG35" i="9"/>
  <c r="AF35" i="9"/>
  <c r="R35" i="9"/>
  <c r="O35" i="9"/>
  <c r="L35" i="9"/>
  <c r="I35" i="9"/>
  <c r="A35" i="9"/>
  <c r="AH34" i="9"/>
  <c r="AG34" i="9"/>
  <c r="O34" i="9"/>
  <c r="L34" i="9"/>
  <c r="I34" i="9"/>
  <c r="F34" i="9"/>
  <c r="C34" i="9"/>
  <c r="A34" i="9"/>
  <c r="AH33" i="9"/>
  <c r="AG33" i="9"/>
  <c r="AF33" i="9"/>
  <c r="R33" i="9"/>
  <c r="P33" i="9"/>
  <c r="O33" i="9"/>
  <c r="M33" i="9"/>
  <c r="L33" i="9"/>
  <c r="J33" i="9"/>
  <c r="I33" i="9"/>
  <c r="G33" i="9"/>
  <c r="F33" i="9"/>
  <c r="D33" i="9"/>
  <c r="C33" i="9"/>
  <c r="B33" i="9"/>
  <c r="A33" i="9"/>
  <c r="AH31" i="9"/>
  <c r="AG31" i="9"/>
  <c r="AF31" i="9"/>
  <c r="AE31" i="9"/>
  <c r="S31" i="9"/>
  <c r="R31" i="9"/>
  <c r="Q31" i="9"/>
  <c r="P31" i="9"/>
  <c r="O31" i="9"/>
  <c r="N31" i="9"/>
  <c r="M31" i="9"/>
  <c r="L31" i="9"/>
  <c r="K31" i="9"/>
  <c r="J31" i="9"/>
  <c r="I31" i="9"/>
  <c r="A30" i="9"/>
  <c r="S28" i="9"/>
  <c r="H28" i="9"/>
  <c r="G28" i="9"/>
  <c r="F28" i="9"/>
  <c r="E28" i="9"/>
  <c r="D28" i="9"/>
  <c r="C28" i="9"/>
  <c r="B28" i="9"/>
  <c r="V41" i="9"/>
  <c r="W41" i="9"/>
  <c r="X41" i="9"/>
  <c r="V42" i="9"/>
  <c r="W42" i="9"/>
  <c r="X42" i="9"/>
  <c r="V43" i="9"/>
  <c r="W43" i="9"/>
  <c r="X43" i="9"/>
  <c r="V44" i="9"/>
  <c r="W44" i="9"/>
  <c r="X44" i="9"/>
  <c r="W45" i="9"/>
  <c r="X45" i="9"/>
  <c r="U46" i="9"/>
  <c r="V46" i="9"/>
  <c r="W46" i="9"/>
  <c r="X46" i="9"/>
  <c r="W47" i="9"/>
  <c r="X47" i="9"/>
  <c r="R25" i="9"/>
  <c r="O25" i="9"/>
  <c r="A25" i="9"/>
  <c r="C24" i="9"/>
  <c r="S24" i="9" s="1"/>
  <c r="AH25" i="9" s="1"/>
  <c r="A24" i="9"/>
  <c r="R23" i="9"/>
  <c r="O23" i="9"/>
  <c r="I23" i="9"/>
  <c r="A23" i="9"/>
  <c r="AH22" i="9"/>
  <c r="AG22" i="9"/>
  <c r="AF22" i="9"/>
  <c r="R22" i="9"/>
  <c r="O22" i="9"/>
  <c r="L22" i="9"/>
  <c r="I22" i="9"/>
  <c r="A22" i="9"/>
  <c r="AH21" i="9"/>
  <c r="AG21" i="9"/>
  <c r="O21" i="9"/>
  <c r="L21" i="9"/>
  <c r="I21" i="9"/>
  <c r="F21" i="9"/>
  <c r="C21" i="9"/>
  <c r="A21" i="9"/>
  <c r="AH20" i="9"/>
  <c r="AG20" i="9"/>
  <c r="AF20" i="9"/>
  <c r="R20" i="9"/>
  <c r="P20" i="9"/>
  <c r="O20" i="9"/>
  <c r="M20" i="9"/>
  <c r="L20" i="9"/>
  <c r="J20" i="9"/>
  <c r="I20" i="9"/>
  <c r="G20" i="9"/>
  <c r="F20" i="9"/>
  <c r="D20" i="9"/>
  <c r="C20" i="9"/>
  <c r="B20" i="9"/>
  <c r="A20" i="9"/>
  <c r="AH18" i="9"/>
  <c r="AG18" i="9"/>
  <c r="AF18" i="9"/>
  <c r="AE18" i="9"/>
  <c r="S18" i="9"/>
  <c r="R18" i="9"/>
  <c r="Q18" i="9"/>
  <c r="P18" i="9"/>
  <c r="O18" i="9"/>
  <c r="N18" i="9"/>
  <c r="M18" i="9"/>
  <c r="L18" i="9"/>
  <c r="K18" i="9"/>
  <c r="J18" i="9"/>
  <c r="I18" i="9"/>
  <c r="A17" i="9"/>
  <c r="S15" i="9"/>
  <c r="H15" i="9"/>
  <c r="G15" i="9"/>
  <c r="F15" i="9"/>
  <c r="E15" i="9"/>
  <c r="D15" i="9"/>
  <c r="C15" i="9"/>
  <c r="B15" i="9"/>
  <c r="A12" i="9"/>
  <c r="A11" i="9"/>
  <c r="A10" i="9"/>
  <c r="A9" i="9"/>
  <c r="A8" i="9"/>
  <c r="D7" i="9"/>
  <c r="B7" i="9"/>
  <c r="A7" i="9"/>
  <c r="M7" i="9"/>
  <c r="P7" i="9"/>
  <c r="J7" i="9"/>
  <c r="G7" i="9"/>
  <c r="I7" i="9"/>
  <c r="R7" i="9"/>
  <c r="O7" i="9"/>
  <c r="L7" i="9"/>
  <c r="F7" i="9"/>
  <c r="C7" i="9"/>
  <c r="F8" i="9"/>
  <c r="I8" i="9"/>
  <c r="L8" i="9"/>
  <c r="O8" i="9"/>
  <c r="G34" i="2"/>
  <c r="S5" i="9"/>
  <c r="Q5" i="9"/>
  <c r="O5" i="9"/>
  <c r="M5" i="9"/>
  <c r="K5" i="9"/>
  <c r="A4" i="9"/>
  <c r="H2" i="9"/>
  <c r="S2" i="9"/>
  <c r="AJ2" i="4"/>
  <c r="I5" i="9"/>
  <c r="R5" i="9"/>
  <c r="P5" i="9"/>
  <c r="N5" i="9"/>
  <c r="L5" i="9"/>
  <c r="J5" i="9"/>
  <c r="B2" i="4"/>
  <c r="B2" i="9"/>
  <c r="C2" i="4"/>
  <c r="C2" i="9"/>
  <c r="G2" i="4"/>
  <c r="D2" i="9"/>
  <c r="H2" i="4"/>
  <c r="E2" i="9"/>
  <c r="I2" i="4"/>
  <c r="F2" i="9"/>
  <c r="J2" i="4"/>
  <c r="G2" i="9"/>
  <c r="K2" i="4"/>
  <c r="L2" i="4"/>
  <c r="P1" i="2"/>
  <c r="BD13" i="9"/>
  <c r="BB13" i="9"/>
  <c r="AZ13" i="9"/>
  <c r="AX13" i="9"/>
  <c r="BD12" i="9"/>
  <c r="BB12" i="9"/>
  <c r="AZ12" i="9"/>
  <c r="AX12" i="9"/>
  <c r="BD11" i="9"/>
  <c r="BB11" i="9"/>
  <c r="AZ11" i="9"/>
  <c r="AX11" i="9"/>
  <c r="BD10" i="9"/>
  <c r="BB10" i="9"/>
  <c r="AZ10" i="9"/>
  <c r="AX10" i="9"/>
  <c r="BD9" i="9"/>
  <c r="BB9" i="9"/>
  <c r="AZ9" i="9"/>
  <c r="AX9" i="9"/>
  <c r="BD8" i="9"/>
  <c r="BB8" i="9"/>
  <c r="AZ8" i="9"/>
  <c r="AX8" i="9"/>
  <c r="BD7" i="9"/>
  <c r="BB7" i="9"/>
  <c r="AZ7" i="9"/>
  <c r="AX7" i="9"/>
  <c r="BD6" i="9"/>
  <c r="BB6" i="9"/>
  <c r="AZ6" i="9"/>
  <c r="AX6" i="9"/>
  <c r="BD5" i="9"/>
  <c r="BB5" i="9"/>
  <c r="AZ5" i="9"/>
  <c r="AX5" i="9"/>
  <c r="BD4" i="9"/>
  <c r="BB4" i="9"/>
  <c r="AZ4" i="9"/>
  <c r="AX4" i="9"/>
  <c r="BD3" i="9"/>
  <c r="BB3" i="9"/>
  <c r="AZ3" i="9"/>
  <c r="AX3" i="9"/>
  <c r="BD2" i="9"/>
  <c r="BB2" i="9"/>
  <c r="AZ2" i="9"/>
  <c r="AX2" i="9"/>
  <c r="V57" i="9"/>
  <c r="S56" i="9"/>
  <c r="AL7" i="9"/>
  <c r="X55" i="9"/>
  <c r="X54" i="9"/>
  <c r="W54" i="9"/>
  <c r="V54" i="9"/>
  <c r="U54" i="9"/>
  <c r="T54" i="9"/>
  <c r="AR5" i="9"/>
  <c r="AN5" i="9"/>
  <c r="AM5" i="9"/>
  <c r="X53" i="9"/>
  <c r="AT4" i="9"/>
  <c r="AS4" i="9"/>
  <c r="AR4" i="9"/>
  <c r="AP4" i="9"/>
  <c r="AN4" i="9"/>
  <c r="AM4" i="9"/>
  <c r="X52" i="9"/>
  <c r="W52" i="9"/>
  <c r="X51" i="9"/>
  <c r="X50" i="9"/>
  <c r="W50" i="9"/>
  <c r="V50" i="9"/>
  <c r="U50" i="9"/>
  <c r="X49" i="9"/>
  <c r="W49" i="9"/>
  <c r="V49" i="9"/>
  <c r="U49" i="9"/>
  <c r="T49" i="9"/>
  <c r="O49" i="9"/>
  <c r="L49" i="9"/>
  <c r="V36" i="9" s="1"/>
  <c r="I49" i="9"/>
  <c r="F49" i="9"/>
  <c r="W10" i="9"/>
  <c r="X48" i="9"/>
  <c r="W48" i="9"/>
  <c r="O48" i="9"/>
  <c r="L48" i="9"/>
  <c r="V35" i="9" s="1"/>
  <c r="F48" i="9"/>
  <c r="W9" i="9"/>
  <c r="L47" i="9"/>
  <c r="V34" i="9" s="1"/>
  <c r="L46" i="9"/>
  <c r="V33" i="9" s="1"/>
  <c r="W7" i="9"/>
  <c r="L45" i="9"/>
  <c r="V32" i="9" s="1"/>
  <c r="W6" i="9"/>
  <c r="W5" i="9"/>
  <c r="W4" i="9"/>
  <c r="AH9" i="9"/>
  <c r="AG9" i="9"/>
  <c r="AF9" i="9"/>
  <c r="AH8" i="9"/>
  <c r="AG8" i="9"/>
  <c r="AH7" i="9"/>
  <c r="AG7" i="9"/>
  <c r="AF7" i="9"/>
  <c r="AH5" i="9"/>
  <c r="AG5" i="9"/>
  <c r="AF5" i="9"/>
  <c r="AE5" i="9"/>
  <c r="R12" i="9"/>
  <c r="R10" i="9"/>
  <c r="R9" i="9"/>
  <c r="O12" i="9"/>
  <c r="O10" i="9"/>
  <c r="O9" i="9"/>
  <c r="L9" i="9"/>
  <c r="I10" i="9"/>
  <c r="I9" i="9"/>
  <c r="C11" i="9"/>
  <c r="S12" i="9" l="1"/>
  <c r="AI12" i="9"/>
  <c r="S11" i="9"/>
  <c r="AH12" i="9" s="1"/>
  <c r="S10" i="9"/>
  <c r="AG12" i="9" s="1"/>
  <c r="S9" i="9"/>
  <c r="AF12" i="9" s="1"/>
  <c r="S8" i="9"/>
  <c r="AE12" i="9" s="1"/>
  <c r="AA29" i="9"/>
  <c r="AV99" i="5"/>
  <c r="AV99" i="6"/>
  <c r="D29" i="9"/>
  <c r="D67" i="8" s="1"/>
  <c r="E16" i="9"/>
  <c r="E66" i="8" s="1"/>
  <c r="S34" i="9"/>
  <c r="AE38" i="9" s="1"/>
  <c r="C3" i="9"/>
  <c r="C65" i="8" s="1"/>
  <c r="E29" i="9"/>
  <c r="E67" i="8" s="1"/>
  <c r="AB3" i="9"/>
  <c r="D3" i="9"/>
  <c r="D65" i="8" s="1"/>
  <c r="C16" i="9"/>
  <c r="C66" i="8" s="1"/>
  <c r="E3" i="9"/>
  <c r="E65" i="8" s="1"/>
  <c r="D16" i="9"/>
  <c r="D66" i="8" s="1"/>
  <c r="C29" i="9"/>
  <c r="C67" i="8" s="1"/>
  <c r="I19" i="9"/>
  <c r="AD25" i="9" s="1"/>
  <c r="AE19" i="9"/>
  <c r="AG23" i="9"/>
  <c r="S21" i="9"/>
  <c r="AE25" i="9" s="1"/>
  <c r="S35" i="9"/>
  <c r="AF38" i="9" s="1"/>
  <c r="S36" i="9"/>
  <c r="AG38" i="9" s="1"/>
  <c r="AH36" i="9"/>
  <c r="AB29" i="9" s="1"/>
  <c r="S38" i="9"/>
  <c r="AI38" i="9" s="1"/>
  <c r="AE34" i="9"/>
  <c r="AE36" i="9"/>
  <c r="AF34" i="9"/>
  <c r="AF36" i="9"/>
  <c r="AE32" i="9"/>
  <c r="AE33" i="9"/>
  <c r="AE35" i="9"/>
  <c r="S25" i="9"/>
  <c r="AI25" i="9" s="1"/>
  <c r="S23" i="9"/>
  <c r="AG25" i="9" s="1"/>
  <c r="S22" i="9"/>
  <c r="AF25" i="9" s="1"/>
  <c r="AA25" i="9"/>
  <c r="AC25" i="9"/>
  <c r="AE8" i="9"/>
  <c r="AE7" i="9"/>
  <c r="AE6" i="9"/>
  <c r="AF8" i="9"/>
  <c r="AE9" i="9"/>
  <c r="AE10" i="9"/>
  <c r="AF10" i="9"/>
  <c r="Z3" i="9" s="1"/>
  <c r="AG10" i="9"/>
  <c r="AA3" i="9" s="1"/>
  <c r="Z29" i="9" l="1"/>
  <c r="Y29" i="9"/>
  <c r="W25" i="9"/>
  <c r="S16" i="9" s="1"/>
  <c r="J66" i="8" s="1"/>
  <c r="AF23" i="9"/>
  <c r="Z16" i="9" s="1"/>
  <c r="AE20" i="9"/>
  <c r="AE22" i="9"/>
  <c r="AA16" i="9"/>
  <c r="AH23" i="9"/>
  <c r="AB16" i="9" s="1"/>
  <c r="AE23" i="9"/>
  <c r="Y16" i="9" s="1"/>
  <c r="AE21" i="9"/>
  <c r="Y3" i="9"/>
  <c r="H3" i="9" s="1"/>
  <c r="H65" i="8" s="1"/>
  <c r="B7" i="1"/>
  <c r="S20" i="5"/>
  <c r="AH2" i="4"/>
  <c r="AF2" i="4"/>
  <c r="AE2" i="4"/>
  <c r="AD2" i="4"/>
  <c r="AC2" i="4"/>
  <c r="AB2" i="4"/>
  <c r="Z2" i="4"/>
  <c r="X2" i="4"/>
  <c r="W2" i="4"/>
  <c r="A1" i="4"/>
  <c r="J2" i="7"/>
  <c r="H29" i="9" l="1"/>
  <c r="H67" i="8" s="1"/>
  <c r="H16" i="9"/>
  <c r="H66" i="8" s="1"/>
  <c r="BB69" i="2"/>
  <c r="BB68" i="2"/>
  <c r="BI60" i="2"/>
  <c r="AJ60" i="2"/>
  <c r="A34" i="2"/>
  <c r="B3" i="1" s="1"/>
  <c r="AG99" i="5"/>
  <c r="R99" i="5"/>
  <c r="AP36" i="2"/>
  <c r="AO36" i="2"/>
  <c r="AN36" i="2"/>
  <c r="AM36" i="2"/>
  <c r="AL36" i="2"/>
  <c r="AK36" i="2"/>
  <c r="AK35" i="2"/>
  <c r="AJ35" i="2"/>
  <c r="AH35" i="2"/>
  <c r="AF35" i="2"/>
  <c r="AD35" i="2"/>
  <c r="B35" i="2"/>
  <c r="S21" i="2"/>
  <c r="O31" i="2"/>
  <c r="O28" i="2"/>
  <c r="AN31" i="2"/>
  <c r="AN30" i="2"/>
  <c r="AN29" i="2"/>
  <c r="AN28" i="2"/>
  <c r="AN27" i="2"/>
  <c r="AN26" i="2"/>
  <c r="AN25" i="2"/>
  <c r="AN24" i="2"/>
  <c r="AN23" i="2"/>
  <c r="AN22" i="2"/>
  <c r="AB31" i="2"/>
  <c r="AB30" i="2"/>
  <c r="AB29" i="2"/>
  <c r="AB28" i="2"/>
  <c r="AB27" i="2"/>
  <c r="AB26" i="2"/>
  <c r="AB25" i="2"/>
  <c r="AB24" i="2"/>
  <c r="AB23" i="2"/>
  <c r="AB22" i="2"/>
  <c r="AB21" i="2"/>
  <c r="AE31" i="2"/>
  <c r="AE30" i="2"/>
  <c r="AE24" i="2"/>
  <c r="AE23" i="2"/>
  <c r="AE22" i="2"/>
  <c r="AE21" i="2"/>
  <c r="S32" i="2"/>
  <c r="S31" i="2"/>
  <c r="S30" i="2"/>
  <c r="S29" i="2"/>
  <c r="S28" i="2"/>
  <c r="S27" i="2"/>
  <c r="S26" i="2"/>
  <c r="S25" i="2"/>
  <c r="S24" i="2"/>
  <c r="S23" i="2"/>
  <c r="D32" i="2"/>
  <c r="D31" i="2"/>
  <c r="D25" i="2"/>
  <c r="D23" i="2"/>
  <c r="D21" i="2"/>
  <c r="AO1" i="2"/>
  <c r="AM1" i="2"/>
  <c r="AJ1" i="2"/>
  <c r="BC89" i="6" s="1"/>
  <c r="AI1" i="2"/>
  <c r="AA14" i="5" s="1"/>
  <c r="AH1" i="2"/>
  <c r="AN86" i="6" s="1"/>
  <c r="AG1" i="2"/>
  <c r="W14" i="5" s="1"/>
  <c r="AE1" i="2"/>
  <c r="AH89" i="6" s="1"/>
  <c r="AC1" i="2"/>
  <c r="N110" i="6" s="1"/>
  <c r="AB1" i="2"/>
  <c r="H113" i="6" s="1"/>
  <c r="AA1" i="2"/>
  <c r="O1" i="2"/>
  <c r="N1" i="2"/>
  <c r="M1" i="2"/>
  <c r="L1" i="2"/>
  <c r="K1" i="2"/>
  <c r="H1" i="2"/>
  <c r="D1" i="2"/>
  <c r="B1" i="2"/>
  <c r="C1" i="3"/>
  <c r="B1" i="3"/>
  <c r="A1" i="3"/>
  <c r="D1" i="3"/>
  <c r="O5" i="3"/>
  <c r="L5" i="3"/>
  <c r="O1" i="3"/>
  <c r="L1" i="3"/>
  <c r="S103" i="5"/>
  <c r="BT5" i="2"/>
  <c r="BT3" i="2"/>
  <c r="BT65" i="2"/>
  <c r="BT64" i="2"/>
  <c r="BT63" i="2"/>
  <c r="BT62" i="2"/>
  <c r="BT61" i="2"/>
  <c r="BV65" i="2"/>
  <c r="BV64" i="2"/>
  <c r="BV63" i="2"/>
  <c r="BV62" i="2"/>
  <c r="BV61" i="2"/>
  <c r="BX65" i="2"/>
  <c r="BX64" i="2"/>
  <c r="BX63" i="2"/>
  <c r="BX62" i="2"/>
  <c r="BX61" i="2"/>
  <c r="BZ65" i="2"/>
  <c r="BZ64" i="2"/>
  <c r="BZ63" i="2"/>
  <c r="BZ62" i="2"/>
  <c r="BZ61" i="2"/>
  <c r="BT77" i="2"/>
  <c r="BT76" i="2"/>
  <c r="BT75" i="2"/>
  <c r="BT74" i="2"/>
  <c r="BT73" i="2"/>
  <c r="BT72" i="2"/>
  <c r="BT71" i="2"/>
  <c r="BT70" i="2"/>
  <c r="BT69" i="2"/>
  <c r="BT68" i="2"/>
  <c r="BT67" i="2"/>
  <c r="BT66" i="2"/>
  <c r="BV77" i="2"/>
  <c r="BV76" i="2"/>
  <c r="BV75" i="2"/>
  <c r="BV74" i="2"/>
  <c r="BV73" i="2"/>
  <c r="BV72" i="2"/>
  <c r="BV71" i="2"/>
  <c r="BV70" i="2"/>
  <c r="BV69" i="2"/>
  <c r="BV68" i="2"/>
  <c r="BV67" i="2"/>
  <c r="BV66" i="2"/>
  <c r="BX77" i="2"/>
  <c r="BX76" i="2"/>
  <c r="BX75" i="2"/>
  <c r="BX74" i="2"/>
  <c r="BX73" i="2"/>
  <c r="BX72" i="2"/>
  <c r="BX71" i="2"/>
  <c r="BX70" i="2"/>
  <c r="BX69" i="2"/>
  <c r="BX68" i="2"/>
  <c r="BX67" i="2"/>
  <c r="BZ77" i="2"/>
  <c r="BZ76" i="2"/>
  <c r="BZ75" i="2"/>
  <c r="BZ74" i="2"/>
  <c r="BZ73" i="2"/>
  <c r="BZ72" i="2"/>
  <c r="BZ71" i="2"/>
  <c r="BZ70" i="2"/>
  <c r="BZ69" i="2"/>
  <c r="BZ68" i="2"/>
  <c r="BZ67" i="2"/>
  <c r="BZ66" i="2"/>
  <c r="BT89" i="2"/>
  <c r="BT88" i="2"/>
  <c r="BT87" i="2"/>
  <c r="BT86" i="2"/>
  <c r="BT85" i="2"/>
  <c r="BT84" i="2"/>
  <c r="BT83" i="2"/>
  <c r="BT82" i="2"/>
  <c r="BT81" i="2"/>
  <c r="BT80" i="2"/>
  <c r="BT79" i="2"/>
  <c r="BT78" i="2"/>
  <c r="BV89" i="2"/>
  <c r="BV88" i="2"/>
  <c r="BV87" i="2"/>
  <c r="BV86" i="2"/>
  <c r="BV85" i="2"/>
  <c r="BV84" i="2"/>
  <c r="BV83" i="2"/>
  <c r="BV82" i="2"/>
  <c r="BV81" i="2"/>
  <c r="BV80" i="2"/>
  <c r="BV79" i="2"/>
  <c r="BV78" i="2"/>
  <c r="BX89" i="2"/>
  <c r="BX87" i="2"/>
  <c r="BX86" i="2"/>
  <c r="BX85" i="2"/>
  <c r="BX84" i="2"/>
  <c r="BX83" i="2"/>
  <c r="BX82" i="2"/>
  <c r="BX81" i="2"/>
  <c r="BX80" i="2"/>
  <c r="BX79" i="2"/>
  <c r="BX78" i="2"/>
  <c r="BZ89" i="2"/>
  <c r="BZ88" i="2"/>
  <c r="BZ87" i="2"/>
  <c r="BZ86" i="2"/>
  <c r="BZ85" i="2"/>
  <c r="BZ84" i="2"/>
  <c r="BZ83" i="2"/>
  <c r="BZ82" i="2"/>
  <c r="BZ81" i="2"/>
  <c r="BZ80" i="2"/>
  <c r="BZ79" i="2"/>
  <c r="BZ78" i="2"/>
  <c r="BX101" i="2"/>
  <c r="BX100" i="2"/>
  <c r="BX99" i="2"/>
  <c r="BX98" i="2"/>
  <c r="BX97" i="2"/>
  <c r="BX96" i="2"/>
  <c r="BX95" i="2"/>
  <c r="BX94" i="2"/>
  <c r="BX93" i="2"/>
  <c r="BX92" i="2"/>
  <c r="BX91" i="2"/>
  <c r="BX90" i="2"/>
  <c r="BT101" i="2"/>
  <c r="BT100" i="2"/>
  <c r="BT99" i="2"/>
  <c r="BT98" i="2"/>
  <c r="BT97" i="2"/>
  <c r="BT96" i="2"/>
  <c r="BT94" i="2"/>
  <c r="BT93" i="2"/>
  <c r="BT92" i="2"/>
  <c r="BT91" i="2"/>
  <c r="BV113" i="2"/>
  <c r="BV112" i="2"/>
  <c r="BV111" i="2"/>
  <c r="BV110" i="2"/>
  <c r="BV109" i="2"/>
  <c r="BV108" i="2"/>
  <c r="BV107" i="2"/>
  <c r="BV106" i="2"/>
  <c r="BV105" i="2"/>
  <c r="BV104" i="2"/>
  <c r="BV103" i="2"/>
  <c r="BV102" i="2"/>
  <c r="BT125" i="2"/>
  <c r="BT124" i="2"/>
  <c r="BT123" i="2"/>
  <c r="BT122" i="2"/>
  <c r="BT121" i="2"/>
  <c r="BT120" i="2"/>
  <c r="BT119" i="2"/>
  <c r="BT118" i="2"/>
  <c r="BT117" i="2"/>
  <c r="BT116" i="2"/>
  <c r="BT115" i="2"/>
  <c r="BT114" i="2"/>
  <c r="BT113" i="2"/>
  <c r="BT112" i="2"/>
  <c r="BT111" i="2"/>
  <c r="BT110" i="2"/>
  <c r="BT109" i="2"/>
  <c r="BT108" i="2"/>
  <c r="BT107" i="2"/>
  <c r="BT106" i="2"/>
  <c r="BT105" i="2"/>
  <c r="BT104" i="2"/>
  <c r="BT103" i="2"/>
  <c r="BT102" i="2"/>
  <c r="BV101" i="2"/>
  <c r="BV100" i="2"/>
  <c r="BV99" i="2"/>
  <c r="BV98" i="2"/>
  <c r="BV97" i="2"/>
  <c r="BV96" i="2"/>
  <c r="BV95" i="2"/>
  <c r="BV94" i="2"/>
  <c r="BV93" i="2"/>
  <c r="BV92" i="2"/>
  <c r="BV91" i="2"/>
  <c r="BV90" i="2"/>
  <c r="BX113" i="2"/>
  <c r="BX112" i="2"/>
  <c r="BX111" i="2"/>
  <c r="BX110" i="2"/>
  <c r="BX109" i="2"/>
  <c r="BX108" i="2"/>
  <c r="BX107" i="2"/>
  <c r="BX106" i="2"/>
  <c r="BX105" i="2"/>
  <c r="BX104" i="2"/>
  <c r="BX103" i="2"/>
  <c r="BX102" i="2"/>
  <c r="BZ101" i="2"/>
  <c r="BZ100" i="2"/>
  <c r="BZ99" i="2"/>
  <c r="BZ98" i="2"/>
  <c r="BZ97" i="2"/>
  <c r="BZ96" i="2"/>
  <c r="BZ95" i="2"/>
  <c r="BZ94" i="2"/>
  <c r="BZ93" i="2"/>
  <c r="BZ92" i="2"/>
  <c r="BZ91" i="2"/>
  <c r="BZ90" i="2"/>
  <c r="CB61" i="2"/>
  <c r="CB60" i="2"/>
  <c r="CD124" i="2"/>
  <c r="CD123" i="2"/>
  <c r="CD122" i="2"/>
  <c r="CD121" i="2"/>
  <c r="CD120" i="2"/>
  <c r="CD119" i="2"/>
  <c r="CD118" i="2"/>
  <c r="CD117" i="2"/>
  <c r="CD116" i="2"/>
  <c r="CD115" i="2"/>
  <c r="CD114" i="2"/>
  <c r="CD113" i="2"/>
  <c r="CD112" i="2"/>
  <c r="CD111" i="2"/>
  <c r="CD110" i="2"/>
  <c r="CD109" i="2"/>
  <c r="CD108" i="2"/>
  <c r="CD107" i="2"/>
  <c r="CD106" i="2"/>
  <c r="CD105" i="2"/>
  <c r="CD104" i="2"/>
  <c r="CD103" i="2"/>
  <c r="CD102" i="2"/>
  <c r="CD101" i="2"/>
  <c r="CD100" i="2"/>
  <c r="CD99" i="2"/>
  <c r="CD98" i="2"/>
  <c r="CD97" i="2"/>
  <c r="CD96" i="2"/>
  <c r="CD95" i="2"/>
  <c r="CD94" i="2"/>
  <c r="CD93" i="2"/>
  <c r="CD92" i="2"/>
  <c r="CD91" i="2"/>
  <c r="CD90" i="2"/>
  <c r="CD89" i="2"/>
  <c r="CD86" i="2"/>
  <c r="CD76" i="2"/>
  <c r="CD75" i="2"/>
  <c r="CD74" i="2"/>
  <c r="CD73" i="2"/>
  <c r="CD72" i="2"/>
  <c r="CD71" i="2"/>
  <c r="CD70" i="2"/>
  <c r="CD69" i="2"/>
  <c r="CD68" i="2"/>
  <c r="CD67" i="2"/>
  <c r="CD66" i="2"/>
  <c r="CD65" i="2"/>
  <c r="CD64" i="2"/>
  <c r="CD63" i="2"/>
  <c r="CD62" i="2"/>
  <c r="CD61" i="2"/>
  <c r="CD60" i="2"/>
  <c r="BI67" i="2"/>
  <c r="B2" i="1"/>
  <c r="B1" i="1"/>
  <c r="B12" i="1"/>
  <c r="B13" i="1"/>
  <c r="B14" i="1"/>
  <c r="B15" i="1"/>
  <c r="B16" i="1"/>
  <c r="B17" i="1"/>
  <c r="B11" i="1"/>
  <c r="B10" i="1"/>
  <c r="B5" i="1"/>
  <c r="N114" i="6"/>
  <c r="J114" i="6"/>
  <c r="H114" i="6"/>
  <c r="F114" i="6"/>
  <c r="D114" i="6"/>
  <c r="N111" i="6"/>
  <c r="L111" i="6"/>
  <c r="J111" i="6"/>
  <c r="H111" i="6"/>
  <c r="D111" i="6"/>
  <c r="BG90" i="6"/>
  <c r="BC90" i="6"/>
  <c r="BA90" i="6"/>
  <c r="AY90" i="6"/>
  <c r="AW90" i="6"/>
  <c r="BG87" i="6"/>
  <c r="BE87" i="6"/>
  <c r="BC87" i="6"/>
  <c r="BA87" i="6"/>
  <c r="AW87" i="6"/>
  <c r="AR90" i="6"/>
  <c r="AN90" i="6"/>
  <c r="AL90" i="6"/>
  <c r="AJ90" i="6"/>
  <c r="AH90" i="6"/>
  <c r="AR87" i="6"/>
  <c r="AP87" i="6"/>
  <c r="AN87" i="6"/>
  <c r="AL87" i="6"/>
  <c r="AH87" i="6"/>
  <c r="AC90" i="6"/>
  <c r="Y90" i="6"/>
  <c r="W90" i="6"/>
  <c r="U90" i="6"/>
  <c r="S90" i="6"/>
  <c r="AC87" i="6"/>
  <c r="AA87" i="6"/>
  <c r="Y87" i="6"/>
  <c r="W87" i="6"/>
  <c r="S87" i="6"/>
  <c r="N90" i="6"/>
  <c r="J90" i="6"/>
  <c r="H90" i="6"/>
  <c r="F90" i="6"/>
  <c r="D90" i="6"/>
  <c r="N87" i="6"/>
  <c r="L87" i="6"/>
  <c r="J87" i="6"/>
  <c r="H87" i="6"/>
  <c r="D87" i="6"/>
  <c r="BG66" i="6"/>
  <c r="BC66" i="6"/>
  <c r="BA66" i="6"/>
  <c r="AY66" i="6"/>
  <c r="AW66" i="6"/>
  <c r="BG63" i="6"/>
  <c r="BE63" i="6"/>
  <c r="BC63" i="6"/>
  <c r="BA63" i="6"/>
  <c r="AW63" i="6"/>
  <c r="AR66" i="6"/>
  <c r="AN66" i="6"/>
  <c r="AL66" i="6"/>
  <c r="AJ66" i="6"/>
  <c r="AH66" i="6"/>
  <c r="AR63" i="6"/>
  <c r="AP63" i="6"/>
  <c r="AN63" i="6"/>
  <c r="AL63" i="6"/>
  <c r="AH63" i="6"/>
  <c r="AC66" i="6"/>
  <c r="Y66" i="6"/>
  <c r="W66" i="6"/>
  <c r="U66" i="6"/>
  <c r="S66" i="6"/>
  <c r="AC63" i="6"/>
  <c r="AA63" i="6"/>
  <c r="Y63" i="6"/>
  <c r="W63" i="6"/>
  <c r="S63" i="6"/>
  <c r="N66" i="6"/>
  <c r="J66" i="6"/>
  <c r="H66" i="6"/>
  <c r="F66" i="6"/>
  <c r="D66" i="6"/>
  <c r="N63" i="6"/>
  <c r="L63" i="6"/>
  <c r="J63" i="6"/>
  <c r="H63" i="6"/>
  <c r="D63" i="6"/>
  <c r="BG42" i="6"/>
  <c r="BC42" i="6"/>
  <c r="BA42" i="6"/>
  <c r="AY42" i="6"/>
  <c r="AW42" i="6"/>
  <c r="BG39" i="6"/>
  <c r="BE39" i="6"/>
  <c r="BC39" i="6"/>
  <c r="BA39" i="6"/>
  <c r="AW39" i="6"/>
  <c r="AR42" i="6"/>
  <c r="AN42" i="6"/>
  <c r="AL42" i="6"/>
  <c r="AJ42" i="6"/>
  <c r="AH42" i="6"/>
  <c r="AR39" i="6"/>
  <c r="AP39" i="6"/>
  <c r="AN39" i="6"/>
  <c r="AL39" i="6"/>
  <c r="AH39" i="6"/>
  <c r="AC42" i="6"/>
  <c r="Y42" i="6"/>
  <c r="W42" i="6"/>
  <c r="U42" i="6"/>
  <c r="S42" i="6"/>
  <c r="AC39" i="6"/>
  <c r="AA39" i="6"/>
  <c r="Y39" i="6"/>
  <c r="W39" i="6"/>
  <c r="S39" i="6"/>
  <c r="N42" i="6"/>
  <c r="J42" i="6"/>
  <c r="H42" i="6"/>
  <c r="F42" i="6"/>
  <c r="D42" i="6"/>
  <c r="N39" i="6"/>
  <c r="L39" i="6"/>
  <c r="J39" i="6"/>
  <c r="H39" i="6"/>
  <c r="D39" i="6"/>
  <c r="BG18" i="6"/>
  <c r="BC18" i="6"/>
  <c r="BA18" i="6"/>
  <c r="AY18" i="6"/>
  <c r="AW18" i="6"/>
  <c r="BG15" i="6"/>
  <c r="BE15" i="6"/>
  <c r="BC15" i="6"/>
  <c r="BA15" i="6"/>
  <c r="AW15" i="6"/>
  <c r="AR18" i="6"/>
  <c r="AN18" i="6"/>
  <c r="AL18" i="6"/>
  <c r="AJ18" i="6"/>
  <c r="AH18" i="6"/>
  <c r="AR15" i="6"/>
  <c r="AP15" i="6"/>
  <c r="AN15" i="6"/>
  <c r="AL15" i="6"/>
  <c r="AH15" i="6"/>
  <c r="D116" i="6"/>
  <c r="N113" i="6"/>
  <c r="F113" i="6"/>
  <c r="F110" i="6"/>
  <c r="D110" i="6"/>
  <c r="AW92" i="6"/>
  <c r="BG89" i="6"/>
  <c r="AY89" i="6"/>
  <c r="AY86" i="6"/>
  <c r="AW86" i="6"/>
  <c r="AH92" i="6"/>
  <c r="AR89" i="6"/>
  <c r="AJ89" i="6"/>
  <c r="AJ86" i="6"/>
  <c r="AH86" i="6"/>
  <c r="S92" i="6"/>
  <c r="AC89" i="6"/>
  <c r="U89" i="6"/>
  <c r="U86" i="6"/>
  <c r="S86" i="6"/>
  <c r="D92" i="6"/>
  <c r="N89" i="6"/>
  <c r="F89" i="6"/>
  <c r="F86" i="6"/>
  <c r="D86" i="6"/>
  <c r="AW68" i="6"/>
  <c r="BG65" i="6"/>
  <c r="AY65" i="6"/>
  <c r="AY62" i="6"/>
  <c r="AW62" i="6"/>
  <c r="AH68" i="6"/>
  <c r="AR65" i="6"/>
  <c r="AJ65" i="6"/>
  <c r="AJ62" i="6"/>
  <c r="AH62" i="6"/>
  <c r="S68" i="6"/>
  <c r="AC65" i="6"/>
  <c r="U65" i="6"/>
  <c r="U62" i="6"/>
  <c r="S62" i="6"/>
  <c r="D68" i="6"/>
  <c r="N65" i="6"/>
  <c r="F65" i="6"/>
  <c r="F62" i="6"/>
  <c r="D62" i="6"/>
  <c r="AW44" i="6"/>
  <c r="BG41" i="6"/>
  <c r="AY41" i="6"/>
  <c r="AY38" i="6"/>
  <c r="AW38" i="6"/>
  <c r="AH44" i="6"/>
  <c r="AR41" i="6"/>
  <c r="AJ41" i="6"/>
  <c r="AJ38" i="6"/>
  <c r="AH38" i="6"/>
  <c r="S44" i="6"/>
  <c r="AC41" i="6"/>
  <c r="U41" i="6"/>
  <c r="U38" i="6"/>
  <c r="S38" i="6"/>
  <c r="D44" i="6"/>
  <c r="N41" i="6"/>
  <c r="F41" i="6"/>
  <c r="F38" i="6"/>
  <c r="D38" i="6"/>
  <c r="AW20" i="6"/>
  <c r="BG17" i="6"/>
  <c r="AY17" i="6"/>
  <c r="AY14" i="6"/>
  <c r="AW14" i="6"/>
  <c r="AH20" i="6"/>
  <c r="AR17" i="6"/>
  <c r="AJ17" i="6"/>
  <c r="AJ14" i="6"/>
  <c r="AH14" i="6"/>
  <c r="S20" i="6"/>
  <c r="AC18" i="6"/>
  <c r="Y18" i="6"/>
  <c r="W18" i="6"/>
  <c r="U18" i="6"/>
  <c r="S18" i="6"/>
  <c r="AC17" i="6"/>
  <c r="U17" i="6"/>
  <c r="AC15" i="6"/>
  <c r="AA15" i="6"/>
  <c r="Y15" i="6"/>
  <c r="W15" i="6"/>
  <c r="S15" i="6"/>
  <c r="U14" i="6"/>
  <c r="S14" i="6"/>
  <c r="N114" i="5"/>
  <c r="J114" i="5"/>
  <c r="H114" i="5"/>
  <c r="F114" i="5"/>
  <c r="D114" i="5"/>
  <c r="N111" i="5"/>
  <c r="L111" i="5"/>
  <c r="J111" i="5"/>
  <c r="H111" i="5"/>
  <c r="D111" i="5"/>
  <c r="BG90" i="5"/>
  <c r="BC90" i="5"/>
  <c r="BA90" i="5"/>
  <c r="AY90" i="5"/>
  <c r="AW90" i="5"/>
  <c r="BG87" i="5"/>
  <c r="BE87" i="5"/>
  <c r="BC87" i="5"/>
  <c r="BA87" i="5"/>
  <c r="AW87" i="5"/>
  <c r="AR90" i="5"/>
  <c r="AN90" i="5"/>
  <c r="AL90" i="5"/>
  <c r="AJ90" i="5"/>
  <c r="AH90" i="5"/>
  <c r="AR87" i="5"/>
  <c r="AP87" i="5"/>
  <c r="AN87" i="5"/>
  <c r="AL87" i="5"/>
  <c r="AH87" i="5"/>
  <c r="AC90" i="5"/>
  <c r="Y90" i="5"/>
  <c r="W90" i="5"/>
  <c r="U90" i="5"/>
  <c r="S90" i="5"/>
  <c r="AC87" i="5"/>
  <c r="AA87" i="5"/>
  <c r="Y87" i="5"/>
  <c r="W87" i="5"/>
  <c r="S87" i="5"/>
  <c r="N90" i="5"/>
  <c r="J90" i="5"/>
  <c r="H90" i="5"/>
  <c r="F90" i="5"/>
  <c r="D90" i="5"/>
  <c r="N87" i="5"/>
  <c r="L87" i="5"/>
  <c r="J87" i="5"/>
  <c r="H87" i="5"/>
  <c r="D87" i="5"/>
  <c r="BG66" i="5"/>
  <c r="BC66" i="5"/>
  <c r="BA66" i="5"/>
  <c r="AY66" i="5"/>
  <c r="AW66" i="5"/>
  <c r="BG63" i="5"/>
  <c r="BE63" i="5"/>
  <c r="BC63" i="5"/>
  <c r="BA63" i="5"/>
  <c r="AW63" i="5"/>
  <c r="AR66" i="5"/>
  <c r="AN66" i="5"/>
  <c r="AL66" i="5"/>
  <c r="AJ66" i="5"/>
  <c r="AH66" i="5"/>
  <c r="AR63" i="5"/>
  <c r="AP63" i="5"/>
  <c r="AN63" i="5"/>
  <c r="AL63" i="5"/>
  <c r="AH63" i="5"/>
  <c r="AC66" i="5"/>
  <c r="Y66" i="5"/>
  <c r="W66" i="5"/>
  <c r="U66" i="5"/>
  <c r="S66" i="5"/>
  <c r="AC63" i="5"/>
  <c r="AA63" i="5"/>
  <c r="Y63" i="5"/>
  <c r="W63" i="5"/>
  <c r="S63" i="5"/>
  <c r="N66" i="5"/>
  <c r="J66" i="5"/>
  <c r="H66" i="5"/>
  <c r="F66" i="5"/>
  <c r="D66" i="5"/>
  <c r="N63" i="5"/>
  <c r="L63" i="5"/>
  <c r="J63" i="5"/>
  <c r="H63" i="5"/>
  <c r="D63" i="5"/>
  <c r="BG42" i="5"/>
  <c r="BC42" i="5"/>
  <c r="BA42" i="5"/>
  <c r="AY42" i="5"/>
  <c r="AW42" i="5"/>
  <c r="BG39" i="5"/>
  <c r="BE39" i="5"/>
  <c r="BC39" i="5"/>
  <c r="BA39" i="5"/>
  <c r="AW39" i="5"/>
  <c r="AR42" i="5"/>
  <c r="AN42" i="5"/>
  <c r="AL42" i="5"/>
  <c r="AJ42" i="5"/>
  <c r="AH42" i="5"/>
  <c r="AR39" i="5"/>
  <c r="AP39" i="5"/>
  <c r="AN39" i="5"/>
  <c r="AL39" i="5"/>
  <c r="AH39" i="5"/>
  <c r="AC42" i="5"/>
  <c r="Y42" i="5"/>
  <c r="W42" i="5"/>
  <c r="U42" i="5"/>
  <c r="S42" i="5"/>
  <c r="AC39" i="5"/>
  <c r="AA39" i="5"/>
  <c r="Y39" i="5"/>
  <c r="W39" i="5"/>
  <c r="S39" i="5"/>
  <c r="N42" i="5"/>
  <c r="J42" i="5"/>
  <c r="H42" i="5"/>
  <c r="F42" i="5"/>
  <c r="D42" i="5"/>
  <c r="N39" i="5"/>
  <c r="L39" i="5"/>
  <c r="J39" i="5"/>
  <c r="H39" i="5"/>
  <c r="D39" i="5"/>
  <c r="BG18" i="5"/>
  <c r="BC18" i="5"/>
  <c r="BA18" i="5"/>
  <c r="AY18" i="5"/>
  <c r="AW18" i="5"/>
  <c r="BG15" i="5"/>
  <c r="BE15" i="5"/>
  <c r="BC15" i="5"/>
  <c r="BA15" i="5"/>
  <c r="AW15" i="5"/>
  <c r="AR18" i="5"/>
  <c r="AN18" i="5"/>
  <c r="AL18" i="5"/>
  <c r="AJ18" i="5"/>
  <c r="AH18" i="5"/>
  <c r="AR15" i="5"/>
  <c r="AP15" i="5"/>
  <c r="AN15" i="5"/>
  <c r="AL15" i="5"/>
  <c r="AH15" i="5"/>
  <c r="F110" i="5"/>
  <c r="AY86" i="5"/>
  <c r="AJ86" i="5"/>
  <c r="U86" i="5"/>
  <c r="F86" i="5"/>
  <c r="AY62" i="5"/>
  <c r="AJ62" i="5"/>
  <c r="U62" i="5"/>
  <c r="F62" i="5"/>
  <c r="AY38" i="5"/>
  <c r="AJ38" i="5"/>
  <c r="U38" i="5"/>
  <c r="F38" i="5"/>
  <c r="AY14" i="5"/>
  <c r="AJ14" i="5"/>
  <c r="U14" i="5"/>
  <c r="N113" i="5"/>
  <c r="F113" i="5"/>
  <c r="D110" i="5"/>
  <c r="BG89" i="5"/>
  <c r="AY89" i="5"/>
  <c r="AW86" i="5"/>
  <c r="AR89" i="5"/>
  <c r="AJ89" i="5"/>
  <c r="AH86" i="5"/>
  <c r="AC89" i="5"/>
  <c r="U89" i="5"/>
  <c r="S86" i="5"/>
  <c r="N89" i="5"/>
  <c r="F89" i="5"/>
  <c r="D86" i="5"/>
  <c r="BG65" i="5"/>
  <c r="AY65" i="5"/>
  <c r="AW62" i="5"/>
  <c r="AR65" i="5"/>
  <c r="AJ65" i="5"/>
  <c r="AH62" i="5"/>
  <c r="AC65" i="5"/>
  <c r="U65" i="5"/>
  <c r="S62" i="5"/>
  <c r="N65" i="5"/>
  <c r="F65" i="5"/>
  <c r="D62" i="5"/>
  <c r="BG41" i="5"/>
  <c r="AY41" i="5"/>
  <c r="AW38" i="5"/>
  <c r="AR41" i="5"/>
  <c r="AJ41" i="5"/>
  <c r="AH38" i="5"/>
  <c r="AC41" i="5"/>
  <c r="U41" i="5"/>
  <c r="S38" i="5"/>
  <c r="N41" i="5"/>
  <c r="F41" i="5"/>
  <c r="D38" i="5"/>
  <c r="BG17" i="5"/>
  <c r="AY17" i="5"/>
  <c r="AW14" i="5"/>
  <c r="AR17" i="5"/>
  <c r="AJ17" i="5"/>
  <c r="AH14" i="5"/>
  <c r="AC18" i="5"/>
  <c r="W18" i="5"/>
  <c r="U18" i="5"/>
  <c r="S18" i="5"/>
  <c r="AC15" i="5"/>
  <c r="AA15" i="5"/>
  <c r="Y15" i="5"/>
  <c r="W15" i="5"/>
  <c r="S15" i="5"/>
  <c r="U17" i="5"/>
  <c r="AC17" i="5"/>
  <c r="S14" i="5"/>
  <c r="AH103" i="5"/>
  <c r="S113" i="5"/>
  <c r="AH113" i="5"/>
  <c r="D116" i="5"/>
  <c r="AW92" i="5"/>
  <c r="AH92" i="5"/>
  <c r="S92" i="5"/>
  <c r="D92" i="5"/>
  <c r="AW68" i="5"/>
  <c r="AH68" i="5"/>
  <c r="S68" i="5"/>
  <c r="D68" i="5"/>
  <c r="AW44" i="5"/>
  <c r="AH44" i="5"/>
  <c r="S44" i="5"/>
  <c r="D44" i="5"/>
  <c r="AW20" i="5"/>
  <c r="AH20" i="5"/>
  <c r="A56" i="3"/>
  <c r="CO40" i="2"/>
  <c r="CP40" i="2"/>
  <c r="CQ40" i="2"/>
  <c r="CR40" i="2"/>
  <c r="BX40" i="2"/>
  <c r="BY40" i="2"/>
  <c r="CO41" i="2"/>
  <c r="BU41" i="2"/>
  <c r="BV41" i="2"/>
  <c r="BW41" i="2"/>
  <c r="BX41" i="2"/>
  <c r="BY41" i="2"/>
  <c r="BV42" i="2"/>
  <c r="BW42" i="2"/>
  <c r="BX42" i="2"/>
  <c r="BY42" i="2"/>
  <c r="BT43" i="2"/>
  <c r="BU43" i="2"/>
  <c r="BV43" i="2"/>
  <c r="BW43" i="2"/>
  <c r="BX43" i="2"/>
  <c r="BY43" i="2"/>
  <c r="BT44" i="2"/>
  <c r="CP44" i="2"/>
  <c r="BV44" i="2"/>
  <c r="BW44" i="2"/>
  <c r="BX44" i="2"/>
  <c r="BY44" i="2"/>
  <c r="CO45" i="2"/>
  <c r="BU45" i="2"/>
  <c r="BV45" i="2"/>
  <c r="BW45" i="2"/>
  <c r="BX45" i="2"/>
  <c r="BY45" i="2"/>
  <c r="BT46" i="2"/>
  <c r="BU46" i="2"/>
  <c r="BV46" i="2"/>
  <c r="BW46" i="2"/>
  <c r="BX46" i="2"/>
  <c r="BY46" i="2"/>
  <c r="BU47" i="2"/>
  <c r="BV47" i="2"/>
  <c r="BW47" i="2"/>
  <c r="BX47" i="2"/>
  <c r="BY47" i="2"/>
  <c r="BT48" i="2"/>
  <c r="CP48" i="2"/>
  <c r="BV48" i="2"/>
  <c r="BW48" i="2"/>
  <c r="BX48" i="2"/>
  <c r="BY48" i="2"/>
  <c r="CO49" i="2"/>
  <c r="BU49" i="2"/>
  <c r="BV49" i="2"/>
  <c r="BW49" i="2"/>
  <c r="CS49" i="2"/>
  <c r="CT49" i="2"/>
  <c r="BT50" i="2"/>
  <c r="BU50" i="2"/>
  <c r="BV50" i="2"/>
  <c r="BW50" i="2"/>
  <c r="BX50" i="2"/>
  <c r="BY50" i="2"/>
  <c r="BT51" i="2"/>
  <c r="BU51" i="2"/>
  <c r="BV51" i="2"/>
  <c r="BW51" i="2"/>
  <c r="BX51" i="2"/>
  <c r="BY51" i="2"/>
  <c r="BT52" i="2"/>
  <c r="BU52" i="2"/>
  <c r="BV52" i="2"/>
  <c r="BW52" i="2"/>
  <c r="BX52" i="2"/>
  <c r="BY52" i="2"/>
  <c r="BT53" i="2"/>
  <c r="CP53" i="2"/>
  <c r="BV53" i="2"/>
  <c r="BW53" i="2"/>
  <c r="BX53" i="2"/>
  <c r="BY53" i="2"/>
  <c r="BT54" i="2"/>
  <c r="BU54" i="2"/>
  <c r="CQ54" i="2"/>
  <c r="BW54" i="2"/>
  <c r="BX54" i="2"/>
  <c r="CT54" i="2"/>
  <c r="BT55" i="2"/>
  <c r="CH55" i="2" s="1"/>
  <c r="BU55" i="2"/>
  <c r="BV55" i="2"/>
  <c r="BW55" i="2"/>
  <c r="BX55" i="2"/>
  <c r="BY55" i="2"/>
  <c r="CD59" i="2"/>
  <c r="BT60" i="2"/>
  <c r="BU60" i="2"/>
  <c r="BV60" i="2"/>
  <c r="BW60" i="2"/>
  <c r="BX60" i="2"/>
  <c r="BY60" i="2"/>
  <c r="BZ60" i="2"/>
  <c r="CA60" i="2"/>
  <c r="J7" i="7"/>
  <c r="J14" i="7"/>
  <c r="J15" i="7"/>
  <c r="J16" i="7"/>
  <c r="J17" i="7"/>
  <c r="J28" i="7"/>
  <c r="J29" i="7"/>
  <c r="J30" i="7"/>
  <c r="J31" i="7"/>
  <c r="J33" i="7"/>
  <c r="J34" i="7"/>
  <c r="J35" i="7"/>
  <c r="J36" i="7"/>
  <c r="J48" i="7"/>
  <c r="J49" i="7"/>
  <c r="J50" i="7"/>
  <c r="J51" i="7"/>
  <c r="J52" i="7"/>
  <c r="J53" i="7"/>
  <c r="J54" i="7"/>
  <c r="J55" i="7"/>
  <c r="J56" i="7"/>
  <c r="J57" i="7"/>
  <c r="J59" i="7"/>
  <c r="J60" i="7"/>
  <c r="J61" i="7"/>
  <c r="J62" i="7"/>
  <c r="J63" i="7"/>
  <c r="J64" i="7"/>
  <c r="J65" i="7"/>
  <c r="J66" i="7"/>
  <c r="J67" i="7"/>
  <c r="J68" i="7"/>
  <c r="J69" i="7"/>
  <c r="J70" i="7"/>
  <c r="J71" i="7"/>
  <c r="J73" i="7"/>
  <c r="J74" i="7"/>
  <c r="J75" i="7"/>
  <c r="J76" i="7"/>
  <c r="J77" i="7"/>
  <c r="J78" i="7"/>
  <c r="J79" i="7"/>
  <c r="J80" i="7"/>
  <c r="J81" i="7"/>
  <c r="J82" i="7"/>
  <c r="J83" i="7"/>
  <c r="J84" i="7"/>
  <c r="J85" i="7"/>
  <c r="J86" i="7"/>
  <c r="J94" i="7"/>
  <c r="J95" i="7"/>
  <c r="J96" i="7"/>
  <c r="J97" i="7"/>
  <c r="J98" i="7"/>
  <c r="J99" i="7"/>
  <c r="J100" i="7"/>
  <c r="J102" i="7"/>
  <c r="J103" i="7"/>
  <c r="J104" i="7"/>
  <c r="J105" i="7"/>
  <c r="J106" i="7"/>
  <c r="J108" i="7"/>
  <c r="J109" i="7"/>
  <c r="J110" i="7"/>
  <c r="J111" i="7"/>
  <c r="J112" i="7"/>
  <c r="J113" i="7"/>
  <c r="J114" i="7"/>
  <c r="J115" i="7"/>
  <c r="J116" i="7"/>
  <c r="J117" i="7"/>
  <c r="J118" i="7"/>
  <c r="J119" i="7"/>
  <c r="J120" i="7"/>
  <c r="J121" i="7"/>
  <c r="J122" i="7"/>
  <c r="J123" i="7"/>
  <c r="J124" i="7"/>
  <c r="J125" i="7"/>
  <c r="J126" i="7"/>
  <c r="J127" i="7"/>
  <c r="J128" i="7"/>
  <c r="J129" i="7"/>
  <c r="J131" i="7"/>
  <c r="J132" i="7"/>
  <c r="J133" i="7"/>
  <c r="J134" i="7"/>
  <c r="J135" i="7"/>
  <c r="J136" i="7"/>
  <c r="J137" i="7"/>
  <c r="J138" i="7"/>
  <c r="J139" i="7"/>
  <c r="J140" i="7"/>
  <c r="J141" i="7"/>
  <c r="J142" i="7"/>
  <c r="J143" i="7"/>
  <c r="J144" i="7"/>
  <c r="J145" i="7"/>
  <c r="J146" i="7"/>
  <c r="J147" i="7"/>
  <c r="J160" i="7"/>
  <c r="J161" i="7"/>
  <c r="J162" i="7"/>
  <c r="J163" i="7"/>
  <c r="J164" i="7"/>
  <c r="J165" i="7"/>
  <c r="J166" i="7"/>
  <c r="J167" i="7"/>
  <c r="J168"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7" i="7"/>
  <c r="J3" i="7"/>
  <c r="J4" i="7"/>
  <c r="J5" i="7"/>
  <c r="J6" i="7"/>
  <c r="AG100" i="5"/>
  <c r="R100" i="5"/>
  <c r="T241" i="7"/>
  <c r="T240" i="7"/>
  <c r="T239" i="7"/>
  <c r="T238" i="7"/>
  <c r="T234" i="7"/>
  <c r="D235" i="7"/>
  <c r="D234" i="7"/>
  <c r="D233" i="7"/>
  <c r="D232" i="7"/>
  <c r="D231" i="7"/>
  <c r="T228" i="7"/>
  <c r="D230" i="7"/>
  <c r="T227" i="7"/>
  <c r="D229" i="7"/>
  <c r="D228" i="7"/>
  <c r="D227" i="7"/>
  <c r="T224" i="7"/>
  <c r="D226" i="7"/>
  <c r="D225" i="7"/>
  <c r="D224" i="7"/>
  <c r="D223" i="7"/>
  <c r="D222" i="7"/>
  <c r="D221" i="7"/>
  <c r="T218" i="7"/>
  <c r="D220" i="7"/>
  <c r="D219" i="7"/>
  <c r="T216" i="7"/>
  <c r="D218" i="7"/>
  <c r="D217" i="7"/>
  <c r="T214" i="7"/>
  <c r="D216" i="7"/>
  <c r="T213" i="7"/>
  <c r="D215" i="7"/>
  <c r="D214" i="7"/>
  <c r="D213" i="7"/>
  <c r="D212" i="7"/>
  <c r="D211" i="7"/>
  <c r="D210" i="7"/>
  <c r="D209" i="7"/>
  <c r="D208" i="7"/>
  <c r="D207" i="7"/>
  <c r="T204" i="7"/>
  <c r="D206" i="7"/>
  <c r="D205" i="7"/>
  <c r="D204" i="7"/>
  <c r="D203" i="7"/>
  <c r="T200" i="7"/>
  <c r="D202" i="7"/>
  <c r="D201" i="7"/>
  <c r="D200" i="7"/>
  <c r="D199" i="7"/>
  <c r="D198" i="7"/>
  <c r="D197" i="7"/>
  <c r="T195" i="7"/>
  <c r="D196" i="7"/>
  <c r="T194" i="7"/>
  <c r="D195" i="7"/>
  <c r="T193" i="7"/>
  <c r="D194" i="7"/>
  <c r="D193" i="7"/>
  <c r="T191" i="7"/>
  <c r="D192" i="7"/>
  <c r="D191" i="7"/>
  <c r="T189" i="7"/>
  <c r="D190" i="7"/>
  <c r="D189" i="7"/>
  <c r="T187" i="7"/>
  <c r="D188" i="7"/>
  <c r="D187" i="7"/>
  <c r="T185" i="7"/>
  <c r="D186" i="7"/>
  <c r="D185" i="7"/>
  <c r="D184" i="7"/>
  <c r="D183" i="7"/>
  <c r="T181" i="7"/>
  <c r="D182" i="7"/>
  <c r="D181" i="7"/>
  <c r="T179" i="7"/>
  <c r="D180" i="7"/>
  <c r="D179" i="7"/>
  <c r="D178" i="7"/>
  <c r="D177" i="7"/>
  <c r="T175" i="7"/>
  <c r="D176" i="7"/>
  <c r="D175" i="7"/>
  <c r="D174" i="7"/>
  <c r="T172" i="7"/>
  <c r="D173" i="7"/>
  <c r="T171" i="7"/>
  <c r="D172" i="7"/>
  <c r="D171" i="7"/>
  <c r="D170" i="7"/>
  <c r="T168" i="7"/>
  <c r="D169" i="7"/>
  <c r="D168" i="7"/>
  <c r="T166" i="7"/>
  <c r="D167" i="7"/>
  <c r="D166" i="7"/>
  <c r="T164" i="7"/>
  <c r="D165" i="7"/>
  <c r="D164" i="7"/>
  <c r="D163" i="7"/>
  <c r="D162" i="7"/>
  <c r="T160" i="7"/>
  <c r="D161" i="7"/>
  <c r="T159" i="7"/>
  <c r="D160" i="7"/>
  <c r="D159" i="7"/>
  <c r="D158" i="7"/>
  <c r="D157" i="7"/>
  <c r="T147" i="7"/>
  <c r="D148" i="7"/>
  <c r="T146" i="7"/>
  <c r="D147" i="7"/>
  <c r="T145" i="7"/>
  <c r="D146" i="7"/>
  <c r="T144" i="7"/>
  <c r="D145" i="7"/>
  <c r="T143" i="7"/>
  <c r="D144" i="7"/>
  <c r="D143" i="7"/>
  <c r="D142" i="7"/>
  <c r="D141" i="7"/>
  <c r="D140" i="7"/>
  <c r="T139" i="7"/>
  <c r="D139" i="7"/>
  <c r="T138" i="7"/>
  <c r="D138" i="7"/>
  <c r="T137" i="7"/>
  <c r="D137" i="7"/>
  <c r="T136" i="7"/>
  <c r="D136" i="7"/>
  <c r="T135" i="7"/>
  <c r="D135" i="7"/>
  <c r="T134" i="7"/>
  <c r="D134" i="7"/>
  <c r="D133" i="7"/>
  <c r="T132" i="7"/>
  <c r="D132" i="7"/>
  <c r="T131" i="7"/>
  <c r="D131" i="7"/>
  <c r="T130" i="7"/>
  <c r="D130" i="7"/>
  <c r="T129" i="7"/>
  <c r="D129" i="7"/>
  <c r="T128" i="7"/>
  <c r="D128" i="7"/>
  <c r="D127" i="7"/>
  <c r="D126" i="7"/>
  <c r="D125" i="7"/>
  <c r="D124" i="7"/>
  <c r="D123" i="7"/>
  <c r="D122" i="7"/>
  <c r="D121" i="7"/>
  <c r="T120" i="7"/>
  <c r="D120" i="7"/>
  <c r="T119" i="7"/>
  <c r="D119" i="7"/>
  <c r="T118" i="7"/>
  <c r="D118" i="7"/>
  <c r="T117" i="7"/>
  <c r="D117" i="7"/>
  <c r="T116" i="7"/>
  <c r="D116" i="7"/>
  <c r="T115" i="7"/>
  <c r="D115" i="7"/>
  <c r="D114" i="7"/>
  <c r="T113" i="7"/>
  <c r="D113" i="7"/>
  <c r="T112" i="7"/>
  <c r="D112" i="7"/>
  <c r="T111" i="7"/>
  <c r="D111" i="7"/>
  <c r="T110" i="7"/>
  <c r="D110" i="7"/>
  <c r="T109" i="7"/>
  <c r="D109" i="7"/>
  <c r="T108" i="7"/>
  <c r="D108" i="7"/>
  <c r="T107" i="7"/>
  <c r="D107" i="7"/>
  <c r="D106" i="7"/>
  <c r="T105" i="7"/>
  <c r="D105" i="7"/>
  <c r="T104" i="7"/>
  <c r="D104" i="7"/>
  <c r="T103" i="7"/>
  <c r="D103" i="7"/>
  <c r="T102" i="7"/>
  <c r="D102" i="7"/>
  <c r="T101" i="7"/>
  <c r="D101" i="7"/>
  <c r="D100" i="7"/>
  <c r="T99" i="7"/>
  <c r="D99" i="7"/>
  <c r="T98" i="7"/>
  <c r="D98" i="7"/>
  <c r="D97" i="7"/>
  <c r="D96" i="7"/>
  <c r="T95" i="7"/>
  <c r="D95" i="7"/>
  <c r="D94" i="7"/>
  <c r="T86" i="7"/>
  <c r="D86" i="7"/>
  <c r="T85" i="7"/>
  <c r="D85" i="7"/>
  <c r="T84" i="7"/>
  <c r="D84" i="7"/>
  <c r="T83" i="7"/>
  <c r="D83" i="7"/>
  <c r="T82" i="7"/>
  <c r="D82" i="7"/>
  <c r="T81" i="7"/>
  <c r="D81" i="7"/>
  <c r="T80" i="7"/>
  <c r="D80" i="7"/>
  <c r="T79" i="7"/>
  <c r="D79" i="7"/>
  <c r="T78" i="7"/>
  <c r="D78" i="7"/>
  <c r="D77" i="7"/>
  <c r="T76" i="7"/>
  <c r="D76" i="7"/>
  <c r="T75" i="7"/>
  <c r="D75" i="7"/>
  <c r="T74" i="7"/>
  <c r="D74" i="7"/>
  <c r="T73" i="7"/>
  <c r="D73" i="7"/>
  <c r="T72" i="7"/>
  <c r="D72" i="7"/>
  <c r="D71" i="7"/>
  <c r="T70" i="7"/>
  <c r="D70" i="7"/>
  <c r="T69" i="7"/>
  <c r="D69" i="7"/>
  <c r="T68" i="7"/>
  <c r="D68" i="7"/>
  <c r="T67" i="7"/>
  <c r="D67" i="7"/>
  <c r="T66" i="7"/>
  <c r="D66" i="7"/>
  <c r="T65" i="7"/>
  <c r="D65" i="7"/>
  <c r="D64" i="7"/>
  <c r="T63" i="7"/>
  <c r="D63" i="7"/>
  <c r="T62" i="7"/>
  <c r="D62" i="7"/>
  <c r="T61" i="7"/>
  <c r="D61" i="7"/>
  <c r="T60" i="7"/>
  <c r="D60" i="7"/>
  <c r="T59" i="7"/>
  <c r="D59" i="7"/>
  <c r="T58" i="7"/>
  <c r="D58" i="7"/>
  <c r="D57" i="7"/>
  <c r="T56" i="7"/>
  <c r="D56" i="7"/>
  <c r="T55" i="7"/>
  <c r="D55" i="7"/>
  <c r="D54" i="7"/>
  <c r="T53" i="7"/>
  <c r="D53" i="7"/>
  <c r="T52" i="7"/>
  <c r="D52" i="7"/>
  <c r="T51" i="7"/>
  <c r="D51" i="7"/>
  <c r="T50" i="7"/>
  <c r="D50" i="7"/>
  <c r="T49" i="7"/>
  <c r="D49" i="7"/>
  <c r="T48" i="7"/>
  <c r="D48" i="7"/>
  <c r="T47" i="7"/>
  <c r="D47" i="7"/>
  <c r="T46" i="7"/>
  <c r="D46" i="7"/>
  <c r="D45" i="7"/>
  <c r="T36" i="7"/>
  <c r="D36" i="7"/>
  <c r="T35" i="7"/>
  <c r="D35" i="7"/>
  <c r="T34" i="7"/>
  <c r="D34" i="7"/>
  <c r="T33" i="7"/>
  <c r="D33" i="7"/>
  <c r="T32" i="7"/>
  <c r="D32" i="7"/>
  <c r="D31" i="7"/>
  <c r="T30" i="7"/>
  <c r="D30" i="7"/>
  <c r="T29" i="7"/>
  <c r="D29" i="7"/>
  <c r="T28" i="7"/>
  <c r="D28" i="7"/>
  <c r="T27" i="7"/>
  <c r="D27" i="7"/>
  <c r="T26" i="7"/>
  <c r="D26" i="7"/>
  <c r="T25" i="7"/>
  <c r="D25" i="7"/>
  <c r="D24" i="7"/>
  <c r="T18" i="7"/>
  <c r="D18" i="7"/>
  <c r="T17" i="7"/>
  <c r="D17" i="7"/>
  <c r="T16" i="7"/>
  <c r="D16" i="7"/>
  <c r="T15" i="7"/>
  <c r="D15" i="7"/>
  <c r="D14" i="7"/>
  <c r="T7" i="7"/>
  <c r="D7" i="7"/>
  <c r="T6" i="7"/>
  <c r="D6" i="7"/>
  <c r="T5" i="7"/>
  <c r="D5" i="7"/>
  <c r="T4" i="7"/>
  <c r="D4" i="7"/>
  <c r="T3" i="7"/>
  <c r="D3" i="7"/>
  <c r="L2" i="7"/>
  <c r="D2" i="7"/>
  <c r="B2" i="7"/>
  <c r="AH113" i="6"/>
  <c r="S113" i="6"/>
  <c r="AH103" i="6"/>
  <c r="S103" i="6"/>
  <c r="AG100" i="6"/>
  <c r="R100" i="6"/>
  <c r="C100" i="6"/>
  <c r="C99" i="6"/>
  <c r="B98" i="6"/>
  <c r="AV76" i="6"/>
  <c r="AG76" i="6"/>
  <c r="R76" i="6"/>
  <c r="C76" i="6"/>
  <c r="AV75" i="6"/>
  <c r="AG75" i="6"/>
  <c r="R75" i="6"/>
  <c r="C75" i="6"/>
  <c r="AU74" i="6"/>
  <c r="AF74" i="6"/>
  <c r="Q74" i="6"/>
  <c r="B74" i="6"/>
  <c r="AV52" i="6"/>
  <c r="AG52" i="6"/>
  <c r="R52" i="6"/>
  <c r="C52" i="6"/>
  <c r="AV51" i="6"/>
  <c r="AG51" i="6"/>
  <c r="R51" i="6"/>
  <c r="C51" i="6"/>
  <c r="AU50" i="6"/>
  <c r="AF50" i="6"/>
  <c r="Q50" i="6"/>
  <c r="B50" i="6"/>
  <c r="AV28" i="6"/>
  <c r="AG28" i="6"/>
  <c r="R28" i="6"/>
  <c r="C28" i="6"/>
  <c r="AV27" i="6"/>
  <c r="AG27" i="6"/>
  <c r="R27" i="6"/>
  <c r="C27" i="6"/>
  <c r="AU26" i="6"/>
  <c r="AF26" i="6"/>
  <c r="Q26" i="6"/>
  <c r="B26" i="6"/>
  <c r="L23" i="6"/>
  <c r="H23" i="6"/>
  <c r="D23" i="6"/>
  <c r="H22" i="6"/>
  <c r="D22" i="6"/>
  <c r="L18" i="6"/>
  <c r="H18" i="6"/>
  <c r="D18" i="6"/>
  <c r="H17" i="6"/>
  <c r="L12" i="6"/>
  <c r="H12" i="6"/>
  <c r="D12" i="6"/>
  <c r="H11" i="6"/>
  <c r="L10" i="6"/>
  <c r="H10" i="6"/>
  <c r="D10" i="6"/>
  <c r="L8" i="6"/>
  <c r="H8" i="6"/>
  <c r="D8" i="6"/>
  <c r="L6" i="6"/>
  <c r="B6" i="6"/>
  <c r="AV4" i="6"/>
  <c r="AG4" i="6"/>
  <c r="R4" i="6"/>
  <c r="C4" i="6"/>
  <c r="AV3" i="6"/>
  <c r="AG3" i="6"/>
  <c r="R3" i="6"/>
  <c r="AU2" i="6"/>
  <c r="AF2" i="6"/>
  <c r="Q2" i="6"/>
  <c r="C100" i="5"/>
  <c r="C99" i="5"/>
  <c r="B98" i="5"/>
  <c r="AV76" i="5"/>
  <c r="AG76" i="5"/>
  <c r="R76" i="5"/>
  <c r="C76" i="5"/>
  <c r="AV75" i="5"/>
  <c r="AG75" i="5"/>
  <c r="R75" i="5"/>
  <c r="C75" i="5"/>
  <c r="AU74" i="5"/>
  <c r="AF74" i="5"/>
  <c r="Q74" i="5"/>
  <c r="B74" i="5"/>
  <c r="AV52" i="5"/>
  <c r="AG52" i="5"/>
  <c r="R52" i="5"/>
  <c r="C52" i="5"/>
  <c r="AV51" i="5"/>
  <c r="AG51" i="5"/>
  <c r="R51" i="5"/>
  <c r="C51" i="5"/>
  <c r="AU50" i="5"/>
  <c r="AF50" i="5"/>
  <c r="Q50" i="5"/>
  <c r="B50" i="5"/>
  <c r="AV28" i="5"/>
  <c r="AG28" i="5"/>
  <c r="R28" i="5"/>
  <c r="C28" i="5"/>
  <c r="AV27" i="5"/>
  <c r="AG27" i="5"/>
  <c r="R27" i="5"/>
  <c r="C27" i="5"/>
  <c r="AU26" i="5"/>
  <c r="AF26" i="5"/>
  <c r="Q26" i="5"/>
  <c r="B26" i="5"/>
  <c r="L23" i="5"/>
  <c r="H23" i="5"/>
  <c r="D23" i="5"/>
  <c r="H22" i="5"/>
  <c r="D22" i="5"/>
  <c r="Y18" i="5"/>
  <c r="L18" i="5"/>
  <c r="H18" i="5"/>
  <c r="D18" i="5"/>
  <c r="H17" i="5"/>
  <c r="L12" i="5"/>
  <c r="H12" i="5"/>
  <c r="D12" i="5"/>
  <c r="H11" i="5"/>
  <c r="L10" i="5"/>
  <c r="H10" i="5"/>
  <c r="D10" i="5"/>
  <c r="L8" i="5"/>
  <c r="H8" i="5"/>
  <c r="D8" i="5"/>
  <c r="L6" i="5"/>
  <c r="B6" i="5"/>
  <c r="AV4" i="5"/>
  <c r="AG4" i="5"/>
  <c r="R4" i="5"/>
  <c r="C4" i="5"/>
  <c r="AV3" i="5"/>
  <c r="AG3" i="5"/>
  <c r="R3" i="5"/>
  <c r="AU2" i="5"/>
  <c r="AF2" i="5"/>
  <c r="Q2" i="5"/>
  <c r="L32" i="4"/>
  <c r="K32" i="4"/>
  <c r="J32" i="4"/>
  <c r="I32" i="4"/>
  <c r="H32" i="4"/>
  <c r="G32" i="4"/>
  <c r="L31" i="4"/>
  <c r="K31" i="4"/>
  <c r="J31" i="4"/>
  <c r="I31" i="4"/>
  <c r="H31" i="4"/>
  <c r="G31" i="4"/>
  <c r="L30" i="4"/>
  <c r="K30" i="4"/>
  <c r="J30" i="4"/>
  <c r="I30" i="4"/>
  <c r="H30" i="4"/>
  <c r="G30" i="4"/>
  <c r="L29" i="4"/>
  <c r="K29" i="4"/>
  <c r="J29" i="4"/>
  <c r="I29" i="4"/>
  <c r="H29" i="4"/>
  <c r="G29" i="4"/>
  <c r="L28" i="4"/>
  <c r="K28" i="4"/>
  <c r="J28" i="4"/>
  <c r="I28" i="4"/>
  <c r="H28" i="4"/>
  <c r="G28" i="4"/>
  <c r="L27" i="4"/>
  <c r="K27" i="4"/>
  <c r="J27" i="4"/>
  <c r="I27" i="4"/>
  <c r="H27" i="4"/>
  <c r="G27" i="4"/>
  <c r="L26" i="4"/>
  <c r="K26" i="4"/>
  <c r="J26" i="4"/>
  <c r="I26" i="4"/>
  <c r="H26" i="4"/>
  <c r="G26" i="4"/>
  <c r="L25" i="4"/>
  <c r="K25" i="4"/>
  <c r="J25" i="4"/>
  <c r="I25" i="4"/>
  <c r="H25" i="4"/>
  <c r="G25" i="4"/>
  <c r="L24" i="4"/>
  <c r="K24" i="4"/>
  <c r="J24" i="4"/>
  <c r="I24" i="4"/>
  <c r="H24" i="4"/>
  <c r="G24" i="4"/>
  <c r="L23" i="4"/>
  <c r="K23" i="4"/>
  <c r="J23" i="4"/>
  <c r="I23" i="4"/>
  <c r="H23" i="4"/>
  <c r="G23" i="4"/>
  <c r="L22" i="4"/>
  <c r="K22" i="4"/>
  <c r="J22" i="4"/>
  <c r="I22" i="4"/>
  <c r="H22" i="4"/>
  <c r="G22" i="4"/>
  <c r="L21" i="4"/>
  <c r="K21" i="4"/>
  <c r="J21" i="4"/>
  <c r="I21" i="4"/>
  <c r="H21" i="4"/>
  <c r="G21" i="4"/>
  <c r="L20" i="4"/>
  <c r="K20" i="4"/>
  <c r="J20" i="4"/>
  <c r="I20" i="4"/>
  <c r="H20" i="4"/>
  <c r="G20" i="4"/>
  <c r="L19" i="4"/>
  <c r="K19" i="4"/>
  <c r="J19" i="4"/>
  <c r="I19" i="4"/>
  <c r="H19" i="4"/>
  <c r="G19" i="4"/>
  <c r="L18" i="4"/>
  <c r="K18" i="4"/>
  <c r="J18" i="4"/>
  <c r="I18" i="4"/>
  <c r="H18" i="4"/>
  <c r="G18" i="4"/>
  <c r="AJ55" i="3"/>
  <c r="K55" i="3"/>
  <c r="I55" i="3"/>
  <c r="AJ54" i="3"/>
  <c r="K54" i="3"/>
  <c r="I54" i="3"/>
  <c r="AJ53" i="3"/>
  <c r="K53" i="3"/>
  <c r="I53" i="3"/>
  <c r="AJ52" i="3"/>
  <c r="K52" i="3"/>
  <c r="I52" i="3"/>
  <c r="AJ51" i="3"/>
  <c r="K51" i="3"/>
  <c r="I51" i="3"/>
  <c r="AJ50" i="3"/>
  <c r="K50" i="3"/>
  <c r="I50" i="3"/>
  <c r="AJ49" i="3"/>
  <c r="K49" i="3"/>
  <c r="I49" i="3"/>
  <c r="AJ48" i="3"/>
  <c r="K48" i="3"/>
  <c r="I48" i="3"/>
  <c r="AJ47" i="3"/>
  <c r="K47" i="3"/>
  <c r="I47" i="3"/>
  <c r="AJ46" i="3"/>
  <c r="K46" i="3"/>
  <c r="I46" i="3"/>
  <c r="AJ45" i="3"/>
  <c r="K45" i="3"/>
  <c r="I45" i="3"/>
  <c r="AJ44" i="3"/>
  <c r="K44" i="3"/>
  <c r="I44" i="3"/>
  <c r="AJ43" i="3"/>
  <c r="K43" i="3"/>
  <c r="I43" i="3"/>
  <c r="AJ42" i="3"/>
  <c r="K42" i="3"/>
  <c r="I42" i="3"/>
  <c r="AJ41" i="3"/>
  <c r="K41" i="3"/>
  <c r="I41" i="3"/>
  <c r="AJ40" i="3"/>
  <c r="K40" i="3"/>
  <c r="I40" i="3"/>
  <c r="AJ39" i="3"/>
  <c r="K39" i="3"/>
  <c r="I39" i="3"/>
  <c r="AJ38" i="3"/>
  <c r="K38" i="3"/>
  <c r="I38" i="3"/>
  <c r="AJ37" i="3"/>
  <c r="K37" i="3"/>
  <c r="I37" i="3"/>
  <c r="AJ36" i="3"/>
  <c r="K36" i="3"/>
  <c r="I36" i="3"/>
  <c r="AJ35" i="3"/>
  <c r="K35" i="3"/>
  <c r="I35" i="3"/>
  <c r="AJ34" i="3"/>
  <c r="K34" i="3"/>
  <c r="I34" i="3"/>
  <c r="AJ33" i="3"/>
  <c r="K33" i="3"/>
  <c r="I33" i="3"/>
  <c r="AJ32" i="3"/>
  <c r="K32" i="3"/>
  <c r="I32" i="3"/>
  <c r="AJ31" i="3"/>
  <c r="K31" i="3"/>
  <c r="I31" i="3"/>
  <c r="AJ30" i="3"/>
  <c r="K30" i="3"/>
  <c r="I30" i="3"/>
  <c r="AJ29" i="3"/>
  <c r="K29" i="3"/>
  <c r="I29" i="3"/>
  <c r="AJ28" i="3"/>
  <c r="K28" i="3"/>
  <c r="I28" i="3"/>
  <c r="AJ27" i="3"/>
  <c r="K27" i="3"/>
  <c r="I27" i="3"/>
  <c r="AJ26" i="3"/>
  <c r="K26" i="3"/>
  <c r="I26" i="3"/>
  <c r="AJ25" i="3"/>
  <c r="K25" i="3"/>
  <c r="I25" i="3"/>
  <c r="AJ24" i="3"/>
  <c r="K24" i="3"/>
  <c r="I24" i="3"/>
  <c r="AJ23" i="3"/>
  <c r="K23" i="3"/>
  <c r="I23" i="3"/>
  <c r="AJ22" i="3"/>
  <c r="K22" i="3"/>
  <c r="I22" i="3"/>
  <c r="AJ21" i="3"/>
  <c r="K21" i="3"/>
  <c r="I21" i="3"/>
  <c r="AJ20" i="3"/>
  <c r="K20" i="3"/>
  <c r="I20" i="3"/>
  <c r="AJ19" i="3"/>
  <c r="K19" i="3"/>
  <c r="I19" i="3"/>
  <c r="AJ18" i="3"/>
  <c r="K18" i="3"/>
  <c r="I18" i="3"/>
  <c r="AJ17" i="3"/>
  <c r="K17" i="3"/>
  <c r="I17" i="3"/>
  <c r="AJ16" i="3"/>
  <c r="K16" i="3"/>
  <c r="I16" i="3"/>
  <c r="AJ15" i="3"/>
  <c r="K15" i="3"/>
  <c r="I15" i="3"/>
  <c r="AJ14" i="3"/>
  <c r="K14" i="3"/>
  <c r="I14" i="3"/>
  <c r="AJ13" i="3"/>
  <c r="K13" i="3"/>
  <c r="I13" i="3"/>
  <c r="AJ12" i="3"/>
  <c r="K12" i="3"/>
  <c r="I12" i="3"/>
  <c r="AJ11" i="3"/>
  <c r="K11" i="3"/>
  <c r="I11" i="3"/>
  <c r="AJ10" i="3"/>
  <c r="K10" i="3"/>
  <c r="I10" i="3"/>
  <c r="AJ9" i="3"/>
  <c r="K9" i="3"/>
  <c r="I9" i="3"/>
  <c r="AJ8" i="3"/>
  <c r="K8" i="3"/>
  <c r="I8" i="3"/>
  <c r="AJ7" i="3"/>
  <c r="K7" i="3"/>
  <c r="I7" i="3"/>
  <c r="AJ6" i="3"/>
  <c r="K6" i="3"/>
  <c r="I6" i="3"/>
  <c r="AA2" i="3"/>
  <c r="AA3" i="3" s="1"/>
  <c r="Z2" i="3"/>
  <c r="Z3" i="3" s="1"/>
  <c r="X2" i="3"/>
  <c r="K27" i="2" s="1"/>
  <c r="W2" i="3"/>
  <c r="W3" i="3" s="1"/>
  <c r="U2" i="3"/>
  <c r="U3" i="3" s="1"/>
  <c r="T2" i="3"/>
  <c r="T3" i="3" s="1"/>
  <c r="R2" i="3"/>
  <c r="R3" i="3" s="1"/>
  <c r="Q2" i="3"/>
  <c r="Q3" i="3" s="1"/>
  <c r="O2" i="3"/>
  <c r="O3" i="3" s="1"/>
  <c r="N2" i="3"/>
  <c r="N3" i="3" s="1"/>
  <c r="L2" i="3"/>
  <c r="L3" i="3" s="1"/>
  <c r="H2" i="3"/>
  <c r="H3" i="3" s="1"/>
  <c r="F2" i="3"/>
  <c r="F3" i="3" s="1"/>
  <c r="CA137" i="2"/>
  <c r="BZ137" i="2"/>
  <c r="BY137" i="2"/>
  <c r="BX137" i="2"/>
  <c r="BW137" i="2"/>
  <c r="BV137" i="2"/>
  <c r="BU137" i="2"/>
  <c r="BT137" i="2"/>
  <c r="CA136" i="2"/>
  <c r="BZ136" i="2"/>
  <c r="BY136" i="2"/>
  <c r="BX136" i="2"/>
  <c r="BW136" i="2"/>
  <c r="BV136" i="2"/>
  <c r="BU136" i="2"/>
  <c r="BT136" i="2"/>
  <c r="CA135" i="2"/>
  <c r="BZ135" i="2"/>
  <c r="BY135" i="2"/>
  <c r="BX135" i="2"/>
  <c r="BW135" i="2"/>
  <c r="BV135" i="2"/>
  <c r="BU135" i="2"/>
  <c r="BT135" i="2"/>
  <c r="CA134" i="2"/>
  <c r="BZ134" i="2"/>
  <c r="BY134" i="2"/>
  <c r="BX134" i="2"/>
  <c r="BW134" i="2"/>
  <c r="BV134" i="2"/>
  <c r="BU134" i="2"/>
  <c r="BT134" i="2"/>
  <c r="CA133" i="2"/>
  <c r="BZ133" i="2"/>
  <c r="BY133" i="2"/>
  <c r="BX133" i="2"/>
  <c r="BW133" i="2"/>
  <c r="BV133" i="2"/>
  <c r="BU133" i="2"/>
  <c r="BT133" i="2"/>
  <c r="CA132" i="2"/>
  <c r="BZ132" i="2"/>
  <c r="BY132" i="2"/>
  <c r="BX132" i="2"/>
  <c r="BW132" i="2"/>
  <c r="BV132" i="2"/>
  <c r="BU132" i="2"/>
  <c r="BT132" i="2"/>
  <c r="CA131" i="2"/>
  <c r="BZ131" i="2"/>
  <c r="BY131" i="2"/>
  <c r="BX131" i="2"/>
  <c r="BW131" i="2"/>
  <c r="BV131" i="2"/>
  <c r="BU131" i="2"/>
  <c r="BT131" i="2"/>
  <c r="CA130" i="2"/>
  <c r="BZ130" i="2"/>
  <c r="BY130" i="2"/>
  <c r="BX130" i="2"/>
  <c r="BW130" i="2"/>
  <c r="BV130" i="2"/>
  <c r="BU130" i="2"/>
  <c r="BT130" i="2"/>
  <c r="CA129" i="2"/>
  <c r="BZ129" i="2"/>
  <c r="BY129" i="2"/>
  <c r="BX129" i="2"/>
  <c r="BW129" i="2"/>
  <c r="BV129" i="2"/>
  <c r="BU129" i="2"/>
  <c r="BT129" i="2"/>
  <c r="CA128" i="2"/>
  <c r="BZ128" i="2"/>
  <c r="BY128" i="2"/>
  <c r="BX128" i="2"/>
  <c r="BW128" i="2"/>
  <c r="BV128" i="2"/>
  <c r="BU128" i="2"/>
  <c r="BT128" i="2"/>
  <c r="CA127" i="2"/>
  <c r="BZ127" i="2"/>
  <c r="BY127" i="2"/>
  <c r="BX127" i="2"/>
  <c r="BW127" i="2"/>
  <c r="BV127" i="2"/>
  <c r="BU127" i="2"/>
  <c r="BT127" i="2"/>
  <c r="CA126" i="2"/>
  <c r="BZ126" i="2"/>
  <c r="BY126" i="2"/>
  <c r="BX126" i="2"/>
  <c r="BW126" i="2"/>
  <c r="BV126" i="2"/>
  <c r="BU126" i="2"/>
  <c r="BT126" i="2"/>
  <c r="CA125" i="2"/>
  <c r="BZ125" i="2"/>
  <c r="BY125" i="2"/>
  <c r="BX125" i="2"/>
  <c r="BW125" i="2"/>
  <c r="BV125" i="2"/>
  <c r="CA124" i="2"/>
  <c r="BZ124" i="2"/>
  <c r="BY124" i="2"/>
  <c r="BX124" i="2"/>
  <c r="BW124" i="2"/>
  <c r="BV124" i="2"/>
  <c r="CA123" i="2"/>
  <c r="BZ123" i="2"/>
  <c r="BY123" i="2"/>
  <c r="BX123" i="2"/>
  <c r="BW123" i="2"/>
  <c r="BV123" i="2"/>
  <c r="CA122" i="2"/>
  <c r="BZ122" i="2"/>
  <c r="BY122" i="2"/>
  <c r="BX122" i="2"/>
  <c r="BW122" i="2"/>
  <c r="BV122" i="2"/>
  <c r="CA121" i="2"/>
  <c r="BZ121" i="2"/>
  <c r="BY121" i="2"/>
  <c r="BX121" i="2"/>
  <c r="BW121" i="2"/>
  <c r="BV121" i="2"/>
  <c r="CA120" i="2"/>
  <c r="BZ120" i="2"/>
  <c r="BY120" i="2"/>
  <c r="BX120" i="2"/>
  <c r="BW120" i="2"/>
  <c r="BV120" i="2"/>
  <c r="CA119" i="2"/>
  <c r="BZ119" i="2"/>
  <c r="BY119" i="2"/>
  <c r="BX119" i="2"/>
  <c r="BW119" i="2"/>
  <c r="BV119" i="2"/>
  <c r="CA118" i="2"/>
  <c r="BZ118" i="2"/>
  <c r="BY118" i="2"/>
  <c r="BX118" i="2"/>
  <c r="BW118" i="2"/>
  <c r="BV118" i="2"/>
  <c r="CA117" i="2"/>
  <c r="BZ117" i="2"/>
  <c r="BY117" i="2"/>
  <c r="BX117" i="2"/>
  <c r="BW117" i="2"/>
  <c r="BV117" i="2"/>
  <c r="CA116" i="2"/>
  <c r="BZ116" i="2"/>
  <c r="BY116" i="2"/>
  <c r="BX116" i="2"/>
  <c r="BW116" i="2"/>
  <c r="BV116" i="2"/>
  <c r="CA115" i="2"/>
  <c r="BZ115" i="2"/>
  <c r="BY115" i="2"/>
  <c r="BX115" i="2"/>
  <c r="BW115" i="2"/>
  <c r="BV115" i="2"/>
  <c r="CA114" i="2"/>
  <c r="BZ114" i="2"/>
  <c r="BY114" i="2"/>
  <c r="BX114" i="2"/>
  <c r="BW114" i="2"/>
  <c r="BV114" i="2"/>
  <c r="CA113" i="2"/>
  <c r="BZ113" i="2"/>
  <c r="CA112" i="2"/>
  <c r="BZ112" i="2"/>
  <c r="CA111" i="2"/>
  <c r="BZ111" i="2"/>
  <c r="CA110" i="2"/>
  <c r="BZ110" i="2"/>
  <c r="CA109" i="2"/>
  <c r="BZ109" i="2"/>
  <c r="CA108" i="2"/>
  <c r="BZ108" i="2"/>
  <c r="CA107" i="2"/>
  <c r="BZ107" i="2"/>
  <c r="CA106" i="2"/>
  <c r="BZ106" i="2"/>
  <c r="CA105" i="2"/>
  <c r="BZ105" i="2"/>
  <c r="CA104" i="2"/>
  <c r="BZ104" i="2"/>
  <c r="CA103" i="2"/>
  <c r="BZ103" i="2"/>
  <c r="CA102" i="2"/>
  <c r="BZ102" i="2"/>
  <c r="AP76" i="2"/>
  <c r="AO76" i="2"/>
  <c r="AN76" i="2"/>
  <c r="AM76" i="2"/>
  <c r="AL76" i="2"/>
  <c r="AP75" i="2"/>
  <c r="AO75" i="2"/>
  <c r="AN75" i="2"/>
  <c r="AM75" i="2"/>
  <c r="AL75" i="2"/>
  <c r="AP74" i="2"/>
  <c r="AO74" i="2"/>
  <c r="AN74" i="2"/>
  <c r="AM74" i="2"/>
  <c r="AL74" i="2"/>
  <c r="AP73" i="2"/>
  <c r="AO73" i="2"/>
  <c r="AN73" i="2"/>
  <c r="AM73" i="2"/>
  <c r="AL73" i="2"/>
  <c r="AP72" i="2"/>
  <c r="AO72" i="2"/>
  <c r="AN72" i="2"/>
  <c r="AM72" i="2"/>
  <c r="AL72" i="2"/>
  <c r="AP71" i="2"/>
  <c r="AO71" i="2"/>
  <c r="AN71" i="2"/>
  <c r="AM71" i="2"/>
  <c r="AL71" i="2"/>
  <c r="AJ71" i="2"/>
  <c r="AP70" i="2"/>
  <c r="AO70" i="2"/>
  <c r="AN70" i="2"/>
  <c r="AM70" i="2"/>
  <c r="AL70" i="2"/>
  <c r="AP69" i="2"/>
  <c r="AO69" i="2"/>
  <c r="AN69" i="2"/>
  <c r="AM69" i="2"/>
  <c r="AL69" i="2"/>
  <c r="AP68" i="2"/>
  <c r="AO68" i="2"/>
  <c r="AN68" i="2"/>
  <c r="AM68" i="2"/>
  <c r="AL68" i="2"/>
  <c r="AP67" i="2"/>
  <c r="AO67" i="2"/>
  <c r="AN67" i="2"/>
  <c r="AM67" i="2"/>
  <c r="AL67" i="2"/>
  <c r="AP66" i="2"/>
  <c r="AO66" i="2"/>
  <c r="AN66" i="2"/>
  <c r="AM66" i="2"/>
  <c r="AL66" i="2"/>
  <c r="AP65" i="2"/>
  <c r="AO65" i="2"/>
  <c r="AN65" i="2"/>
  <c r="AM65" i="2"/>
  <c r="AL65" i="2"/>
  <c r="AP64" i="2"/>
  <c r="AO64" i="2"/>
  <c r="AN64" i="2"/>
  <c r="AM64" i="2"/>
  <c r="AL64" i="2"/>
  <c r="AP63" i="2"/>
  <c r="AO63" i="2"/>
  <c r="AN63" i="2"/>
  <c r="AM63" i="2"/>
  <c r="AL63" i="2"/>
  <c r="AP62" i="2"/>
  <c r="AO62" i="2"/>
  <c r="AN62" i="2"/>
  <c r="AM62" i="2"/>
  <c r="AL62" i="2"/>
  <c r="AP61" i="2"/>
  <c r="AO61" i="2"/>
  <c r="AN61" i="2"/>
  <c r="AM61" i="2"/>
  <c r="AL61" i="2"/>
  <c r="B52" i="2"/>
  <c r="AY55" i="2" s="1"/>
  <c r="B51" i="2"/>
  <c r="AY54" i="2" s="1"/>
  <c r="B50" i="2"/>
  <c r="AY53" i="2" s="1"/>
  <c r="B49" i="2"/>
  <c r="AY52" i="2" s="1"/>
  <c r="B48" i="2"/>
  <c r="AY51" i="2" s="1"/>
  <c r="B47" i="2"/>
  <c r="AY50" i="2" s="1"/>
  <c r="B46" i="2"/>
  <c r="AY49" i="2" s="1"/>
  <c r="B45" i="2"/>
  <c r="AY48" i="2" s="1"/>
  <c r="B44" i="2"/>
  <c r="AY47" i="2" s="1"/>
  <c r="B43" i="2"/>
  <c r="AY46" i="2" s="1"/>
  <c r="B42" i="2"/>
  <c r="AY45" i="2" s="1"/>
  <c r="B41" i="2"/>
  <c r="AY44" i="2" s="1"/>
  <c r="B40" i="2"/>
  <c r="AY43" i="2" s="1"/>
  <c r="B39" i="2"/>
  <c r="AY42" i="2" s="1"/>
  <c r="B38" i="2"/>
  <c r="AY41" i="2" s="1"/>
  <c r="B37" i="2"/>
  <c r="AO30" i="2"/>
  <c r="AC28" i="2"/>
  <c r="AC27" i="2"/>
  <c r="AL26" i="2"/>
  <c r="AO26" i="2" s="1"/>
  <c r="AC26" i="2"/>
  <c r="AL25" i="2"/>
  <c r="AO25" i="2" s="1"/>
  <c r="AC25" i="2"/>
  <c r="AO24" i="2"/>
  <c r="AC24" i="2"/>
  <c r="AC23" i="2"/>
  <c r="AJ21" i="2"/>
  <c r="L114" i="6"/>
  <c r="H17" i="2"/>
  <c r="AK16" i="2"/>
  <c r="BE90" i="6" s="1"/>
  <c r="H16" i="2"/>
  <c r="AK15" i="2"/>
  <c r="AP90" i="5" s="1"/>
  <c r="H15" i="2"/>
  <c r="AK14" i="2"/>
  <c r="AA90" i="6" s="1"/>
  <c r="H14" i="2"/>
  <c r="AK13" i="2"/>
  <c r="L90" i="6" s="1"/>
  <c r="H13" i="2"/>
  <c r="AK12" i="2"/>
  <c r="BE66" i="6" s="1"/>
  <c r="H12" i="2"/>
  <c r="AK11" i="2"/>
  <c r="AP66" i="5" s="1"/>
  <c r="H11" i="2"/>
  <c r="AK10" i="2"/>
  <c r="AA66" i="6" s="1"/>
  <c r="H10" i="2"/>
  <c r="AK9" i="2"/>
  <c r="L66" i="5" s="1"/>
  <c r="H9" i="2"/>
  <c r="AK8" i="2"/>
  <c r="BE42" i="6" s="1"/>
  <c r="H8" i="2"/>
  <c r="AK7" i="2"/>
  <c r="AP42" i="6" s="1"/>
  <c r="H7" i="2"/>
  <c r="AK6" i="2"/>
  <c r="AA42" i="6" s="1"/>
  <c r="H6" i="2"/>
  <c r="AK5" i="2"/>
  <c r="L42" i="6" s="1"/>
  <c r="H5" i="2"/>
  <c r="AK4" i="2"/>
  <c r="BE18" i="6" s="1"/>
  <c r="H4" i="2"/>
  <c r="AK3" i="2"/>
  <c r="AP18" i="5" s="1"/>
  <c r="H3" i="2"/>
  <c r="AA18" i="5"/>
  <c r="H2" i="2"/>
  <c r="AS17" i="2" l="1"/>
  <c r="CH57" i="2"/>
  <c r="J32" i="7"/>
  <c r="BV2" i="2"/>
  <c r="I2" i="3"/>
  <c r="I3" i="3" s="1"/>
  <c r="J236" i="7"/>
  <c r="J205" i="7"/>
  <c r="J101" i="7"/>
  <c r="J107" i="7"/>
  <c r="J130" i="7"/>
  <c r="J169" i="7"/>
  <c r="K2" i="3"/>
  <c r="K3" i="3" s="1"/>
  <c r="X3" i="3"/>
  <c r="F87" i="6"/>
  <c r="U87" i="6"/>
  <c r="AU105" i="6"/>
  <c r="AU105" i="5"/>
  <c r="AU107" i="6"/>
  <c r="AU107" i="5"/>
  <c r="AU101" i="6"/>
  <c r="AU101" i="5"/>
  <c r="AU113" i="6"/>
  <c r="AU113" i="5"/>
  <c r="AU118" i="6"/>
  <c r="AU118" i="5"/>
  <c r="AU103" i="6"/>
  <c r="AU103" i="5"/>
  <c r="BE66" i="5"/>
  <c r="L114" i="5"/>
  <c r="F63" i="6"/>
  <c r="L66" i="6"/>
  <c r="BE18" i="5"/>
  <c r="AA90" i="5"/>
  <c r="AP66" i="6"/>
  <c r="J58" i="7"/>
  <c r="CI51" i="2"/>
  <c r="AA42" i="5"/>
  <c r="AP18" i="6"/>
  <c r="U39" i="6"/>
  <c r="J72" i="7"/>
  <c r="AA18" i="6"/>
  <c r="U39" i="5"/>
  <c r="AP42" i="5"/>
  <c r="AA66" i="5"/>
  <c r="AP90" i="6"/>
  <c r="CM51" i="2"/>
  <c r="L42" i="5"/>
  <c r="L90" i="5"/>
  <c r="AJ39" i="6"/>
  <c r="U63" i="6"/>
  <c r="AJ87" i="6"/>
  <c r="BE42" i="5"/>
  <c r="BE90" i="5"/>
  <c r="AY87" i="6"/>
  <c r="AY15" i="6"/>
  <c r="AJ15" i="6"/>
  <c r="AJ63" i="6"/>
  <c r="AJ15" i="5"/>
  <c r="F39" i="5"/>
  <c r="F63" i="5"/>
  <c r="F87" i="5"/>
  <c r="F111" i="5"/>
  <c r="F39" i="6"/>
  <c r="AY39" i="6"/>
  <c r="AY63" i="6"/>
  <c r="F111" i="6"/>
  <c r="AY15" i="5"/>
  <c r="AY39" i="5"/>
  <c r="AY63" i="5"/>
  <c r="AY87" i="5"/>
  <c r="AJ39" i="5"/>
  <c r="AJ63" i="5"/>
  <c r="AJ87" i="5"/>
  <c r="U63" i="5"/>
  <c r="U87" i="5"/>
  <c r="AP14" i="6"/>
  <c r="H41" i="5"/>
  <c r="AL65" i="5"/>
  <c r="J62" i="6"/>
  <c r="AL17" i="5"/>
  <c r="BC62" i="6"/>
  <c r="AL41" i="5"/>
  <c r="L110" i="5"/>
  <c r="BE38" i="6"/>
  <c r="AR62" i="6"/>
  <c r="BE62" i="6"/>
  <c r="AP86" i="6"/>
  <c r="AL89" i="6"/>
  <c r="L38" i="5"/>
  <c r="L86" i="5"/>
  <c r="AC86" i="5"/>
  <c r="W41" i="6"/>
  <c r="AC86" i="6"/>
  <c r="AR86" i="6"/>
  <c r="Y38" i="5"/>
  <c r="L62" i="5"/>
  <c r="AC62" i="5"/>
  <c r="AL89" i="5"/>
  <c r="AA14" i="6"/>
  <c r="AL17" i="6"/>
  <c r="BA14" i="5"/>
  <c r="H86" i="6"/>
  <c r="AN62" i="5"/>
  <c r="AN86" i="5"/>
  <c r="J86" i="6"/>
  <c r="BC86" i="6"/>
  <c r="H110" i="6"/>
  <c r="W17" i="5"/>
  <c r="AP14" i="5"/>
  <c r="N38" i="5"/>
  <c r="AP38" i="5"/>
  <c r="H65" i="5"/>
  <c r="AP62" i="5"/>
  <c r="H89" i="5"/>
  <c r="AP86" i="5"/>
  <c r="H113" i="5"/>
  <c r="AR14" i="6"/>
  <c r="BC14" i="6"/>
  <c r="H38" i="6"/>
  <c r="AC38" i="6"/>
  <c r="AP38" i="6"/>
  <c r="AL41" i="6"/>
  <c r="W65" i="6"/>
  <c r="BE86" i="6"/>
  <c r="J110" i="6"/>
  <c r="BC14" i="5"/>
  <c r="AN38" i="5"/>
  <c r="AR14" i="5"/>
  <c r="W38" i="5"/>
  <c r="BG38" i="5"/>
  <c r="J62" i="5"/>
  <c r="BG62" i="5"/>
  <c r="J86" i="5"/>
  <c r="BG86" i="5"/>
  <c r="J110" i="5"/>
  <c r="Y14" i="6"/>
  <c r="BE14" i="6"/>
  <c r="J38" i="6"/>
  <c r="AR38" i="6"/>
  <c r="BC38" i="6"/>
  <c r="H62" i="6"/>
  <c r="AC62" i="6"/>
  <c r="AP62" i="6"/>
  <c r="AL65" i="6"/>
  <c r="W89" i="6"/>
  <c r="U15" i="6"/>
  <c r="AW17" i="5"/>
  <c r="BC41" i="5"/>
  <c r="S17" i="6"/>
  <c r="AW41" i="6"/>
  <c r="AW65" i="6"/>
  <c r="J89" i="6"/>
  <c r="J113" i="6"/>
  <c r="BA38" i="5"/>
  <c r="AW41" i="5"/>
  <c r="BA62" i="5"/>
  <c r="AW65" i="5"/>
  <c r="BA86" i="5"/>
  <c r="AW89" i="5"/>
  <c r="W38" i="6"/>
  <c r="Y41" i="6"/>
  <c r="D65" i="6"/>
  <c r="W86" i="6"/>
  <c r="Y89" i="6"/>
  <c r="S17" i="5"/>
  <c r="AL14" i="5"/>
  <c r="AH17" i="5"/>
  <c r="BE14" i="5"/>
  <c r="BA17" i="5"/>
  <c r="H38" i="5"/>
  <c r="D41" i="5"/>
  <c r="AA38" i="5"/>
  <c r="AR38" i="5"/>
  <c r="AN41" i="5"/>
  <c r="BC38" i="5"/>
  <c r="N62" i="5"/>
  <c r="J65" i="5"/>
  <c r="Y62" i="5"/>
  <c r="AR62" i="5"/>
  <c r="AN65" i="5"/>
  <c r="BC62" i="5"/>
  <c r="N86" i="5"/>
  <c r="J89" i="5"/>
  <c r="Y86" i="5"/>
  <c r="AR86" i="5"/>
  <c r="AN89" i="5"/>
  <c r="BC86" i="5"/>
  <c r="N110" i="5"/>
  <c r="J113" i="5"/>
  <c r="AC14" i="6"/>
  <c r="W17" i="6"/>
  <c r="AL14" i="6"/>
  <c r="AN17" i="6"/>
  <c r="BG14" i="6"/>
  <c r="BA17" i="6"/>
  <c r="L38" i="6"/>
  <c r="Y38" i="6"/>
  <c r="S41" i="6"/>
  <c r="AL38" i="6"/>
  <c r="AN41" i="6"/>
  <c r="BG38" i="6"/>
  <c r="BA41" i="6"/>
  <c r="L62" i="6"/>
  <c r="Y62" i="6"/>
  <c r="S65" i="6"/>
  <c r="AL62" i="6"/>
  <c r="AN65" i="6"/>
  <c r="BG62" i="6"/>
  <c r="BA65" i="6"/>
  <c r="L86" i="6"/>
  <c r="Y86" i="6"/>
  <c r="S89" i="6"/>
  <c r="AL86" i="6"/>
  <c r="AN89" i="6"/>
  <c r="BG86" i="6"/>
  <c r="BA89" i="6"/>
  <c r="L110" i="6"/>
  <c r="Y41" i="5"/>
  <c r="Y65" i="5"/>
  <c r="BC65" i="5"/>
  <c r="Y89" i="5"/>
  <c r="BC89" i="5"/>
  <c r="AW17" i="6"/>
  <c r="J41" i="6"/>
  <c r="J65" i="6"/>
  <c r="AW89" i="6"/>
  <c r="AN17" i="5"/>
  <c r="J41" i="5"/>
  <c r="S41" i="5"/>
  <c r="W62" i="5"/>
  <c r="S65" i="5"/>
  <c r="W86" i="5"/>
  <c r="S89" i="5"/>
  <c r="D41" i="6"/>
  <c r="W62" i="6"/>
  <c r="Y65" i="6"/>
  <c r="D89" i="6"/>
  <c r="D113" i="6"/>
  <c r="AN14" i="5"/>
  <c r="BG14" i="5"/>
  <c r="BC17" i="5"/>
  <c r="J38" i="5"/>
  <c r="AC38" i="5"/>
  <c r="W41" i="5"/>
  <c r="AL38" i="5"/>
  <c r="AH41" i="5"/>
  <c r="BE38" i="5"/>
  <c r="BA41" i="5"/>
  <c r="H62" i="5"/>
  <c r="D65" i="5"/>
  <c r="AA62" i="5"/>
  <c r="W65" i="5"/>
  <c r="AL62" i="5"/>
  <c r="AH65" i="5"/>
  <c r="BE62" i="5"/>
  <c r="BA65" i="5"/>
  <c r="H86" i="5"/>
  <c r="D89" i="5"/>
  <c r="AA86" i="5"/>
  <c r="W89" i="5"/>
  <c r="AL86" i="5"/>
  <c r="AH89" i="5"/>
  <c r="BE86" i="5"/>
  <c r="BA89" i="5"/>
  <c r="H110" i="5"/>
  <c r="D113" i="5"/>
  <c r="W14" i="6"/>
  <c r="Y17" i="6"/>
  <c r="AN14" i="6"/>
  <c r="AH17" i="6"/>
  <c r="BA14" i="6"/>
  <c r="BC17" i="6"/>
  <c r="N38" i="6"/>
  <c r="H41" i="6"/>
  <c r="AA38" i="6"/>
  <c r="AN38" i="6"/>
  <c r="AH41" i="6"/>
  <c r="BA38" i="6"/>
  <c r="BC41" i="6"/>
  <c r="N62" i="6"/>
  <c r="H65" i="6"/>
  <c r="AA62" i="6"/>
  <c r="AN62" i="6"/>
  <c r="AH65" i="6"/>
  <c r="BA62" i="6"/>
  <c r="BC65" i="6"/>
  <c r="N86" i="6"/>
  <c r="H89" i="6"/>
  <c r="AA86" i="6"/>
  <c r="BA86" i="6"/>
  <c r="U15" i="5"/>
  <c r="Y14" i="5"/>
  <c r="AC14" i="5"/>
  <c r="CO53" i="2"/>
  <c r="CO48" i="2"/>
  <c r="CO51" i="2"/>
  <c r="CY55" i="2"/>
  <c r="CZ47" i="2"/>
  <c r="CZ43" i="2"/>
  <c r="CM40" i="2"/>
  <c r="AY40" i="2"/>
  <c r="CS44" i="2"/>
  <c r="CP47" i="2"/>
  <c r="CQ46" i="2"/>
  <c r="CR55" i="2"/>
  <c r="CP50" i="2"/>
  <c r="CS51" i="2"/>
  <c r="CS47" i="2"/>
  <c r="CT43" i="2"/>
  <c r="CS55" i="2"/>
  <c r="CS48" i="2"/>
  <c r="CR53" i="2"/>
  <c r="CQ41" i="2"/>
  <c r="CR48" i="2"/>
  <c r="CQ52" i="2"/>
  <c r="CQ50" i="2"/>
  <c r="CP45" i="2"/>
  <c r="CK55" i="2"/>
  <c r="CQ45" i="2"/>
  <c r="CS53" i="2"/>
  <c r="CT51" i="2"/>
  <c r="CT47" i="2"/>
  <c r="CR46" i="2"/>
  <c r="CQ55" i="2"/>
  <c r="CR49" i="2"/>
  <c r="CO47" i="2"/>
  <c r="CT45" i="2"/>
  <c r="CR44" i="2"/>
  <c r="BU44" i="2"/>
  <c r="CI44" i="2" s="1"/>
  <c r="CS43" i="2"/>
  <c r="CR42" i="2"/>
  <c r="CP41" i="2"/>
  <c r="CT55" i="2"/>
  <c r="CP55" i="2"/>
  <c r="CR52" i="2"/>
  <c r="CP51" i="2"/>
  <c r="CT50" i="2"/>
  <c r="CO44" i="2"/>
  <c r="CP43" i="2"/>
  <c r="CQ42" i="2"/>
  <c r="BU53" i="2"/>
  <c r="CI53" i="2" s="1"/>
  <c r="BU48" i="2"/>
  <c r="CI48" i="2" s="1"/>
  <c r="CO43" i="2"/>
  <c r="CT41" i="2"/>
  <c r="CL52" i="2"/>
  <c r="CZ52" i="2"/>
  <c r="CM46" i="2"/>
  <c r="DA46" i="2"/>
  <c r="CM53" i="2"/>
  <c r="DA53" i="2"/>
  <c r="CM48" i="2"/>
  <c r="DA48" i="2"/>
  <c r="CM42" i="2"/>
  <c r="DA42" i="2"/>
  <c r="CL41" i="2"/>
  <c r="CZ41" i="2"/>
  <c r="CJ55" i="2"/>
  <c r="CX55" i="2"/>
  <c r="CH52" i="2"/>
  <c r="CV52" i="2"/>
  <c r="CI46" i="2"/>
  <c r="CW46" i="2"/>
  <c r="CL45" i="2"/>
  <c r="CZ45" i="2"/>
  <c r="CL50" i="2"/>
  <c r="CZ50" i="2"/>
  <c r="CM44" i="2"/>
  <c r="DA44" i="2"/>
  <c r="BV54" i="2"/>
  <c r="CJ54" i="2" s="1"/>
  <c r="BX49" i="2"/>
  <c r="CQ53" i="2"/>
  <c r="CS52" i="2"/>
  <c r="CO52" i="2"/>
  <c r="DA51" i="2"/>
  <c r="CR51" i="2"/>
  <c r="CS50" i="2"/>
  <c r="CO50" i="2"/>
  <c r="BT49" i="2"/>
  <c r="CH49" i="2" s="1"/>
  <c r="CQ48" i="2"/>
  <c r="CR47" i="2"/>
  <c r="CL47" i="2"/>
  <c r="CT46" i="2"/>
  <c r="CP46" i="2"/>
  <c r="CR45" i="2"/>
  <c r="CQ44" i="2"/>
  <c r="CR43" i="2"/>
  <c r="CL43" i="2"/>
  <c r="CT42" i="2"/>
  <c r="CP42" i="2"/>
  <c r="CR41" i="2"/>
  <c r="CT40" i="2"/>
  <c r="CT52" i="2"/>
  <c r="CP52" i="2"/>
  <c r="CS45" i="2"/>
  <c r="CS41" i="2"/>
  <c r="CT53" i="2"/>
  <c r="CW51" i="2"/>
  <c r="CQ51" i="2"/>
  <c r="CR50" i="2"/>
  <c r="CT48" i="2"/>
  <c r="CQ47" i="2"/>
  <c r="CS46" i="2"/>
  <c r="CO46" i="2"/>
  <c r="CT44" i="2"/>
  <c r="CQ43" i="2"/>
  <c r="CS42" i="2"/>
  <c r="CO42" i="2"/>
  <c r="CS40" i="2"/>
  <c r="CM52" i="2"/>
  <c r="DA52" i="2"/>
  <c r="CH50" i="2"/>
  <c r="CV50" i="2"/>
  <c r="CL51" i="2"/>
  <c r="CZ51" i="2"/>
  <c r="CM50" i="2"/>
  <c r="DA50" i="2"/>
  <c r="CM45" i="2"/>
  <c r="DA45" i="2"/>
  <c r="CH43" i="2"/>
  <c r="CV43" i="2"/>
  <c r="CM41" i="2"/>
  <c r="DA41" i="2"/>
  <c r="CI54" i="2"/>
  <c r="CW54" i="2"/>
  <c r="CL46" i="2"/>
  <c r="CZ46" i="2"/>
  <c r="CL42" i="2"/>
  <c r="CZ42" i="2"/>
  <c r="CL53" i="2"/>
  <c r="CZ53" i="2"/>
  <c r="CL48" i="2"/>
  <c r="CZ48" i="2"/>
  <c r="CM47" i="2"/>
  <c r="DA47" i="2"/>
  <c r="CL44" i="2"/>
  <c r="CZ44" i="2"/>
  <c r="CM43" i="2"/>
  <c r="DA43" i="2"/>
  <c r="CP54" i="2"/>
  <c r="BY54" i="2"/>
  <c r="CM54" i="2" s="1"/>
  <c r="CQ49" i="2"/>
  <c r="BY49" i="2"/>
  <c r="CM49" i="2" s="1"/>
  <c r="CW49" i="2"/>
  <c r="CI49" i="2"/>
  <c r="CH46" i="2"/>
  <c r="CV46" i="2"/>
  <c r="CW41" i="2"/>
  <c r="CI41" i="2"/>
  <c r="CH51" i="2"/>
  <c r="CV51" i="2"/>
  <c r="CW50" i="2"/>
  <c r="CI50" i="2"/>
  <c r="CH48" i="2"/>
  <c r="CV48" i="2"/>
  <c r="CW47" i="2"/>
  <c r="CI47" i="2"/>
  <c r="CH44" i="2"/>
  <c r="CV44" i="2"/>
  <c r="CW43" i="2"/>
  <c r="CI43" i="2"/>
  <c r="CH53" i="2"/>
  <c r="CV53" i="2"/>
  <c r="CW52" i="2"/>
  <c r="CI52" i="2"/>
  <c r="CW45" i="2"/>
  <c r="CI45" i="2"/>
  <c r="CL40" i="2"/>
  <c r="CZ40" i="2"/>
  <c r="CS54" i="2"/>
  <c r="CO54" i="2"/>
  <c r="CP49" i="2"/>
  <c r="CR54" i="2"/>
  <c r="CK53" i="2"/>
  <c r="CY53" i="2"/>
  <c r="CK48" i="2"/>
  <c r="CY48" i="2"/>
  <c r="CK44" i="2"/>
  <c r="CY44" i="2"/>
  <c r="CK42" i="2"/>
  <c r="CY42" i="2"/>
  <c r="CJ53" i="2"/>
  <c r="CX53" i="2"/>
  <c r="CJ51" i="2"/>
  <c r="CX51" i="2"/>
  <c r="CJ48" i="2"/>
  <c r="CX48" i="2"/>
  <c r="CJ46" i="2"/>
  <c r="CX46" i="2"/>
  <c r="CJ44" i="2"/>
  <c r="CX44" i="2"/>
  <c r="CJ42" i="2"/>
  <c r="CX42" i="2"/>
  <c r="CK46" i="2"/>
  <c r="CY46" i="2"/>
  <c r="CK52" i="2"/>
  <c r="CY52" i="2"/>
  <c r="CK50" i="2"/>
  <c r="CY50" i="2"/>
  <c r="CK49" i="2"/>
  <c r="CY49" i="2"/>
  <c r="CK47" i="2"/>
  <c r="CY47" i="2"/>
  <c r="CK45" i="2"/>
  <c r="CY45" i="2"/>
  <c r="CK43" i="2"/>
  <c r="CY43" i="2"/>
  <c r="CK41" i="2"/>
  <c r="CY41" i="2"/>
  <c r="CK51" i="2"/>
  <c r="CY51" i="2"/>
  <c r="CJ52" i="2"/>
  <c r="CX52" i="2"/>
  <c r="CJ50" i="2"/>
  <c r="CX50" i="2"/>
  <c r="CJ49" i="2"/>
  <c r="CX49" i="2"/>
  <c r="CJ47" i="2"/>
  <c r="CX47" i="2"/>
  <c r="CJ45" i="2"/>
  <c r="CX45" i="2"/>
  <c r="CJ43" i="2"/>
  <c r="CX43" i="2"/>
  <c r="CJ41" i="2"/>
  <c r="CX41" i="2"/>
  <c r="AG65" i="2"/>
  <c r="BW40" i="2"/>
  <c r="DA40" i="2"/>
  <c r="CL55" i="2"/>
  <c r="CZ55" i="2"/>
  <c r="CV55" i="2"/>
  <c r="CL54" i="2"/>
  <c r="CZ54" i="2"/>
  <c r="CH54" i="2"/>
  <c r="CV54" i="2"/>
  <c r="CK54" i="2"/>
  <c r="CY54" i="2"/>
  <c r="CM55" i="2"/>
  <c r="DA55" i="2"/>
  <c r="CI55" i="2"/>
  <c r="CW55" i="2"/>
  <c r="AL29" i="2"/>
  <c r="AO29" i="2" s="1"/>
  <c r="AE61" i="2"/>
  <c r="AD62" i="2"/>
  <c r="AF74" i="2"/>
  <c r="AH63" i="2"/>
  <c r="AD63" i="2"/>
  <c r="AG63" i="2"/>
  <c r="AF63" i="2"/>
  <c r="AE63" i="2"/>
  <c r="AH68" i="2"/>
  <c r="AE71" i="2"/>
  <c r="AH71" i="2"/>
  <c r="AD71" i="2"/>
  <c r="AF71" i="2"/>
  <c r="AF73" i="2"/>
  <c r="AE73" i="2"/>
  <c r="AH73" i="2"/>
  <c r="AG73" i="2"/>
  <c r="AD73" i="2"/>
  <c r="AF105" i="6"/>
  <c r="AF81" i="6"/>
  <c r="AF57" i="6"/>
  <c r="AF33" i="6"/>
  <c r="Q105" i="6"/>
  <c r="B81" i="6"/>
  <c r="AU33" i="6"/>
  <c r="AU9" i="6"/>
  <c r="AF105" i="5"/>
  <c r="B105" i="6"/>
  <c r="AU57" i="6"/>
  <c r="Q33" i="6"/>
  <c r="AF9" i="6"/>
  <c r="Q105" i="5"/>
  <c r="B81" i="5"/>
  <c r="Q9" i="6"/>
  <c r="AU81" i="5"/>
  <c r="Q57" i="5"/>
  <c r="AU81" i="6"/>
  <c r="Q57" i="6"/>
  <c r="B33" i="6"/>
  <c r="AF81" i="5"/>
  <c r="B57" i="5"/>
  <c r="B33" i="5"/>
  <c r="Q9" i="5"/>
  <c r="Q81" i="6"/>
  <c r="B105" i="5"/>
  <c r="AU57" i="5"/>
  <c r="AU33" i="5"/>
  <c r="B57" i="6"/>
  <c r="AF57" i="5"/>
  <c r="AF33" i="5"/>
  <c r="AU9" i="5"/>
  <c r="Q81" i="5"/>
  <c r="Q33" i="5"/>
  <c r="AF9" i="5"/>
  <c r="AF118" i="6"/>
  <c r="Q94" i="6"/>
  <c r="AF94" i="6"/>
  <c r="AF70" i="6"/>
  <c r="AF46" i="6"/>
  <c r="B118" i="6"/>
  <c r="B94" i="6"/>
  <c r="AU70" i="6"/>
  <c r="Q46" i="6"/>
  <c r="AU22" i="6"/>
  <c r="Q94" i="5"/>
  <c r="Q70" i="6"/>
  <c r="B46" i="6"/>
  <c r="AF22" i="6"/>
  <c r="AF118" i="5"/>
  <c r="B94" i="5"/>
  <c r="B70" i="6"/>
  <c r="Q118" i="5"/>
  <c r="Q22" i="6"/>
  <c r="B118" i="5"/>
  <c r="Q70" i="5"/>
  <c r="Q46" i="5"/>
  <c r="Q118" i="6"/>
  <c r="AU94" i="5"/>
  <c r="B70" i="5"/>
  <c r="B46" i="5"/>
  <c r="AU46" i="6"/>
  <c r="AF70" i="5"/>
  <c r="AF22" i="5"/>
  <c r="AU46" i="5"/>
  <c r="Q22" i="5"/>
  <c r="AF46" i="5"/>
  <c r="AU94" i="6"/>
  <c r="AF94" i="5"/>
  <c r="AU70" i="5"/>
  <c r="AU22" i="5"/>
  <c r="AG61" i="2"/>
  <c r="AD61" i="2"/>
  <c r="AH61" i="2"/>
  <c r="AF61" i="2"/>
  <c r="AE66" i="2"/>
  <c r="AG69" i="2"/>
  <c r="AF69" i="2"/>
  <c r="AH69" i="2"/>
  <c r="AE69" i="2"/>
  <c r="AD69" i="2"/>
  <c r="B103" i="6"/>
  <c r="Q103" i="6"/>
  <c r="AF79" i="6"/>
  <c r="AF55" i="6"/>
  <c r="AF31" i="6"/>
  <c r="AU79" i="6"/>
  <c r="Q55" i="6"/>
  <c r="B31" i="6"/>
  <c r="AU7" i="6"/>
  <c r="B103" i="5"/>
  <c r="AF103" i="6"/>
  <c r="Q79" i="6"/>
  <c r="B55" i="6"/>
  <c r="AF7" i="6"/>
  <c r="B79" i="5"/>
  <c r="AU31" i="6"/>
  <c r="Q7" i="6"/>
  <c r="AU55" i="6"/>
  <c r="Q31" i="6"/>
  <c r="AF103" i="5"/>
  <c r="Q79" i="5"/>
  <c r="Q55" i="5"/>
  <c r="B79" i="6"/>
  <c r="Q103" i="5"/>
  <c r="B55" i="5"/>
  <c r="B31" i="5"/>
  <c r="Q7" i="5"/>
  <c r="AU79" i="5"/>
  <c r="AU55" i="5"/>
  <c r="AU31" i="5"/>
  <c r="AF79" i="5"/>
  <c r="AF55" i="5"/>
  <c r="AF31" i="5"/>
  <c r="AU7" i="5"/>
  <c r="Q31" i="5"/>
  <c r="AF7" i="5"/>
  <c r="D9" i="6"/>
  <c r="D9" i="5"/>
  <c r="B107" i="6"/>
  <c r="Q83" i="6"/>
  <c r="Q107" i="6"/>
  <c r="AF83" i="6"/>
  <c r="AF59" i="6"/>
  <c r="AF35" i="6"/>
  <c r="Q59" i="6"/>
  <c r="B35" i="6"/>
  <c r="AU11" i="6"/>
  <c r="B107" i="5"/>
  <c r="AF107" i="6"/>
  <c r="AU83" i="6"/>
  <c r="B59" i="6"/>
  <c r="AF11" i="6"/>
  <c r="B83" i="5"/>
  <c r="B83" i="6"/>
  <c r="Q11" i="6"/>
  <c r="Q83" i="5"/>
  <c r="Q59" i="5"/>
  <c r="AU35" i="6"/>
  <c r="B59" i="5"/>
  <c r="Q107" i="5"/>
  <c r="AF83" i="5"/>
  <c r="B35" i="5"/>
  <c r="Q11" i="5"/>
  <c r="AU59" i="6"/>
  <c r="AU59" i="5"/>
  <c r="AU35" i="5"/>
  <c r="Q35" i="6"/>
  <c r="AF59" i="5"/>
  <c r="AF35" i="5"/>
  <c r="AU11" i="5"/>
  <c r="AF107" i="5"/>
  <c r="AU83" i="5"/>
  <c r="Q35" i="5"/>
  <c r="AF11" i="5"/>
  <c r="Y17" i="5"/>
  <c r="AH64" i="2"/>
  <c r="AG67" i="2"/>
  <c r="AE67" i="2"/>
  <c r="AD67" i="2"/>
  <c r="AH67" i="2"/>
  <c r="AF72" i="2"/>
  <c r="AD66" i="2"/>
  <c r="AG71" i="2"/>
  <c r="R99" i="6"/>
  <c r="AG99" i="6"/>
  <c r="L7" i="6"/>
  <c r="L7" i="5"/>
  <c r="H5" i="6"/>
  <c r="H5" i="5"/>
  <c r="L17" i="6"/>
  <c r="L17" i="5"/>
  <c r="AL27" i="2"/>
  <c r="AO27" i="2" s="1"/>
  <c r="D5" i="6"/>
  <c r="D5" i="5"/>
  <c r="AE62" i="2"/>
  <c r="AF65" i="2"/>
  <c r="AE65" i="2"/>
  <c r="AD65" i="2"/>
  <c r="AH65" i="2"/>
  <c r="AF70" i="2"/>
  <c r="AH76" i="2"/>
  <c r="AD76" i="2"/>
  <c r="AG76" i="2"/>
  <c r="AF76" i="2"/>
  <c r="AE76" i="2"/>
  <c r="AG64" i="2"/>
  <c r="AF67" i="2"/>
  <c r="AE68" i="2"/>
  <c r="AG62" i="2"/>
  <c r="AE64" i="2"/>
  <c r="AG66" i="2"/>
  <c r="AG68" i="2"/>
  <c r="AF68" i="2"/>
  <c r="AE70" i="2"/>
  <c r="AH70" i="2"/>
  <c r="AD70" i="2"/>
  <c r="AE72" i="2"/>
  <c r="AH72" i="2"/>
  <c r="AD72" i="2"/>
  <c r="AF75" i="2"/>
  <c r="AE75" i="2"/>
  <c r="AH75" i="2"/>
  <c r="AD75" i="2"/>
  <c r="AF62" i="2"/>
  <c r="AD64" i="2"/>
  <c r="AF66" i="2"/>
  <c r="AG70" i="2"/>
  <c r="AG72" i="2"/>
  <c r="AG75" i="2"/>
  <c r="L5" i="6"/>
  <c r="L5" i="5"/>
  <c r="H7" i="6"/>
  <c r="H7" i="5"/>
  <c r="H6" i="6"/>
  <c r="H6" i="5"/>
  <c r="AF101" i="6"/>
  <c r="AF77" i="6"/>
  <c r="AF53" i="6"/>
  <c r="AF29" i="6"/>
  <c r="B77" i="6"/>
  <c r="AU29" i="6"/>
  <c r="AF101" i="5"/>
  <c r="Q101" i="6"/>
  <c r="AU53" i="6"/>
  <c r="Q29" i="6"/>
  <c r="AU5" i="6"/>
  <c r="Q101" i="5"/>
  <c r="B77" i="5"/>
  <c r="AU77" i="6"/>
  <c r="Q53" i="6"/>
  <c r="B29" i="6"/>
  <c r="AF5" i="6"/>
  <c r="Q77" i="6"/>
  <c r="B53" i="6"/>
  <c r="Q5" i="6"/>
  <c r="B101" i="5"/>
  <c r="AU77" i="5"/>
  <c r="Q53" i="5"/>
  <c r="AF77" i="5"/>
  <c r="B53" i="5"/>
  <c r="B101" i="6"/>
  <c r="B29" i="5"/>
  <c r="AF5" i="5"/>
  <c r="Q77" i="5"/>
  <c r="AU53" i="5"/>
  <c r="AU29" i="5"/>
  <c r="Q5" i="5"/>
  <c r="AF53" i="5"/>
  <c r="AF29" i="5"/>
  <c r="Q29" i="5"/>
  <c r="AU5" i="5"/>
  <c r="B113" i="6"/>
  <c r="Q89" i="6"/>
  <c r="Q113" i="6"/>
  <c r="AF89" i="6"/>
  <c r="AF65" i="6"/>
  <c r="AF41" i="6"/>
  <c r="AF113" i="6"/>
  <c r="B89" i="6"/>
  <c r="B65" i="6"/>
  <c r="Q17" i="6"/>
  <c r="Q113" i="5"/>
  <c r="AU41" i="6"/>
  <c r="AF89" i="5"/>
  <c r="B89" i="5"/>
  <c r="AU17" i="6"/>
  <c r="AU89" i="6"/>
  <c r="AF17" i="6"/>
  <c r="B113" i="5"/>
  <c r="AU89" i="5"/>
  <c r="AU65" i="6"/>
  <c r="Q41" i="6"/>
  <c r="AF113" i="5"/>
  <c r="AF65" i="5"/>
  <c r="B65" i="5"/>
  <c r="Q65" i="6"/>
  <c r="Q65" i="5"/>
  <c r="AU41" i="5"/>
  <c r="AF41" i="5"/>
  <c r="AU17" i="5"/>
  <c r="Q17" i="5"/>
  <c r="B41" i="6"/>
  <c r="Q41" i="5"/>
  <c r="B41" i="5"/>
  <c r="AU65" i="5"/>
  <c r="AF17" i="5"/>
  <c r="Q89" i="5"/>
  <c r="C3" i="6"/>
  <c r="C3" i="5"/>
  <c r="L11" i="6"/>
  <c r="L11" i="5"/>
  <c r="D17" i="6"/>
  <c r="D17" i="5"/>
  <c r="H9" i="6"/>
  <c r="H9" i="5"/>
  <c r="L9" i="6"/>
  <c r="L9" i="5"/>
  <c r="D11" i="6"/>
  <c r="D11" i="5"/>
  <c r="L22" i="6"/>
  <c r="L22" i="5"/>
  <c r="AE74" i="2"/>
  <c r="AH74" i="2"/>
  <c r="AD74" i="2"/>
  <c r="AG74" i="2"/>
  <c r="AH62" i="2"/>
  <c r="AF64" i="2"/>
  <c r="AH66" i="2"/>
  <c r="AD68" i="2"/>
  <c r="C2" i="3"/>
  <c r="C3" i="3" s="1"/>
  <c r="B2" i="3"/>
  <c r="B3" i="3" s="1"/>
  <c r="A2" i="3"/>
  <c r="A3" i="3" s="1"/>
  <c r="BQ63" i="2" l="1"/>
  <c r="BQ64" i="2"/>
  <c r="BQ60" i="2"/>
  <c r="BQ62" i="2"/>
  <c r="CH63" i="2"/>
  <c r="CH75" i="2"/>
  <c r="CH87" i="2"/>
  <c r="CH99" i="2"/>
  <c r="CH111" i="2"/>
  <c r="CH123" i="2"/>
  <c r="CH135" i="2"/>
  <c r="CH132" i="2"/>
  <c r="CH97" i="2"/>
  <c r="CH134" i="2"/>
  <c r="CH64" i="2"/>
  <c r="CH76" i="2"/>
  <c r="CH88" i="2"/>
  <c r="CH100" i="2"/>
  <c r="CH112" i="2"/>
  <c r="CH124" i="2"/>
  <c r="CH136" i="2"/>
  <c r="CH73" i="2"/>
  <c r="CH98" i="2"/>
  <c r="CH65" i="2"/>
  <c r="CH77" i="2"/>
  <c r="CH89" i="2"/>
  <c r="CH101" i="2"/>
  <c r="CH113" i="2"/>
  <c r="CH125" i="2"/>
  <c r="CH137" i="2"/>
  <c r="CH133" i="2"/>
  <c r="CH66" i="2"/>
  <c r="CH78" i="2"/>
  <c r="CH90" i="2"/>
  <c r="CH102" i="2"/>
  <c r="CH114" i="2"/>
  <c r="CH126" i="2"/>
  <c r="CH138" i="2"/>
  <c r="CH120" i="2"/>
  <c r="CH109" i="2"/>
  <c r="CH122" i="2"/>
  <c r="CH67" i="2"/>
  <c r="CH79" i="2"/>
  <c r="CH91" i="2"/>
  <c r="CH103" i="2"/>
  <c r="CH115" i="2"/>
  <c r="CH127" i="2"/>
  <c r="CH139" i="2"/>
  <c r="CH108" i="2"/>
  <c r="CH121" i="2"/>
  <c r="CH110" i="2"/>
  <c r="CH68" i="2"/>
  <c r="CH80" i="2"/>
  <c r="CH92" i="2"/>
  <c r="CH104" i="2"/>
  <c r="CH116" i="2"/>
  <c r="CH128" i="2"/>
  <c r="CH60" i="2"/>
  <c r="CH72" i="2"/>
  <c r="CH62" i="2"/>
  <c r="CH69" i="2"/>
  <c r="CH81" i="2"/>
  <c r="CH93" i="2"/>
  <c r="CH105" i="2"/>
  <c r="CH117" i="2"/>
  <c r="CH129" i="2"/>
  <c r="CH96" i="2"/>
  <c r="CH74" i="2"/>
  <c r="CH70" i="2"/>
  <c r="CH82" i="2"/>
  <c r="CH94" i="2"/>
  <c r="CH106" i="2"/>
  <c r="CH118" i="2"/>
  <c r="CH130" i="2"/>
  <c r="CH84" i="2"/>
  <c r="CH86" i="2"/>
  <c r="CH71" i="2"/>
  <c r="CH83" i="2"/>
  <c r="CH95" i="2"/>
  <c r="CH107" i="2"/>
  <c r="CH119" i="2"/>
  <c r="CH131" i="2"/>
  <c r="CH85" i="2"/>
  <c r="CH61" i="2"/>
  <c r="B70" i="8"/>
  <c r="C44" i="9"/>
  <c r="CW53" i="2"/>
  <c r="AJ50" i="2" s="1"/>
  <c r="AM15" i="2" s="1"/>
  <c r="AV15" i="2" s="1"/>
  <c r="S22" i="2"/>
  <c r="BW2" i="2"/>
  <c r="BN60" i="2" s="1"/>
  <c r="AJ47" i="2"/>
  <c r="AM12" i="2" s="1"/>
  <c r="AV12" i="2" s="1"/>
  <c r="AJ43" i="2"/>
  <c r="AM8" i="2" s="1"/>
  <c r="AV8" i="2" s="1"/>
  <c r="CW48" i="2"/>
  <c r="AJ45" i="2" s="1"/>
  <c r="AM10" i="2" s="1"/>
  <c r="AV10" i="2" s="1"/>
  <c r="AJ40" i="2"/>
  <c r="AM5" i="2" s="1"/>
  <c r="AV5" i="2" s="1"/>
  <c r="AJ48" i="2"/>
  <c r="AJ49" i="2"/>
  <c r="AM14" i="2" s="1"/>
  <c r="AV14" i="2" s="1"/>
  <c r="AJ52" i="2"/>
  <c r="AM17" i="2" s="1"/>
  <c r="BJ55" i="2"/>
  <c r="AH52" i="2" s="1"/>
  <c r="AR17" i="2" s="1"/>
  <c r="BC55" i="2"/>
  <c r="BD46" i="2"/>
  <c r="BB41" i="2"/>
  <c r="CU58" i="2"/>
  <c r="CU57" i="2" s="1"/>
  <c r="CP58" i="2"/>
  <c r="CP57" i="2" s="1"/>
  <c r="AZ47" i="2"/>
  <c r="AZ40" i="2"/>
  <c r="BD55" i="2"/>
  <c r="BB55" i="2"/>
  <c r="CO58" i="2"/>
  <c r="CO57" i="2" s="1"/>
  <c r="BB52" i="2"/>
  <c r="BC51" i="2"/>
  <c r="AZ50" i="2"/>
  <c r="CR58" i="2"/>
  <c r="CR57" i="2" s="1"/>
  <c r="CK58" i="2"/>
  <c r="CK57" i="2" s="1"/>
  <c r="BB50" i="2"/>
  <c r="BA44" i="2"/>
  <c r="BB49" i="2"/>
  <c r="BD51" i="2"/>
  <c r="BA43" i="2"/>
  <c r="BB40" i="2"/>
  <c r="AZ41" i="2"/>
  <c r="BC47" i="2"/>
  <c r="BD54" i="2"/>
  <c r="AZ44" i="2"/>
  <c r="BB48" i="2"/>
  <c r="BC52" i="2"/>
  <c r="AZ45" i="2"/>
  <c r="BA52" i="2"/>
  <c r="BC43" i="2"/>
  <c r="AZ52" i="2"/>
  <c r="BD44" i="2"/>
  <c r="CN58" i="2"/>
  <c r="CN57" i="2" s="1"/>
  <c r="BD41" i="2"/>
  <c r="BA49" i="2"/>
  <c r="BC48" i="2"/>
  <c r="BB46" i="2"/>
  <c r="CI58" i="2"/>
  <c r="CI57" i="2" s="1"/>
  <c r="CI61" i="2" s="1"/>
  <c r="BA48" i="2"/>
  <c r="CT58" i="2"/>
  <c r="CT57" i="2" s="1"/>
  <c r="BD52" i="2"/>
  <c r="BB47" i="2"/>
  <c r="AZ42" i="2"/>
  <c r="AZ53" i="2"/>
  <c r="AZ43" i="2"/>
  <c r="BA53" i="2"/>
  <c r="BA45" i="2"/>
  <c r="BD40" i="2"/>
  <c r="AZ55" i="2"/>
  <c r="AZ49" i="2"/>
  <c r="BD43" i="2"/>
  <c r="CQ58" i="2"/>
  <c r="CQ57" i="2" s="1"/>
  <c r="BA54" i="2"/>
  <c r="BA50" i="2"/>
  <c r="BA46" i="2"/>
  <c r="BA42" i="2"/>
  <c r="CL58" i="2"/>
  <c r="CL57" i="2" s="1"/>
  <c r="AZ54" i="2"/>
  <c r="BB51" i="2"/>
  <c r="BD48" i="2"/>
  <c r="AZ46" i="2"/>
  <c r="BB43" i="2"/>
  <c r="BC40" i="2"/>
  <c r="CJ58" i="2"/>
  <c r="CJ57" i="2" s="1"/>
  <c r="AZ51" i="2"/>
  <c r="BD45" i="2"/>
  <c r="CW58" i="2"/>
  <c r="CW57" i="2" s="1"/>
  <c r="BA55" i="2"/>
  <c r="BA51" i="2"/>
  <c r="BA47" i="2"/>
  <c r="BT47" i="2" s="1"/>
  <c r="BC42" i="2"/>
  <c r="BA40" i="2"/>
  <c r="BV40" i="2" s="1"/>
  <c r="CJ40" i="2" s="1"/>
  <c r="BD53" i="2"/>
  <c r="BD47" i="2"/>
  <c r="BB42" i="2"/>
  <c r="CM58" i="2"/>
  <c r="CM57" i="2" s="1"/>
  <c r="BC53" i="2"/>
  <c r="BC49" i="2"/>
  <c r="BC45" i="2"/>
  <c r="BC41" i="2"/>
  <c r="BB53" i="2"/>
  <c r="BD50" i="2"/>
  <c r="AZ48" i="2"/>
  <c r="BB45" i="2"/>
  <c r="BT45" i="2" s="1"/>
  <c r="CH45" i="2" s="1"/>
  <c r="BJ45" i="2" s="1"/>
  <c r="AH42" i="2" s="1"/>
  <c r="AR7" i="2" s="1"/>
  <c r="BD42" i="2"/>
  <c r="CV58" i="2"/>
  <c r="CV57" i="2" s="1"/>
  <c r="BB54" i="2"/>
  <c r="BD49" i="2"/>
  <c r="BB44" i="2"/>
  <c r="CS58" i="2"/>
  <c r="CS57" i="2" s="1"/>
  <c r="BC54" i="2"/>
  <c r="BC50" i="2"/>
  <c r="BC46" i="2"/>
  <c r="BA41" i="2"/>
  <c r="BC44" i="2"/>
  <c r="CV49" i="2"/>
  <c r="CX54" i="2"/>
  <c r="DA54" i="2"/>
  <c r="BJ43" i="2"/>
  <c r="AH40" i="2" s="1"/>
  <c r="AR5" i="2" s="1"/>
  <c r="CW44" i="2"/>
  <c r="AJ41" i="2" s="1"/>
  <c r="BJ53" i="2"/>
  <c r="AH50" i="2" s="1"/>
  <c r="AR15" i="2" s="1"/>
  <c r="BJ44" i="2"/>
  <c r="AH41" i="2" s="1"/>
  <c r="AR6" i="2" s="1"/>
  <c r="BJ46" i="2"/>
  <c r="AH43" i="2" s="1"/>
  <c r="AR8" i="2" s="1"/>
  <c r="CZ49" i="2"/>
  <c r="CL49" i="2"/>
  <c r="BJ49" i="2" s="1"/>
  <c r="AH46" i="2" s="1"/>
  <c r="AR11" i="2" s="1"/>
  <c r="CV45" i="2"/>
  <c r="AJ42" i="2" s="1"/>
  <c r="BJ51" i="2"/>
  <c r="AH48" i="2" s="1"/>
  <c r="AR13" i="2" s="1"/>
  <c r="BJ52" i="2"/>
  <c r="AH49" i="2" s="1"/>
  <c r="AR14" i="2" s="1"/>
  <c r="BJ50" i="2"/>
  <c r="AH47" i="2" s="1"/>
  <c r="AR12" i="2" s="1"/>
  <c r="BJ48" i="2"/>
  <c r="AH45" i="2" s="1"/>
  <c r="AR10" i="2" s="1"/>
  <c r="DA49" i="2"/>
  <c r="CK40" i="2"/>
  <c r="CY40" i="2"/>
  <c r="BJ54" i="2"/>
  <c r="AH51" i="2" s="1"/>
  <c r="AR16" i="2" s="1"/>
  <c r="Y76" i="2"/>
  <c r="T76" i="2"/>
  <c r="N76" i="2" s="1"/>
  <c r="M17" i="2" s="1"/>
  <c r="AA75" i="2"/>
  <c r="V75" i="2"/>
  <c r="P75" i="2" s="1"/>
  <c r="O16" i="2" s="1"/>
  <c r="R75" i="2"/>
  <c r="L75" i="2" s="1"/>
  <c r="K16" i="2" s="1"/>
  <c r="Z74" i="2"/>
  <c r="U74" i="2"/>
  <c r="O74" i="2" s="1"/>
  <c r="N15" i="2" s="1"/>
  <c r="AB76" i="2"/>
  <c r="X76" i="2"/>
  <c r="S76" i="2"/>
  <c r="M76" i="2" s="1"/>
  <c r="L17" i="2" s="1"/>
  <c r="Z75" i="2"/>
  <c r="U75" i="2"/>
  <c r="O75" i="2" s="1"/>
  <c r="N16" i="2" s="1"/>
  <c r="Y74" i="2"/>
  <c r="T74" i="2"/>
  <c r="N74" i="2" s="1"/>
  <c r="M15" i="2" s="1"/>
  <c r="AA73" i="2"/>
  <c r="V73" i="2"/>
  <c r="P73" i="2" s="1"/>
  <c r="O14" i="2" s="1"/>
  <c r="R73" i="2"/>
  <c r="L73" i="2" s="1"/>
  <c r="K14" i="2" s="1"/>
  <c r="Z72" i="2"/>
  <c r="U72" i="2"/>
  <c r="O72" i="2" s="1"/>
  <c r="N13" i="2" s="1"/>
  <c r="Z71" i="2"/>
  <c r="U71" i="2"/>
  <c r="O71" i="2" s="1"/>
  <c r="N12" i="2" s="1"/>
  <c r="Z70" i="2"/>
  <c r="U70" i="2"/>
  <c r="O70" i="2" s="1"/>
  <c r="N11" i="2" s="1"/>
  <c r="AB69" i="2"/>
  <c r="X69" i="2"/>
  <c r="S69" i="2"/>
  <c r="M69" i="2" s="1"/>
  <c r="L10" i="2" s="1"/>
  <c r="AB68" i="2"/>
  <c r="X68" i="2"/>
  <c r="S68" i="2"/>
  <c r="M68" i="2" s="1"/>
  <c r="L9" i="2" s="1"/>
  <c r="AB67" i="2"/>
  <c r="X67" i="2"/>
  <c r="S67" i="2"/>
  <c r="M67" i="2" s="1"/>
  <c r="L8" i="2" s="1"/>
  <c r="AB66" i="2"/>
  <c r="X66" i="2"/>
  <c r="S66" i="2"/>
  <c r="M66" i="2" s="1"/>
  <c r="L7" i="2" s="1"/>
  <c r="AA65" i="2"/>
  <c r="V65" i="2"/>
  <c r="P65" i="2" s="1"/>
  <c r="O6" i="2" s="1"/>
  <c r="R65" i="2"/>
  <c r="L65" i="2" s="1"/>
  <c r="K6" i="2" s="1"/>
  <c r="Z64" i="2"/>
  <c r="U64" i="2"/>
  <c r="O64" i="2" s="1"/>
  <c r="N5" i="2" s="1"/>
  <c r="Y63" i="2"/>
  <c r="T63" i="2"/>
  <c r="N63" i="2" s="1"/>
  <c r="M4" i="2" s="1"/>
  <c r="AB62" i="2"/>
  <c r="X62" i="2"/>
  <c r="S62" i="2"/>
  <c r="M62" i="2" s="1"/>
  <c r="L3" i="2" s="1"/>
  <c r="AB61" i="2"/>
  <c r="X61" i="2"/>
  <c r="S61" i="2"/>
  <c r="M61" i="2" s="1"/>
  <c r="L2" i="2" s="1"/>
  <c r="AA76" i="2"/>
  <c r="V76" i="2"/>
  <c r="P76" i="2" s="1"/>
  <c r="O17" i="2" s="1"/>
  <c r="R76" i="2"/>
  <c r="L76" i="2" s="1"/>
  <c r="K17" i="2" s="1"/>
  <c r="Y75" i="2"/>
  <c r="T75" i="2"/>
  <c r="N75" i="2" s="1"/>
  <c r="M16" i="2" s="1"/>
  <c r="AB74" i="2"/>
  <c r="X74" i="2"/>
  <c r="S74" i="2"/>
  <c r="M74" i="2" s="1"/>
  <c r="L15" i="2" s="1"/>
  <c r="Z73" i="2"/>
  <c r="U73" i="2"/>
  <c r="O73" i="2" s="1"/>
  <c r="N14" i="2" s="1"/>
  <c r="Y72" i="2"/>
  <c r="T72" i="2"/>
  <c r="N72" i="2" s="1"/>
  <c r="M13" i="2" s="1"/>
  <c r="Y71" i="2"/>
  <c r="T71" i="2"/>
  <c r="N71" i="2" s="1"/>
  <c r="M12" i="2" s="1"/>
  <c r="Y70" i="2"/>
  <c r="T70" i="2"/>
  <c r="N70" i="2" s="1"/>
  <c r="M11" i="2" s="1"/>
  <c r="AA69" i="2"/>
  <c r="V69" i="2"/>
  <c r="P69" i="2" s="1"/>
  <c r="O10" i="2" s="1"/>
  <c r="R69" i="2"/>
  <c r="L69" i="2" s="1"/>
  <c r="K10" i="2" s="1"/>
  <c r="AA68" i="2"/>
  <c r="U76" i="2"/>
  <c r="O76" i="2" s="1"/>
  <c r="N17" i="2" s="1"/>
  <c r="S75" i="2"/>
  <c r="M75" i="2" s="1"/>
  <c r="L16" i="2" s="1"/>
  <c r="R74" i="2"/>
  <c r="L74" i="2" s="1"/>
  <c r="K15" i="2" s="1"/>
  <c r="Y73" i="2"/>
  <c r="AA72" i="2"/>
  <c r="R72" i="2"/>
  <c r="L72" i="2" s="1"/>
  <c r="K13" i="2" s="1"/>
  <c r="V71" i="2"/>
  <c r="P71" i="2" s="1"/>
  <c r="O12" i="2" s="1"/>
  <c r="AA70" i="2"/>
  <c r="R70" i="2"/>
  <c r="L70" i="2" s="1"/>
  <c r="K11" i="2" s="1"/>
  <c r="Z69" i="2"/>
  <c r="U68" i="2"/>
  <c r="O68" i="2" s="1"/>
  <c r="N9" i="2" s="1"/>
  <c r="Y67" i="2"/>
  <c r="R67" i="2"/>
  <c r="L67" i="2" s="1"/>
  <c r="K8" i="2" s="1"/>
  <c r="AA66" i="2"/>
  <c r="U66" i="2"/>
  <c r="O66" i="2" s="1"/>
  <c r="N7" i="2" s="1"/>
  <c r="Y65" i="2"/>
  <c r="S65" i="2"/>
  <c r="M65" i="2" s="1"/>
  <c r="L6" i="2" s="1"/>
  <c r="Y64" i="2"/>
  <c r="S64" i="2"/>
  <c r="M64" i="2" s="1"/>
  <c r="L5" i="2" s="1"/>
  <c r="AA63" i="2"/>
  <c r="U63" i="2"/>
  <c r="O63" i="2" s="1"/>
  <c r="N4" i="2" s="1"/>
  <c r="AA62" i="2"/>
  <c r="U62" i="2"/>
  <c r="O62" i="2" s="1"/>
  <c r="N3" i="2" s="1"/>
  <c r="V61" i="2"/>
  <c r="P61" i="2" s="1"/>
  <c r="O2" i="2" s="1"/>
  <c r="AU17" i="2"/>
  <c r="AS15" i="2"/>
  <c r="AU15" i="2" s="1"/>
  <c r="BJ14" i="2"/>
  <c r="BK14" i="2" s="1"/>
  <c r="AS14" i="2"/>
  <c r="AU14" i="2" s="1"/>
  <c r="BJ13" i="2"/>
  <c r="BK13" i="2" s="1"/>
  <c r="AS13" i="2"/>
  <c r="AU13" i="2" s="1"/>
  <c r="BJ12" i="2"/>
  <c r="BK12" i="2" s="1"/>
  <c r="AS12" i="2"/>
  <c r="AU12" i="2" s="1"/>
  <c r="BJ11" i="2"/>
  <c r="BK11" i="2" s="1"/>
  <c r="AS11" i="2"/>
  <c r="AU11" i="2" s="1"/>
  <c r="BJ10" i="2"/>
  <c r="BK10" i="2" s="1"/>
  <c r="AS10" i="2"/>
  <c r="AU10" i="2" s="1"/>
  <c r="BJ9" i="2"/>
  <c r="BK9" i="2" s="1"/>
  <c r="AS9" i="2"/>
  <c r="AU9" i="2" s="1"/>
  <c r="BJ8" i="2"/>
  <c r="BK8" i="2" s="1"/>
  <c r="AS8" i="2"/>
  <c r="AU8" i="2" s="1"/>
  <c r="BJ7" i="2"/>
  <c r="BK7" i="2" s="1"/>
  <c r="AS7" i="2"/>
  <c r="BJ6" i="2"/>
  <c r="BK6" i="2" s="1"/>
  <c r="AS6" i="2"/>
  <c r="BJ5" i="2"/>
  <c r="BK5" i="2" s="1"/>
  <c r="AS5" i="2"/>
  <c r="BJ4" i="2"/>
  <c r="BK4" i="2" s="1"/>
  <c r="AS4" i="2"/>
  <c r="BJ3" i="2"/>
  <c r="BK3" i="2" s="1"/>
  <c r="AS3" i="2"/>
  <c r="BH2" i="2"/>
  <c r="AY2" i="2" s="1"/>
  <c r="AL23" i="2"/>
  <c r="AO23" i="2" s="1"/>
  <c r="BH17" i="2"/>
  <c r="J16" i="2"/>
  <c r="AT16" i="2" s="1"/>
  <c r="BH15" i="2"/>
  <c r="X73" i="2"/>
  <c r="X72" i="2"/>
  <c r="AB71" i="2"/>
  <c r="S71" i="2"/>
  <c r="M71" i="2" s="1"/>
  <c r="L12" i="2" s="1"/>
  <c r="X70" i="2"/>
  <c r="Y69" i="2"/>
  <c r="Z68" i="2"/>
  <c r="T68" i="2"/>
  <c r="N68" i="2" s="1"/>
  <c r="M9" i="2" s="1"/>
  <c r="V67" i="2"/>
  <c r="P67" i="2" s="1"/>
  <c r="O8" i="2" s="1"/>
  <c r="Z66" i="2"/>
  <c r="T66" i="2"/>
  <c r="N66" i="2" s="1"/>
  <c r="M7" i="2" s="1"/>
  <c r="X65" i="2"/>
  <c r="X64" i="2"/>
  <c r="R64" i="2"/>
  <c r="L64" i="2" s="1"/>
  <c r="K5" i="2" s="1"/>
  <c r="Z63" i="2"/>
  <c r="S63" i="2"/>
  <c r="M63" i="2" s="1"/>
  <c r="L4" i="2" s="1"/>
  <c r="Z62" i="2"/>
  <c r="T62" i="2"/>
  <c r="N62" i="2" s="1"/>
  <c r="M3" i="2" s="1"/>
  <c r="AA61" i="2"/>
  <c r="U61" i="2"/>
  <c r="O61" i="2" s="1"/>
  <c r="N2" i="2" s="1"/>
  <c r="AB75" i="2"/>
  <c r="AA74" i="2"/>
  <c r="T73" i="2"/>
  <c r="N73" i="2" s="1"/>
  <c r="M14" i="2" s="1"/>
  <c r="V72" i="2"/>
  <c r="P72" i="2" s="1"/>
  <c r="O13" i="2" s="1"/>
  <c r="AA71" i="2"/>
  <c r="R71" i="2"/>
  <c r="L71" i="2" s="1"/>
  <c r="K12" i="2" s="1"/>
  <c r="V70" i="2"/>
  <c r="P70" i="2" s="1"/>
  <c r="O11" i="2" s="1"/>
  <c r="U69" i="2"/>
  <c r="O69" i="2" s="1"/>
  <c r="N10" i="2" s="1"/>
  <c r="Y68" i="2"/>
  <c r="R68" i="2"/>
  <c r="L68" i="2" s="1"/>
  <c r="K9" i="2" s="1"/>
  <c r="AA67" i="2"/>
  <c r="U67" i="2"/>
  <c r="O67" i="2" s="1"/>
  <c r="N8" i="2" s="1"/>
  <c r="Y66" i="2"/>
  <c r="R66" i="2"/>
  <c r="L66" i="2" s="1"/>
  <c r="K7" i="2" s="1"/>
  <c r="AB65" i="2"/>
  <c r="U65" i="2"/>
  <c r="O65" i="2" s="1"/>
  <c r="N6" i="2" s="1"/>
  <c r="AB64" i="2"/>
  <c r="V64" i="2"/>
  <c r="P64" i="2" s="1"/>
  <c r="O5" i="2" s="1"/>
  <c r="X63" i="2"/>
  <c r="R63" i="2"/>
  <c r="L63" i="2" s="1"/>
  <c r="K4" i="2" s="1"/>
  <c r="Y62" i="2"/>
  <c r="R62" i="2"/>
  <c r="L62" i="2" s="1"/>
  <c r="K3" i="2" s="1"/>
  <c r="Z61" i="2"/>
  <c r="T61" i="2"/>
  <c r="N61" i="2" s="1"/>
  <c r="M2" i="2" s="1"/>
  <c r="BB74" i="2"/>
  <c r="AB63" i="2"/>
  <c r="J17" i="2"/>
  <c r="AT17" i="2" s="1"/>
  <c r="BH16" i="2"/>
  <c r="BX2" i="2"/>
  <c r="Z31" i="2" s="1"/>
  <c r="AC31" i="2" s="1"/>
  <c r="Z76" i="2"/>
  <c r="X75" i="2"/>
  <c r="AB72" i="2"/>
  <c r="AB70" i="2"/>
  <c r="V68" i="2"/>
  <c r="P68" i="2" s="1"/>
  <c r="O9" i="2" s="1"/>
  <c r="Z67" i="2"/>
  <c r="AA64" i="2"/>
  <c r="V63" i="2"/>
  <c r="P63" i="2" s="1"/>
  <c r="O4" i="2" s="1"/>
  <c r="Y61" i="2"/>
  <c r="Z22" i="2"/>
  <c r="AC22" i="2" s="1"/>
  <c r="BK2" i="2"/>
  <c r="BH13" i="2"/>
  <c r="BH12" i="2"/>
  <c r="BH10" i="2"/>
  <c r="BH9" i="2"/>
  <c r="AY9" i="2" s="1"/>
  <c r="BH6" i="2"/>
  <c r="BH5" i="2"/>
  <c r="AS2" i="2"/>
  <c r="V74" i="2"/>
  <c r="P74" i="2" s="1"/>
  <c r="O15" i="2" s="1"/>
  <c r="AB73" i="2"/>
  <c r="S72" i="2"/>
  <c r="M72" i="2" s="1"/>
  <c r="L13" i="2" s="1"/>
  <c r="X71" i="2"/>
  <c r="S70" i="2"/>
  <c r="M70" i="2" s="1"/>
  <c r="L11" i="2" s="1"/>
  <c r="T67" i="2"/>
  <c r="N67" i="2" s="1"/>
  <c r="M8" i="2" s="1"/>
  <c r="V66" i="2"/>
  <c r="P66" i="2" s="1"/>
  <c r="O7" i="2" s="1"/>
  <c r="Z65" i="2"/>
  <c r="T64" i="2"/>
  <c r="N64" i="2" s="1"/>
  <c r="M5" i="2" s="1"/>
  <c r="V62" i="2"/>
  <c r="P62" i="2" s="1"/>
  <c r="O3" i="2" s="1"/>
  <c r="R61" i="2"/>
  <c r="L61" i="2" s="1"/>
  <c r="K2" i="2" s="1"/>
  <c r="X32" i="2"/>
  <c r="Z30" i="2"/>
  <c r="AC30" i="2" s="1"/>
  <c r="AL22" i="2"/>
  <c r="AO22" i="2" s="1"/>
  <c r="J15" i="2"/>
  <c r="AT15" i="2" s="1"/>
  <c r="J14" i="2"/>
  <c r="AT14" i="2" s="1"/>
  <c r="J13" i="2"/>
  <c r="AT13" i="2" s="1"/>
  <c r="J12" i="2"/>
  <c r="AT12" i="2" s="1"/>
  <c r="J11" i="2"/>
  <c r="AT11" i="2" s="1"/>
  <c r="J10" i="2"/>
  <c r="AT10" i="2" s="1"/>
  <c r="J9" i="2"/>
  <c r="AT9" i="2" s="1"/>
  <c r="J8" i="2"/>
  <c r="AT8" i="2" s="1"/>
  <c r="J7" i="2"/>
  <c r="AT7" i="2" s="1"/>
  <c r="J6" i="2"/>
  <c r="AT6" i="2" s="1"/>
  <c r="J5" i="2"/>
  <c r="AT5" i="2" s="1"/>
  <c r="J4" i="2"/>
  <c r="AT4" i="2" s="1"/>
  <c r="J3" i="2"/>
  <c r="AT3" i="2" s="1"/>
  <c r="S73" i="2"/>
  <c r="M73" i="2" s="1"/>
  <c r="L14" i="2" s="1"/>
  <c r="T69" i="2"/>
  <c r="N69" i="2" s="1"/>
  <c r="M10" i="2" s="1"/>
  <c r="T65" i="2"/>
  <c r="N65" i="2" s="1"/>
  <c r="M6" i="2" s="1"/>
  <c r="AS16" i="2"/>
  <c r="AU16" i="2" s="1"/>
  <c r="BH14" i="2"/>
  <c r="BH11" i="2"/>
  <c r="BH8" i="2"/>
  <c r="BH7" i="2"/>
  <c r="AY7" i="2" s="1"/>
  <c r="BH4" i="2"/>
  <c r="AY4" i="2" s="1"/>
  <c r="BH3" i="2"/>
  <c r="AY3" i="2" s="1"/>
  <c r="J2" i="2"/>
  <c r="AT2" i="2" s="1"/>
  <c r="BT41" i="2" l="1"/>
  <c r="CV41" i="2" s="1"/>
  <c r="AJ38" i="2" s="1"/>
  <c r="CH47" i="2"/>
  <c r="BJ47" i="2" s="1"/>
  <c r="AH44" i="2" s="1"/>
  <c r="AR9" i="2" s="1"/>
  <c r="CV47" i="2"/>
  <c r="AJ44" i="2" s="1"/>
  <c r="AM9" i="2" s="1"/>
  <c r="AV9" i="2" s="1"/>
  <c r="AX9" i="2" s="1"/>
  <c r="BT42" i="2"/>
  <c r="CH42" i="2" s="1"/>
  <c r="BU42" i="2"/>
  <c r="CH41" i="2"/>
  <c r="BJ41" i="2" s="1"/>
  <c r="AH38" i="2" s="1"/>
  <c r="AR3" i="2" s="1"/>
  <c r="AH70" i="8"/>
  <c r="AH69" i="8" s="1"/>
  <c r="AS70" i="8"/>
  <c r="AS69" i="8" s="1"/>
  <c r="U70" i="8"/>
  <c r="U69" i="8" s="1"/>
  <c r="AR70" i="8"/>
  <c r="AR69" i="8" s="1"/>
  <c r="H70" i="8"/>
  <c r="H69" i="8" s="1"/>
  <c r="BG70" i="8"/>
  <c r="BG69" i="8" s="1"/>
  <c r="AU70" i="8"/>
  <c r="AU69" i="8" s="1"/>
  <c r="AI70" i="8"/>
  <c r="AI69" i="8" s="1"/>
  <c r="W70" i="8"/>
  <c r="W69" i="8" s="1"/>
  <c r="K70" i="8"/>
  <c r="K69" i="8" s="1"/>
  <c r="AT70" i="8"/>
  <c r="AT69" i="8" s="1"/>
  <c r="BD70" i="8"/>
  <c r="BD69" i="8" s="1"/>
  <c r="AF70" i="8"/>
  <c r="AF69" i="8" s="1"/>
  <c r="BJ70" i="8"/>
  <c r="BJ69" i="8" s="1"/>
  <c r="BC70" i="8"/>
  <c r="BC69" i="8" s="1"/>
  <c r="AQ70" i="8"/>
  <c r="AQ69" i="8" s="1"/>
  <c r="AE70" i="8"/>
  <c r="AE69" i="8" s="1"/>
  <c r="S70" i="8"/>
  <c r="S69" i="8" s="1"/>
  <c r="G70" i="8"/>
  <c r="G69" i="8" s="1"/>
  <c r="BM70" i="8"/>
  <c r="BM69" i="8" s="1"/>
  <c r="AZ70" i="8"/>
  <c r="AZ69" i="8" s="1"/>
  <c r="AN70" i="8"/>
  <c r="AN69" i="8" s="1"/>
  <c r="P70" i="8"/>
  <c r="P69" i="8" s="1"/>
  <c r="C70" i="8"/>
  <c r="C69" i="8" s="1"/>
  <c r="BL70" i="8"/>
  <c r="BL69" i="8" s="1"/>
  <c r="AY70" i="8"/>
  <c r="AY69" i="8" s="1"/>
  <c r="AA70" i="8"/>
  <c r="AA69" i="8" s="1"/>
  <c r="O70" i="8"/>
  <c r="O69" i="8" s="1"/>
  <c r="AV70" i="8"/>
  <c r="AV69" i="8" s="1"/>
  <c r="F70" i="8"/>
  <c r="F69" i="8" s="1"/>
  <c r="BB70" i="8"/>
  <c r="BB69" i="8" s="1"/>
  <c r="AP70" i="8"/>
  <c r="AP69" i="8" s="1"/>
  <c r="AD70" i="8"/>
  <c r="AD69" i="8" s="1"/>
  <c r="R70" i="8"/>
  <c r="R69" i="8" s="1"/>
  <c r="E70" i="8"/>
  <c r="E69" i="8" s="1"/>
  <c r="BN70" i="8"/>
  <c r="BN69" i="8" s="1"/>
  <c r="AO70" i="8"/>
  <c r="AO69" i="8" s="1"/>
  <c r="AC70" i="8"/>
  <c r="AC69" i="8" s="1"/>
  <c r="Q70" i="8"/>
  <c r="Q69" i="8" s="1"/>
  <c r="D70" i="8"/>
  <c r="D69" i="8" s="1"/>
  <c r="BA70" i="8"/>
  <c r="BA69" i="8" s="1"/>
  <c r="Y70" i="8"/>
  <c r="Y69" i="8" s="1"/>
  <c r="BE70" i="8"/>
  <c r="BE69" i="8" s="1"/>
  <c r="I70" i="8"/>
  <c r="I69" i="8" s="1"/>
  <c r="AB70" i="8"/>
  <c r="AB69" i="8" s="1"/>
  <c r="AM70" i="8"/>
  <c r="AM69" i="8" s="1"/>
  <c r="BI70" i="8"/>
  <c r="BI69" i="8" s="1"/>
  <c r="AK70" i="8"/>
  <c r="AK69" i="8" s="1"/>
  <c r="M70" i="8"/>
  <c r="M69" i="8" s="1"/>
  <c r="AJ70" i="8"/>
  <c r="AJ69" i="8" s="1"/>
  <c r="X70" i="8"/>
  <c r="X69" i="8" s="1"/>
  <c r="AG70" i="8"/>
  <c r="AG69" i="8" s="1"/>
  <c r="BK70" i="8"/>
  <c r="BK69" i="8" s="1"/>
  <c r="AX70" i="8"/>
  <c r="AX69" i="8" s="1"/>
  <c r="AL70" i="8"/>
  <c r="AL69" i="8" s="1"/>
  <c r="Z70" i="8"/>
  <c r="Z69" i="8" s="1"/>
  <c r="N70" i="8"/>
  <c r="N69" i="8" s="1"/>
  <c r="AW70" i="8"/>
  <c r="AW69" i="8" s="1"/>
  <c r="BH70" i="8"/>
  <c r="BH69" i="8" s="1"/>
  <c r="L70" i="8"/>
  <c r="L69" i="8" s="1"/>
  <c r="BF70" i="8"/>
  <c r="BF69" i="8" s="1"/>
  <c r="V70" i="8"/>
  <c r="V69" i="8" s="1"/>
  <c r="J70" i="8"/>
  <c r="J69" i="8" s="1"/>
  <c r="T70" i="8"/>
  <c r="T69" i="8" s="1"/>
  <c r="CX40" i="2"/>
  <c r="BT40" i="2"/>
  <c r="CH40" i="2" s="1"/>
  <c r="BU40" i="2"/>
  <c r="CI62" i="2"/>
  <c r="CI63" i="2"/>
  <c r="CI64" i="2"/>
  <c r="CI65" i="2"/>
  <c r="CI66" i="2"/>
  <c r="CI67" i="2"/>
  <c r="CI68" i="2"/>
  <c r="CI69" i="2"/>
  <c r="CI70" i="2"/>
  <c r="CI71" i="2"/>
  <c r="CI72" i="2"/>
  <c r="CI73" i="2"/>
  <c r="CI74" i="2"/>
  <c r="CI75" i="2"/>
  <c r="CI76" i="2"/>
  <c r="CI77" i="2"/>
  <c r="CI78" i="2"/>
  <c r="CI79" i="2"/>
  <c r="CI80" i="2"/>
  <c r="CI81" i="2"/>
  <c r="CI82" i="2"/>
  <c r="CI83" i="2"/>
  <c r="CI84" i="2"/>
  <c r="CI85" i="2"/>
  <c r="CI86" i="2"/>
  <c r="CI87" i="2"/>
  <c r="CI88" i="2"/>
  <c r="CI89" i="2"/>
  <c r="CI90" i="2"/>
  <c r="CI91" i="2"/>
  <c r="CI92" i="2"/>
  <c r="CI93" i="2"/>
  <c r="CI94" i="2"/>
  <c r="CI95" i="2"/>
  <c r="CI96" i="2"/>
  <c r="CI97" i="2"/>
  <c r="CI98" i="2"/>
  <c r="CI99" i="2"/>
  <c r="CI100" i="2"/>
  <c r="CI101" i="2"/>
  <c r="CI102" i="2"/>
  <c r="CI103" i="2"/>
  <c r="CI104" i="2"/>
  <c r="CI105" i="2"/>
  <c r="CI106" i="2"/>
  <c r="CI107" i="2"/>
  <c r="CI108" i="2"/>
  <c r="CI109" i="2"/>
  <c r="CI110" i="2"/>
  <c r="CI111" i="2"/>
  <c r="CI112" i="2"/>
  <c r="CI113" i="2"/>
  <c r="CI114" i="2"/>
  <c r="CI115" i="2"/>
  <c r="CI116" i="2"/>
  <c r="CI117" i="2"/>
  <c r="CI118" i="2"/>
  <c r="CI119" i="2"/>
  <c r="CI120" i="2"/>
  <c r="CI121" i="2"/>
  <c r="CI122" i="2"/>
  <c r="CI123" i="2"/>
  <c r="CI124" i="2"/>
  <c r="CI125" i="2"/>
  <c r="CI126" i="2"/>
  <c r="CI127" i="2"/>
  <c r="CI128" i="2"/>
  <c r="CI129" i="2"/>
  <c r="CI130" i="2"/>
  <c r="CI131" i="2"/>
  <c r="CI132" i="2"/>
  <c r="CI133" i="2"/>
  <c r="CI134" i="2"/>
  <c r="CI135" i="2"/>
  <c r="CI136" i="2"/>
  <c r="CI137" i="2"/>
  <c r="CI138" i="2"/>
  <c r="CI60" i="2"/>
  <c r="CI139" i="2"/>
  <c r="CR61" i="2"/>
  <c r="CR62" i="2"/>
  <c r="CR63" i="2"/>
  <c r="CR64" i="2"/>
  <c r="CR65" i="2"/>
  <c r="CR66" i="2"/>
  <c r="CR67" i="2"/>
  <c r="CR68" i="2"/>
  <c r="CR69" i="2"/>
  <c r="CR70" i="2"/>
  <c r="CR71" i="2"/>
  <c r="CR72" i="2"/>
  <c r="CR73" i="2"/>
  <c r="CR74" i="2"/>
  <c r="CR75" i="2"/>
  <c r="CR76" i="2"/>
  <c r="CR77" i="2"/>
  <c r="CR78" i="2"/>
  <c r="CR79" i="2"/>
  <c r="CR80" i="2"/>
  <c r="CR81" i="2"/>
  <c r="CR82" i="2"/>
  <c r="CR83" i="2"/>
  <c r="CR84" i="2"/>
  <c r="CR85" i="2"/>
  <c r="CR86" i="2"/>
  <c r="CR87" i="2"/>
  <c r="CR88" i="2"/>
  <c r="CR89" i="2"/>
  <c r="CR90" i="2"/>
  <c r="CR91" i="2"/>
  <c r="CR92" i="2"/>
  <c r="CR93" i="2"/>
  <c r="CR94" i="2"/>
  <c r="CR95" i="2"/>
  <c r="CR96" i="2"/>
  <c r="CR97" i="2"/>
  <c r="CR98" i="2"/>
  <c r="CR99" i="2"/>
  <c r="CR100" i="2"/>
  <c r="CR101" i="2"/>
  <c r="CR102" i="2"/>
  <c r="CR139" i="2"/>
  <c r="CR103" i="2"/>
  <c r="CR104" i="2"/>
  <c r="CR105" i="2"/>
  <c r="CR106" i="2"/>
  <c r="CR107" i="2"/>
  <c r="CR108" i="2"/>
  <c r="CR109" i="2"/>
  <c r="CR110" i="2"/>
  <c r="CR111" i="2"/>
  <c r="CR112" i="2"/>
  <c r="CR113" i="2"/>
  <c r="CR114" i="2"/>
  <c r="CR115" i="2"/>
  <c r="CR116" i="2"/>
  <c r="CR117" i="2"/>
  <c r="CR118" i="2"/>
  <c r="CR119" i="2"/>
  <c r="CR120" i="2"/>
  <c r="CR121" i="2"/>
  <c r="CR122" i="2"/>
  <c r="CR123" i="2"/>
  <c r="CR124" i="2"/>
  <c r="CR125" i="2"/>
  <c r="CR126" i="2"/>
  <c r="CR127" i="2"/>
  <c r="CR128" i="2"/>
  <c r="CR129" i="2"/>
  <c r="CR130" i="2"/>
  <c r="CR131" i="2"/>
  <c r="CR132" i="2"/>
  <c r="CR133" i="2"/>
  <c r="CR135" i="2"/>
  <c r="CR136" i="2"/>
  <c r="CR137" i="2"/>
  <c r="CR138" i="2"/>
  <c r="CR60" i="2"/>
  <c r="CR134" i="2"/>
  <c r="CO61" i="2"/>
  <c r="CO62" i="2"/>
  <c r="CO63" i="2"/>
  <c r="CO64" i="2"/>
  <c r="CO65" i="2"/>
  <c r="CO66" i="2"/>
  <c r="CO67" i="2"/>
  <c r="CO68" i="2"/>
  <c r="CO69" i="2"/>
  <c r="CO70" i="2"/>
  <c r="CO71" i="2"/>
  <c r="CO72" i="2"/>
  <c r="CO73" i="2"/>
  <c r="CO74" i="2"/>
  <c r="CO75" i="2"/>
  <c r="CO76" i="2"/>
  <c r="CO77" i="2"/>
  <c r="CO78" i="2"/>
  <c r="CO79" i="2"/>
  <c r="CO80" i="2"/>
  <c r="CO81" i="2"/>
  <c r="CO82" i="2"/>
  <c r="CO83" i="2"/>
  <c r="CO84" i="2"/>
  <c r="CO85" i="2"/>
  <c r="CO86" i="2"/>
  <c r="CO87" i="2"/>
  <c r="CO88" i="2"/>
  <c r="CO89" i="2"/>
  <c r="CO90" i="2"/>
  <c r="CO91" i="2"/>
  <c r="CO92" i="2"/>
  <c r="CO93" i="2"/>
  <c r="CO94" i="2"/>
  <c r="CO95" i="2"/>
  <c r="CO96" i="2"/>
  <c r="CO97" i="2"/>
  <c r="CO98" i="2"/>
  <c r="CO99" i="2"/>
  <c r="CO100" i="2"/>
  <c r="CO103" i="2"/>
  <c r="CO104" i="2"/>
  <c r="CO105" i="2"/>
  <c r="CO106" i="2"/>
  <c r="CO107" i="2"/>
  <c r="CO108" i="2"/>
  <c r="CO109" i="2"/>
  <c r="CO110" i="2"/>
  <c r="CO111" i="2"/>
  <c r="CO112" i="2"/>
  <c r="CO113" i="2"/>
  <c r="CO114" i="2"/>
  <c r="CO115" i="2"/>
  <c r="CO116" i="2"/>
  <c r="CO117" i="2"/>
  <c r="CO118" i="2"/>
  <c r="CO119" i="2"/>
  <c r="CO120" i="2"/>
  <c r="CO121" i="2"/>
  <c r="CO122" i="2"/>
  <c r="CO123" i="2"/>
  <c r="CO124" i="2"/>
  <c r="CO125" i="2"/>
  <c r="CO126" i="2"/>
  <c r="CO127" i="2"/>
  <c r="CO128" i="2"/>
  <c r="CO129" i="2"/>
  <c r="CO130" i="2"/>
  <c r="CO131" i="2"/>
  <c r="CO132" i="2"/>
  <c r="CO133" i="2"/>
  <c r="CO134" i="2"/>
  <c r="CO135" i="2"/>
  <c r="CO136" i="2"/>
  <c r="CO137" i="2"/>
  <c r="CO138" i="2"/>
  <c r="CO60" i="2"/>
  <c r="CO102" i="2"/>
  <c r="CO101" i="2"/>
  <c r="CO139" i="2"/>
  <c r="CL61" i="2"/>
  <c r="CL62" i="2"/>
  <c r="CL63" i="2"/>
  <c r="CL64" i="2"/>
  <c r="CL65" i="2"/>
  <c r="CL66" i="2"/>
  <c r="CL67" i="2"/>
  <c r="CL82" i="2"/>
  <c r="CL83" i="2"/>
  <c r="CL84" i="2"/>
  <c r="CL85" i="2"/>
  <c r="CL86" i="2"/>
  <c r="CL87" i="2"/>
  <c r="CL88" i="2"/>
  <c r="CL89" i="2"/>
  <c r="CL90" i="2"/>
  <c r="CL91" i="2"/>
  <c r="CL92" i="2"/>
  <c r="CL93" i="2"/>
  <c r="CL94" i="2"/>
  <c r="CL95" i="2"/>
  <c r="CL96" i="2"/>
  <c r="CL97" i="2"/>
  <c r="CL98" i="2"/>
  <c r="CL99" i="2"/>
  <c r="CL100" i="2"/>
  <c r="CL101" i="2"/>
  <c r="CL102" i="2"/>
  <c r="CL68" i="2"/>
  <c r="CL69" i="2"/>
  <c r="CL70" i="2"/>
  <c r="CL71" i="2"/>
  <c r="CL72" i="2"/>
  <c r="CL73" i="2"/>
  <c r="CL74" i="2"/>
  <c r="CL75" i="2"/>
  <c r="CL76" i="2"/>
  <c r="CL77" i="2"/>
  <c r="CL78" i="2"/>
  <c r="CL79" i="2"/>
  <c r="CL80" i="2"/>
  <c r="CL81" i="2"/>
  <c r="CL139" i="2"/>
  <c r="CL103" i="2"/>
  <c r="CL104" i="2"/>
  <c r="CL105" i="2"/>
  <c r="CL106" i="2"/>
  <c r="CL107" i="2"/>
  <c r="CL108" i="2"/>
  <c r="CL109" i="2"/>
  <c r="CL110" i="2"/>
  <c r="CL111" i="2"/>
  <c r="CL112" i="2"/>
  <c r="CL113" i="2"/>
  <c r="CL114" i="2"/>
  <c r="CL115" i="2"/>
  <c r="CL116" i="2"/>
  <c r="CL117" i="2"/>
  <c r="CL118" i="2"/>
  <c r="CL119" i="2"/>
  <c r="CL120" i="2"/>
  <c r="CL121" i="2"/>
  <c r="CL122" i="2"/>
  <c r="CL123" i="2"/>
  <c r="CL124" i="2"/>
  <c r="CL125" i="2"/>
  <c r="CL126" i="2"/>
  <c r="CL127" i="2"/>
  <c r="CL128" i="2"/>
  <c r="CL129" i="2"/>
  <c r="CL130" i="2"/>
  <c r="CL131" i="2"/>
  <c r="CL132" i="2"/>
  <c r="CL133" i="2"/>
  <c r="CL134" i="2"/>
  <c r="CL60" i="2"/>
  <c r="CL135" i="2"/>
  <c r="CL136" i="2"/>
  <c r="CL137" i="2"/>
  <c r="CL138" i="2"/>
  <c r="CN61" i="2"/>
  <c r="CN62" i="2"/>
  <c r="CN63" i="2"/>
  <c r="CN64" i="2"/>
  <c r="CN65" i="2"/>
  <c r="CN66" i="2"/>
  <c r="CN67" i="2"/>
  <c r="CN68" i="2"/>
  <c r="CN69" i="2"/>
  <c r="CN70" i="2"/>
  <c r="CN71" i="2"/>
  <c r="CN72" i="2"/>
  <c r="CN73" i="2"/>
  <c r="CN74" i="2"/>
  <c r="CN75" i="2"/>
  <c r="CN76" i="2"/>
  <c r="CN77" i="2"/>
  <c r="CN78" i="2"/>
  <c r="CN79" i="2"/>
  <c r="CN80" i="2"/>
  <c r="CN81" i="2"/>
  <c r="CN82" i="2"/>
  <c r="CN83" i="2"/>
  <c r="CN84" i="2"/>
  <c r="CN85" i="2"/>
  <c r="CN86" i="2"/>
  <c r="CN87" i="2"/>
  <c r="CN88" i="2"/>
  <c r="CN89" i="2"/>
  <c r="CN90" i="2"/>
  <c r="CN91" i="2"/>
  <c r="CN92" i="2"/>
  <c r="CN93" i="2"/>
  <c r="CN94" i="2"/>
  <c r="CN95" i="2"/>
  <c r="CN96" i="2"/>
  <c r="CN97" i="2"/>
  <c r="CN98" i="2"/>
  <c r="CN99" i="2"/>
  <c r="CN100" i="2"/>
  <c r="CN101" i="2"/>
  <c r="CN102" i="2"/>
  <c r="CN139" i="2"/>
  <c r="CN60" i="2"/>
  <c r="CN103" i="2"/>
  <c r="CN104" i="2"/>
  <c r="CN105" i="2"/>
  <c r="CN106" i="2"/>
  <c r="CN107" i="2"/>
  <c r="CN108" i="2"/>
  <c r="CN109" i="2"/>
  <c r="CN110" i="2"/>
  <c r="CN111" i="2"/>
  <c r="CN112" i="2"/>
  <c r="CN113" i="2"/>
  <c r="CN114" i="2"/>
  <c r="CN115" i="2"/>
  <c r="CN116" i="2"/>
  <c r="CN117" i="2"/>
  <c r="CN118" i="2"/>
  <c r="CN119" i="2"/>
  <c r="CN120" i="2"/>
  <c r="CN121" i="2"/>
  <c r="CN122" i="2"/>
  <c r="CN123" i="2"/>
  <c r="CN124" i="2"/>
  <c r="CN125" i="2"/>
  <c r="CN126" i="2"/>
  <c r="CN127" i="2"/>
  <c r="CN128" i="2"/>
  <c r="CN129" i="2"/>
  <c r="CN130" i="2"/>
  <c r="CN131" i="2"/>
  <c r="CN132" i="2"/>
  <c r="CN133" i="2"/>
  <c r="CN134" i="2"/>
  <c r="CN135" i="2"/>
  <c r="CN136" i="2"/>
  <c r="CN137" i="2"/>
  <c r="CN138" i="2"/>
  <c r="CP61" i="2"/>
  <c r="CP62" i="2"/>
  <c r="CP63" i="2"/>
  <c r="CP64" i="2"/>
  <c r="CP65" i="2"/>
  <c r="CP66" i="2"/>
  <c r="CP67" i="2"/>
  <c r="CP82" i="2"/>
  <c r="CP83" i="2"/>
  <c r="CP84" i="2"/>
  <c r="CP85" i="2"/>
  <c r="CP86" i="2"/>
  <c r="CP87" i="2"/>
  <c r="CP88" i="2"/>
  <c r="CP89" i="2"/>
  <c r="CP90" i="2"/>
  <c r="CP91" i="2"/>
  <c r="CP92" i="2"/>
  <c r="CP93" i="2"/>
  <c r="CP94" i="2"/>
  <c r="CP95" i="2"/>
  <c r="CP96" i="2"/>
  <c r="CP97" i="2"/>
  <c r="CP98" i="2"/>
  <c r="CP99" i="2"/>
  <c r="CP100" i="2"/>
  <c r="CP101" i="2"/>
  <c r="CP102" i="2"/>
  <c r="CP76" i="2"/>
  <c r="CP77" i="2"/>
  <c r="CP78" i="2"/>
  <c r="CP79" i="2"/>
  <c r="CP80" i="2"/>
  <c r="CP81" i="2"/>
  <c r="CP68" i="2"/>
  <c r="CP69" i="2"/>
  <c r="CP70" i="2"/>
  <c r="CP71" i="2"/>
  <c r="CP72" i="2"/>
  <c r="CP73" i="2"/>
  <c r="CP74" i="2"/>
  <c r="CP75" i="2"/>
  <c r="CP139" i="2"/>
  <c r="CP130" i="2"/>
  <c r="CP131" i="2"/>
  <c r="CP132" i="2"/>
  <c r="CP133" i="2"/>
  <c r="CP103" i="2"/>
  <c r="CP104" i="2"/>
  <c r="CP105" i="2"/>
  <c r="CP106" i="2"/>
  <c r="CP107" i="2"/>
  <c r="CP108" i="2"/>
  <c r="CP109" i="2"/>
  <c r="CP110" i="2"/>
  <c r="CP111" i="2"/>
  <c r="CP112" i="2"/>
  <c r="CP113" i="2"/>
  <c r="CP114" i="2"/>
  <c r="CP115" i="2"/>
  <c r="CP116" i="2"/>
  <c r="CP117" i="2"/>
  <c r="CP118" i="2"/>
  <c r="CP119" i="2"/>
  <c r="CP120" i="2"/>
  <c r="CP121" i="2"/>
  <c r="CP122" i="2"/>
  <c r="CP123" i="2"/>
  <c r="CP124" i="2"/>
  <c r="CP125" i="2"/>
  <c r="CP126" i="2"/>
  <c r="CP127" i="2"/>
  <c r="CP128" i="2"/>
  <c r="CP129" i="2"/>
  <c r="CP134" i="2"/>
  <c r="CP135" i="2"/>
  <c r="CP136" i="2"/>
  <c r="CP137" i="2"/>
  <c r="CP138" i="2"/>
  <c r="CP60" i="2"/>
  <c r="CM61" i="2"/>
  <c r="CM62" i="2"/>
  <c r="CM63" i="2"/>
  <c r="CM64" i="2"/>
  <c r="CM65" i="2"/>
  <c r="CM66" i="2"/>
  <c r="CM67" i="2"/>
  <c r="CM68" i="2"/>
  <c r="CM69" i="2"/>
  <c r="CM70" i="2"/>
  <c r="CM71" i="2"/>
  <c r="CM72" i="2"/>
  <c r="CM73" i="2"/>
  <c r="CM74" i="2"/>
  <c r="CM75" i="2"/>
  <c r="CM76" i="2"/>
  <c r="CM77" i="2"/>
  <c r="CM78" i="2"/>
  <c r="CM79" i="2"/>
  <c r="CM80" i="2"/>
  <c r="CM81" i="2"/>
  <c r="CM82" i="2"/>
  <c r="CM83" i="2"/>
  <c r="CM84" i="2"/>
  <c r="CM85" i="2"/>
  <c r="CM86" i="2"/>
  <c r="CM87" i="2"/>
  <c r="CM88" i="2"/>
  <c r="CM89" i="2"/>
  <c r="CM90" i="2"/>
  <c r="CM91" i="2"/>
  <c r="CM92" i="2"/>
  <c r="CM93" i="2"/>
  <c r="CM94" i="2"/>
  <c r="CM95" i="2"/>
  <c r="CM96" i="2"/>
  <c r="CM97" i="2"/>
  <c r="CM98" i="2"/>
  <c r="CM101" i="2"/>
  <c r="CM102" i="2"/>
  <c r="CM103" i="2"/>
  <c r="CM104" i="2"/>
  <c r="CM105" i="2"/>
  <c r="CM106" i="2"/>
  <c r="CM107" i="2"/>
  <c r="CM108" i="2"/>
  <c r="CM109" i="2"/>
  <c r="CM110" i="2"/>
  <c r="CM111" i="2"/>
  <c r="CM112" i="2"/>
  <c r="CM113" i="2"/>
  <c r="CM114" i="2"/>
  <c r="CM115" i="2"/>
  <c r="CM116" i="2"/>
  <c r="CM117" i="2"/>
  <c r="CM118" i="2"/>
  <c r="CM119" i="2"/>
  <c r="CM120" i="2"/>
  <c r="CM121" i="2"/>
  <c r="CM122" i="2"/>
  <c r="CM123" i="2"/>
  <c r="CM124" i="2"/>
  <c r="CM125" i="2"/>
  <c r="CM126" i="2"/>
  <c r="CM127" i="2"/>
  <c r="CM128" i="2"/>
  <c r="CM129" i="2"/>
  <c r="CM130" i="2"/>
  <c r="CM131" i="2"/>
  <c r="CM132" i="2"/>
  <c r="CM133" i="2"/>
  <c r="CM134" i="2"/>
  <c r="CM135" i="2"/>
  <c r="CM136" i="2"/>
  <c r="CM137" i="2"/>
  <c r="CM138" i="2"/>
  <c r="CM60" i="2"/>
  <c r="CM99" i="2"/>
  <c r="CM139" i="2"/>
  <c r="CM100" i="2"/>
  <c r="CJ61" i="2"/>
  <c r="CJ62" i="2"/>
  <c r="CJ63" i="2"/>
  <c r="CJ64" i="2"/>
  <c r="CJ65" i="2"/>
  <c r="CJ66" i="2"/>
  <c r="CJ67" i="2"/>
  <c r="CJ68" i="2"/>
  <c r="CJ69" i="2"/>
  <c r="CJ70" i="2"/>
  <c r="CJ71" i="2"/>
  <c r="CJ72" i="2"/>
  <c r="CJ73" i="2"/>
  <c r="CJ74" i="2"/>
  <c r="CJ75" i="2"/>
  <c r="CJ76" i="2"/>
  <c r="CJ77" i="2"/>
  <c r="CJ78" i="2"/>
  <c r="CJ79" i="2"/>
  <c r="CJ80" i="2"/>
  <c r="CJ81" i="2"/>
  <c r="CJ82" i="2"/>
  <c r="CJ83" i="2"/>
  <c r="CJ84" i="2"/>
  <c r="CJ85" i="2"/>
  <c r="CJ86" i="2"/>
  <c r="CJ87" i="2"/>
  <c r="CJ88" i="2"/>
  <c r="CJ89" i="2"/>
  <c r="CJ90" i="2"/>
  <c r="CJ91" i="2"/>
  <c r="CJ92" i="2"/>
  <c r="CJ93" i="2"/>
  <c r="CJ94" i="2"/>
  <c r="CJ95" i="2"/>
  <c r="CJ96" i="2"/>
  <c r="CJ97" i="2"/>
  <c r="CJ98" i="2"/>
  <c r="CJ99" i="2"/>
  <c r="CJ100" i="2"/>
  <c r="CJ139" i="2"/>
  <c r="CJ101" i="2"/>
  <c r="CJ135" i="2"/>
  <c r="CJ137" i="2"/>
  <c r="CJ136" i="2"/>
  <c r="CJ138" i="2"/>
  <c r="CJ103" i="2"/>
  <c r="CJ104" i="2"/>
  <c r="CJ105" i="2"/>
  <c r="CJ106" i="2"/>
  <c r="CJ107" i="2"/>
  <c r="CJ108" i="2"/>
  <c r="CJ109" i="2"/>
  <c r="CJ110" i="2"/>
  <c r="CJ111" i="2"/>
  <c r="CJ112" i="2"/>
  <c r="CJ113" i="2"/>
  <c r="CJ114" i="2"/>
  <c r="CJ115" i="2"/>
  <c r="CJ116" i="2"/>
  <c r="CJ117" i="2"/>
  <c r="CJ118" i="2"/>
  <c r="CJ119" i="2"/>
  <c r="CJ120" i="2"/>
  <c r="CJ121" i="2"/>
  <c r="CJ122" i="2"/>
  <c r="CJ123" i="2"/>
  <c r="CJ124" i="2"/>
  <c r="CJ125" i="2"/>
  <c r="CJ126" i="2"/>
  <c r="CJ127" i="2"/>
  <c r="CJ128" i="2"/>
  <c r="CJ129" i="2"/>
  <c r="CJ130" i="2"/>
  <c r="CJ131" i="2"/>
  <c r="CJ132" i="2"/>
  <c r="CJ133" i="2"/>
  <c r="CJ134" i="2"/>
  <c r="CJ60" i="2"/>
  <c r="CJ102" i="2"/>
  <c r="CQ61" i="2"/>
  <c r="CQ62" i="2"/>
  <c r="CQ63" i="2"/>
  <c r="CQ64" i="2"/>
  <c r="CQ65" i="2"/>
  <c r="CQ66" i="2"/>
  <c r="CQ67" i="2"/>
  <c r="CQ68" i="2"/>
  <c r="CQ69" i="2"/>
  <c r="CQ70" i="2"/>
  <c r="CQ71" i="2"/>
  <c r="CQ72" i="2"/>
  <c r="CQ73" i="2"/>
  <c r="CQ74" i="2"/>
  <c r="CQ75" i="2"/>
  <c r="CQ76" i="2"/>
  <c r="CQ77" i="2"/>
  <c r="CQ78" i="2"/>
  <c r="CQ79" i="2"/>
  <c r="CQ80" i="2"/>
  <c r="CQ81" i="2"/>
  <c r="CQ82" i="2"/>
  <c r="CQ83" i="2"/>
  <c r="CQ84" i="2"/>
  <c r="CQ85" i="2"/>
  <c r="CQ86" i="2"/>
  <c r="CQ87" i="2"/>
  <c r="CQ88" i="2"/>
  <c r="CQ89" i="2"/>
  <c r="CQ90" i="2"/>
  <c r="CQ91" i="2"/>
  <c r="CQ92" i="2"/>
  <c r="CQ93" i="2"/>
  <c r="CQ94" i="2"/>
  <c r="CQ95" i="2"/>
  <c r="CQ96" i="2"/>
  <c r="CQ97" i="2"/>
  <c r="CQ101" i="2"/>
  <c r="CQ102" i="2"/>
  <c r="CQ98" i="2"/>
  <c r="CQ99" i="2"/>
  <c r="CQ100" i="2"/>
  <c r="CQ103" i="2"/>
  <c r="CQ104" i="2"/>
  <c r="CQ105" i="2"/>
  <c r="CQ106" i="2"/>
  <c r="CQ107" i="2"/>
  <c r="CQ108" i="2"/>
  <c r="CQ109" i="2"/>
  <c r="CQ110" i="2"/>
  <c r="CQ111" i="2"/>
  <c r="CQ112" i="2"/>
  <c r="CQ113" i="2"/>
  <c r="CQ114" i="2"/>
  <c r="CQ115" i="2"/>
  <c r="CQ116" i="2"/>
  <c r="CQ117" i="2"/>
  <c r="CQ118" i="2"/>
  <c r="CQ119" i="2"/>
  <c r="CQ120" i="2"/>
  <c r="CQ121" i="2"/>
  <c r="CQ122" i="2"/>
  <c r="CQ123" i="2"/>
  <c r="CQ124" i="2"/>
  <c r="CQ125" i="2"/>
  <c r="CQ126" i="2"/>
  <c r="CQ127" i="2"/>
  <c r="CQ128" i="2"/>
  <c r="CQ129" i="2"/>
  <c r="CQ130" i="2"/>
  <c r="CQ131" i="2"/>
  <c r="CQ132" i="2"/>
  <c r="CQ133" i="2"/>
  <c r="CQ134" i="2"/>
  <c r="CQ135" i="2"/>
  <c r="CQ136" i="2"/>
  <c r="CQ137" i="2"/>
  <c r="CQ138" i="2"/>
  <c r="CQ60" i="2"/>
  <c r="CQ139" i="2"/>
  <c r="CT61" i="2"/>
  <c r="CT62" i="2"/>
  <c r="CT63" i="2"/>
  <c r="CT64" i="2"/>
  <c r="CT65" i="2"/>
  <c r="CT66" i="2"/>
  <c r="CT67" i="2"/>
  <c r="CT68" i="2"/>
  <c r="CT69" i="2"/>
  <c r="CT70" i="2"/>
  <c r="CT71" i="2"/>
  <c r="CT72" i="2"/>
  <c r="CT73" i="2"/>
  <c r="CT74" i="2"/>
  <c r="CT75" i="2"/>
  <c r="CT82" i="2"/>
  <c r="CT83" i="2"/>
  <c r="CT84" i="2"/>
  <c r="CT85" i="2"/>
  <c r="CT86" i="2"/>
  <c r="CT87" i="2"/>
  <c r="CT88" i="2"/>
  <c r="CT89" i="2"/>
  <c r="CT90" i="2"/>
  <c r="CT91" i="2"/>
  <c r="CT92" i="2"/>
  <c r="CT93" i="2"/>
  <c r="CT94" i="2"/>
  <c r="CT95" i="2"/>
  <c r="CT96" i="2"/>
  <c r="CT97" i="2"/>
  <c r="CT98" i="2"/>
  <c r="CT99" i="2"/>
  <c r="CT100" i="2"/>
  <c r="CT101" i="2"/>
  <c r="CT102" i="2"/>
  <c r="CT76" i="2"/>
  <c r="CT77" i="2"/>
  <c r="CT78" i="2"/>
  <c r="CT79" i="2"/>
  <c r="CT80" i="2"/>
  <c r="CT81" i="2"/>
  <c r="CT139" i="2"/>
  <c r="CT103" i="2"/>
  <c r="CT104" i="2"/>
  <c r="CT105" i="2"/>
  <c r="CT106" i="2"/>
  <c r="CT107" i="2"/>
  <c r="CT108" i="2"/>
  <c r="CT109" i="2"/>
  <c r="CT110" i="2"/>
  <c r="CT111" i="2"/>
  <c r="CT112" i="2"/>
  <c r="CT113" i="2"/>
  <c r="CT114" i="2"/>
  <c r="CT115" i="2"/>
  <c r="CT116" i="2"/>
  <c r="CT117" i="2"/>
  <c r="CT118" i="2"/>
  <c r="CT119" i="2"/>
  <c r="CT120" i="2"/>
  <c r="CT121" i="2"/>
  <c r="CT122" i="2"/>
  <c r="CT123" i="2"/>
  <c r="CT124" i="2"/>
  <c r="CT125" i="2"/>
  <c r="CT126" i="2"/>
  <c r="CT127" i="2"/>
  <c r="CT128" i="2"/>
  <c r="CT129" i="2"/>
  <c r="CT130" i="2"/>
  <c r="CT131" i="2"/>
  <c r="CT132" i="2"/>
  <c r="CT133" i="2"/>
  <c r="CT60" i="2"/>
  <c r="CT134" i="2"/>
  <c r="CT135" i="2"/>
  <c r="CT136" i="2"/>
  <c r="CT137" i="2"/>
  <c r="CT138" i="2"/>
  <c r="CU61" i="2"/>
  <c r="CU62" i="2"/>
  <c r="CU63" i="2"/>
  <c r="CU64" i="2"/>
  <c r="CU65" i="2"/>
  <c r="CU66" i="2"/>
  <c r="CU67" i="2"/>
  <c r="CU68" i="2"/>
  <c r="CU69" i="2"/>
  <c r="CU70" i="2"/>
  <c r="CU71" i="2"/>
  <c r="CU72" i="2"/>
  <c r="CU73" i="2"/>
  <c r="CU74" i="2"/>
  <c r="CU75" i="2"/>
  <c r="CU76" i="2"/>
  <c r="CU77" i="2"/>
  <c r="CU78" i="2"/>
  <c r="CU79" i="2"/>
  <c r="CU80" i="2"/>
  <c r="CU81" i="2"/>
  <c r="CU138" i="2"/>
  <c r="CU82" i="2"/>
  <c r="CU83" i="2"/>
  <c r="CU84" i="2"/>
  <c r="CU85" i="2"/>
  <c r="CU86" i="2"/>
  <c r="CU87" i="2"/>
  <c r="CU88" i="2"/>
  <c r="CU89" i="2"/>
  <c r="CU90" i="2"/>
  <c r="CU91" i="2"/>
  <c r="CU92" i="2"/>
  <c r="CU93" i="2"/>
  <c r="CU94" i="2"/>
  <c r="CU95" i="2"/>
  <c r="CU96" i="2"/>
  <c r="CU97" i="2"/>
  <c r="CU103" i="2"/>
  <c r="CU104" i="2"/>
  <c r="CU105" i="2"/>
  <c r="CU106" i="2"/>
  <c r="CU107" i="2"/>
  <c r="CU108" i="2"/>
  <c r="CU109" i="2"/>
  <c r="CU110" i="2"/>
  <c r="CU111" i="2"/>
  <c r="CU112" i="2"/>
  <c r="CU113" i="2"/>
  <c r="CU114" i="2"/>
  <c r="CU115" i="2"/>
  <c r="CU116" i="2"/>
  <c r="CU117" i="2"/>
  <c r="CU118" i="2"/>
  <c r="CU119" i="2"/>
  <c r="CU120" i="2"/>
  <c r="CU121" i="2"/>
  <c r="CU122" i="2"/>
  <c r="CU123" i="2"/>
  <c r="CU124" i="2"/>
  <c r="CU125" i="2"/>
  <c r="CU126" i="2"/>
  <c r="CU127" i="2"/>
  <c r="CU128" i="2"/>
  <c r="CU129" i="2"/>
  <c r="CU130" i="2"/>
  <c r="CU131" i="2"/>
  <c r="CU132" i="2"/>
  <c r="CU133" i="2"/>
  <c r="CU134" i="2"/>
  <c r="CU135" i="2"/>
  <c r="CU136" i="2"/>
  <c r="CU137" i="2"/>
  <c r="CU60" i="2"/>
  <c r="CU99" i="2"/>
  <c r="CU102" i="2"/>
  <c r="CU101" i="2"/>
  <c r="CU139" i="2"/>
  <c r="CU98" i="2"/>
  <c r="CU100" i="2"/>
  <c r="CS61" i="2"/>
  <c r="CS62" i="2"/>
  <c r="CS63" i="2"/>
  <c r="CS64" i="2"/>
  <c r="CS65" i="2"/>
  <c r="CS66" i="2"/>
  <c r="CS67" i="2"/>
  <c r="CS68" i="2"/>
  <c r="CS69" i="2"/>
  <c r="CS70" i="2"/>
  <c r="CS71" i="2"/>
  <c r="CS72" i="2"/>
  <c r="CS73" i="2"/>
  <c r="CS74" i="2"/>
  <c r="CS75" i="2"/>
  <c r="CS76" i="2"/>
  <c r="CS77" i="2"/>
  <c r="CS78" i="2"/>
  <c r="CS79" i="2"/>
  <c r="CS80" i="2"/>
  <c r="CS81" i="2"/>
  <c r="CS82" i="2"/>
  <c r="CS83" i="2"/>
  <c r="CS84" i="2"/>
  <c r="CS85" i="2"/>
  <c r="CS86" i="2"/>
  <c r="CS87" i="2"/>
  <c r="CS88" i="2"/>
  <c r="CS89" i="2"/>
  <c r="CS90" i="2"/>
  <c r="CS91" i="2"/>
  <c r="CS92" i="2"/>
  <c r="CS93" i="2"/>
  <c r="CS94" i="2"/>
  <c r="CS95" i="2"/>
  <c r="CS96" i="2"/>
  <c r="CS97" i="2"/>
  <c r="CS103" i="2"/>
  <c r="CS104" i="2"/>
  <c r="CS105" i="2"/>
  <c r="CS106" i="2"/>
  <c r="CS107" i="2"/>
  <c r="CS108" i="2"/>
  <c r="CS109" i="2"/>
  <c r="CS110" i="2"/>
  <c r="CS111" i="2"/>
  <c r="CS112" i="2"/>
  <c r="CS113" i="2"/>
  <c r="CS114" i="2"/>
  <c r="CS115" i="2"/>
  <c r="CS116" i="2"/>
  <c r="CS117" i="2"/>
  <c r="CS118" i="2"/>
  <c r="CS119" i="2"/>
  <c r="CS120" i="2"/>
  <c r="CS121" i="2"/>
  <c r="CS122" i="2"/>
  <c r="CS123" i="2"/>
  <c r="CS124" i="2"/>
  <c r="CS125" i="2"/>
  <c r="CS126" i="2"/>
  <c r="CS127" i="2"/>
  <c r="CS128" i="2"/>
  <c r="CS129" i="2"/>
  <c r="CS130" i="2"/>
  <c r="CS131" i="2"/>
  <c r="CS132" i="2"/>
  <c r="CS133" i="2"/>
  <c r="CS134" i="2"/>
  <c r="CS135" i="2"/>
  <c r="CS136" i="2"/>
  <c r="CS137" i="2"/>
  <c r="CS138" i="2"/>
  <c r="CS60" i="2"/>
  <c r="CS98" i="2"/>
  <c r="CS99" i="2"/>
  <c r="CS100" i="2"/>
  <c r="CS101" i="2"/>
  <c r="CS102" i="2"/>
  <c r="CS139" i="2"/>
  <c r="CV61" i="2"/>
  <c r="CV62" i="2"/>
  <c r="CV63" i="2"/>
  <c r="CV64" i="2"/>
  <c r="CV65" i="2"/>
  <c r="CV66" i="2"/>
  <c r="CV67" i="2"/>
  <c r="CV68" i="2"/>
  <c r="CV69" i="2"/>
  <c r="CV70" i="2"/>
  <c r="CV71" i="2"/>
  <c r="CV72" i="2"/>
  <c r="CV73" i="2"/>
  <c r="CV74" i="2"/>
  <c r="CV75" i="2"/>
  <c r="CV76" i="2"/>
  <c r="CV77" i="2"/>
  <c r="CV78" i="2"/>
  <c r="CV79" i="2"/>
  <c r="CV80" i="2"/>
  <c r="CV81" i="2"/>
  <c r="CV82" i="2"/>
  <c r="CV83" i="2"/>
  <c r="CV84" i="2"/>
  <c r="CV85" i="2"/>
  <c r="CV86" i="2"/>
  <c r="CV87" i="2"/>
  <c r="CV88" i="2"/>
  <c r="CV89" i="2"/>
  <c r="CV90" i="2"/>
  <c r="CV91" i="2"/>
  <c r="CV92" i="2"/>
  <c r="CV93" i="2"/>
  <c r="CV94" i="2"/>
  <c r="CV95" i="2"/>
  <c r="CV96" i="2"/>
  <c r="CV97" i="2"/>
  <c r="CV98" i="2"/>
  <c r="CV99" i="2"/>
  <c r="CV100" i="2"/>
  <c r="CV101" i="2"/>
  <c r="CV102" i="2"/>
  <c r="CV138" i="2"/>
  <c r="CV139" i="2"/>
  <c r="CV60" i="2"/>
  <c r="CV129" i="2"/>
  <c r="CV131" i="2"/>
  <c r="CV133" i="2"/>
  <c r="CV103" i="2"/>
  <c r="CV104" i="2"/>
  <c r="CV105" i="2"/>
  <c r="CV106" i="2"/>
  <c r="CV107" i="2"/>
  <c r="CV108" i="2"/>
  <c r="CV109" i="2"/>
  <c r="CV110" i="2"/>
  <c r="CV111" i="2"/>
  <c r="CV112" i="2"/>
  <c r="CV113" i="2"/>
  <c r="CV114" i="2"/>
  <c r="CV115" i="2"/>
  <c r="CV116" i="2"/>
  <c r="CV117" i="2"/>
  <c r="CV118" i="2"/>
  <c r="CV119" i="2"/>
  <c r="CV120" i="2"/>
  <c r="CV121" i="2"/>
  <c r="CV122" i="2"/>
  <c r="CV123" i="2"/>
  <c r="CV124" i="2"/>
  <c r="CV125" i="2"/>
  <c r="CV126" i="2"/>
  <c r="CV127" i="2"/>
  <c r="CV128" i="2"/>
  <c r="CV130" i="2"/>
  <c r="CV132" i="2"/>
  <c r="CV134" i="2"/>
  <c r="CV135" i="2"/>
  <c r="CV136" i="2"/>
  <c r="CV137" i="2"/>
  <c r="CW61" i="2"/>
  <c r="CW62" i="2"/>
  <c r="CW63" i="2"/>
  <c r="CW64" i="2"/>
  <c r="CW65" i="2"/>
  <c r="CW66" i="2"/>
  <c r="CW67" i="2"/>
  <c r="CW68" i="2"/>
  <c r="CW69" i="2"/>
  <c r="CW70" i="2"/>
  <c r="CW71" i="2"/>
  <c r="CW72" i="2"/>
  <c r="CW73" i="2"/>
  <c r="CW74" i="2"/>
  <c r="CW75" i="2"/>
  <c r="CW76" i="2"/>
  <c r="CW77" i="2"/>
  <c r="CW78" i="2"/>
  <c r="CW79" i="2"/>
  <c r="CW80" i="2"/>
  <c r="CW81" i="2"/>
  <c r="CW82" i="2"/>
  <c r="CW83" i="2"/>
  <c r="CW84" i="2"/>
  <c r="CW85" i="2"/>
  <c r="CW86" i="2"/>
  <c r="CW87" i="2"/>
  <c r="CW88" i="2"/>
  <c r="CW89" i="2"/>
  <c r="CW90" i="2"/>
  <c r="CW91" i="2"/>
  <c r="CW92" i="2"/>
  <c r="CW93" i="2"/>
  <c r="CW94" i="2"/>
  <c r="CW95" i="2"/>
  <c r="CW96" i="2"/>
  <c r="CW98" i="2"/>
  <c r="CW99" i="2"/>
  <c r="CW103" i="2"/>
  <c r="CW104" i="2"/>
  <c r="CW105" i="2"/>
  <c r="CW106" i="2"/>
  <c r="CW107" i="2"/>
  <c r="CW108" i="2"/>
  <c r="CW109" i="2"/>
  <c r="CW110" i="2"/>
  <c r="CW111" i="2"/>
  <c r="CW112" i="2"/>
  <c r="CW113" i="2"/>
  <c r="CW114" i="2"/>
  <c r="CW115" i="2"/>
  <c r="CW116" i="2"/>
  <c r="CW117" i="2"/>
  <c r="CW118" i="2"/>
  <c r="CW119" i="2"/>
  <c r="CW120" i="2"/>
  <c r="CW121" i="2"/>
  <c r="CW122" i="2"/>
  <c r="CW123" i="2"/>
  <c r="CW124" i="2"/>
  <c r="CW125" i="2"/>
  <c r="CW126" i="2"/>
  <c r="CW127" i="2"/>
  <c r="CW128" i="2"/>
  <c r="CW129" i="2"/>
  <c r="CW130" i="2"/>
  <c r="CW131" i="2"/>
  <c r="CW132" i="2"/>
  <c r="CW133" i="2"/>
  <c r="CW134" i="2"/>
  <c r="CW135" i="2"/>
  <c r="CW136" i="2"/>
  <c r="CW137" i="2"/>
  <c r="CW60" i="2"/>
  <c r="CW100" i="2"/>
  <c r="CW101" i="2"/>
  <c r="CW102" i="2"/>
  <c r="CW97" i="2"/>
  <c r="CW139" i="2"/>
  <c r="CW138" i="2"/>
  <c r="CK61" i="2"/>
  <c r="CK62" i="2"/>
  <c r="CK63" i="2"/>
  <c r="CK64" i="2"/>
  <c r="CK65" i="2"/>
  <c r="CK66" i="2"/>
  <c r="CK67" i="2"/>
  <c r="CK68" i="2"/>
  <c r="CK69" i="2"/>
  <c r="CK70" i="2"/>
  <c r="CK71" i="2"/>
  <c r="CK72" i="2"/>
  <c r="CK73" i="2"/>
  <c r="CK74" i="2"/>
  <c r="CK75" i="2"/>
  <c r="CK76" i="2"/>
  <c r="CK77" i="2"/>
  <c r="CK78" i="2"/>
  <c r="CK79" i="2"/>
  <c r="CK80" i="2"/>
  <c r="CK81" i="2"/>
  <c r="CK82" i="2"/>
  <c r="CK83" i="2"/>
  <c r="CK84" i="2"/>
  <c r="CK85" i="2"/>
  <c r="CK86" i="2"/>
  <c r="CK87" i="2"/>
  <c r="CK88" i="2"/>
  <c r="CK89" i="2"/>
  <c r="CK90" i="2"/>
  <c r="CK91" i="2"/>
  <c r="CK92" i="2"/>
  <c r="CK93" i="2"/>
  <c r="CK94" i="2"/>
  <c r="CK95" i="2"/>
  <c r="CK96" i="2"/>
  <c r="CK97" i="2"/>
  <c r="CK101" i="2"/>
  <c r="CK102" i="2"/>
  <c r="CK103" i="2"/>
  <c r="CK104" i="2"/>
  <c r="CK105" i="2"/>
  <c r="CK106" i="2"/>
  <c r="CK107" i="2"/>
  <c r="CK108" i="2"/>
  <c r="CK109" i="2"/>
  <c r="CK110" i="2"/>
  <c r="CK111" i="2"/>
  <c r="CK112" i="2"/>
  <c r="CK113" i="2"/>
  <c r="CK114" i="2"/>
  <c r="CK115" i="2"/>
  <c r="CK116" i="2"/>
  <c r="CK117" i="2"/>
  <c r="CK118" i="2"/>
  <c r="CK119" i="2"/>
  <c r="CK120" i="2"/>
  <c r="CK121" i="2"/>
  <c r="CK122" i="2"/>
  <c r="CK123" i="2"/>
  <c r="CK124" i="2"/>
  <c r="CK125" i="2"/>
  <c r="CK126" i="2"/>
  <c r="CK127" i="2"/>
  <c r="CK128" i="2"/>
  <c r="CK129" i="2"/>
  <c r="CK130" i="2"/>
  <c r="CK131" i="2"/>
  <c r="CK132" i="2"/>
  <c r="CK133" i="2"/>
  <c r="CK134" i="2"/>
  <c r="CK135" i="2"/>
  <c r="CK136" i="2"/>
  <c r="CK137" i="2"/>
  <c r="CK138" i="2"/>
  <c r="CK60" i="2"/>
  <c r="CK99" i="2"/>
  <c r="CK100" i="2"/>
  <c r="CK139" i="2"/>
  <c r="CK98" i="2"/>
  <c r="AO17" i="2"/>
  <c r="AJ51" i="2"/>
  <c r="AM16" i="2" s="1"/>
  <c r="BG16" i="2" s="1"/>
  <c r="AO8" i="2"/>
  <c r="AO12" i="2"/>
  <c r="AO15" i="2"/>
  <c r="AO9" i="2"/>
  <c r="AO5" i="2"/>
  <c r="AO7" i="2"/>
  <c r="AJ46" i="2"/>
  <c r="AM11" i="2" s="1"/>
  <c r="BG11" i="2" s="1"/>
  <c r="AM6" i="2"/>
  <c r="AV6" i="2" s="1"/>
  <c r="AM3" i="2"/>
  <c r="AM7" i="2"/>
  <c r="C43" i="9"/>
  <c r="V4" i="9" s="1"/>
  <c r="C47" i="9"/>
  <c r="V8" i="9" s="1"/>
  <c r="F45" i="9"/>
  <c r="I46" i="9"/>
  <c r="L43" i="9"/>
  <c r="V30" i="9" s="1"/>
  <c r="C48" i="9"/>
  <c r="V9" i="9" s="1"/>
  <c r="I43" i="9"/>
  <c r="O44" i="9"/>
  <c r="C46" i="9"/>
  <c r="V7" i="9" s="1"/>
  <c r="F44" i="9"/>
  <c r="I45" i="9"/>
  <c r="L44" i="9"/>
  <c r="V31" i="9" s="1"/>
  <c r="O45" i="9"/>
  <c r="C49" i="9"/>
  <c r="V10" i="9" s="1"/>
  <c r="C45" i="9"/>
  <c r="V6" i="9" s="1"/>
  <c r="I48" i="9"/>
  <c r="I44" i="9"/>
  <c r="F46" i="9"/>
  <c r="O47" i="9"/>
  <c r="I47" i="9"/>
  <c r="BB76" i="2"/>
  <c r="BJ61" i="2"/>
  <c r="BN61" i="2"/>
  <c r="BF61" i="2"/>
  <c r="AM13" i="2"/>
  <c r="AO11" i="2"/>
  <c r="AF71" i="6" s="1"/>
  <c r="AO3" i="2"/>
  <c r="BG14" i="2"/>
  <c r="AW14" i="2"/>
  <c r="BB77" i="2"/>
  <c r="BB80" i="2"/>
  <c r="BB78" i="2"/>
  <c r="BF67" i="2"/>
  <c r="BF66" i="2"/>
  <c r="BJ64" i="2"/>
  <c r="BN62" i="2"/>
  <c r="BF62" i="2"/>
  <c r="BJ68" i="2"/>
  <c r="BJ69" i="2"/>
  <c r="BJ66" i="2"/>
  <c r="BN64" i="2"/>
  <c r="AL28" i="2" s="1"/>
  <c r="AO28" i="2" s="1"/>
  <c r="BJ62" i="2"/>
  <c r="BB79" i="2"/>
  <c r="BF63" i="2"/>
  <c r="BB81" i="2"/>
  <c r="BJ70" i="2"/>
  <c r="BF68" i="2"/>
  <c r="BJ67" i="2"/>
  <c r="BJ65" i="2"/>
  <c r="BJ63" i="2"/>
  <c r="BF64" i="2"/>
  <c r="AO6" i="2"/>
  <c r="B34" i="6"/>
  <c r="B34" i="5"/>
  <c r="AF90" i="6"/>
  <c r="AF90" i="5"/>
  <c r="B42" i="6"/>
  <c r="B42" i="5"/>
  <c r="B54" i="6"/>
  <c r="B54" i="5"/>
  <c r="Q12" i="6"/>
  <c r="Q12" i="5"/>
  <c r="Q34" i="6"/>
  <c r="Q34" i="5"/>
  <c r="B66" i="6"/>
  <c r="B66" i="5"/>
  <c r="AF12" i="6"/>
  <c r="AF12" i="5"/>
  <c r="B32" i="6"/>
  <c r="B32" i="5"/>
  <c r="AF36" i="6"/>
  <c r="AF36" i="5"/>
  <c r="B60" i="6"/>
  <c r="B60" i="5"/>
  <c r="AU66" i="6"/>
  <c r="AU66" i="5"/>
  <c r="AF78" i="6"/>
  <c r="AF78" i="5"/>
  <c r="Q54" i="5"/>
  <c r="Q54" i="6"/>
  <c r="B102" i="6"/>
  <c r="B102" i="5"/>
  <c r="AF32" i="6"/>
  <c r="AF32" i="5"/>
  <c r="AF60" i="6"/>
  <c r="AF60" i="5"/>
  <c r="B84" i="6"/>
  <c r="B84" i="5"/>
  <c r="AF84" i="6"/>
  <c r="AF84" i="5"/>
  <c r="BG9" i="2"/>
  <c r="AF56" i="6"/>
  <c r="AF56" i="5"/>
  <c r="AF6" i="6"/>
  <c r="AF6" i="5"/>
  <c r="AF30" i="6"/>
  <c r="AF30" i="5"/>
  <c r="AU54" i="6"/>
  <c r="AU54" i="5"/>
  <c r="AU8" i="5"/>
  <c r="AU8" i="6"/>
  <c r="B58" i="6"/>
  <c r="B58" i="5"/>
  <c r="AU56" i="6"/>
  <c r="AU56" i="5"/>
  <c r="BG5" i="2"/>
  <c r="AV17" i="2"/>
  <c r="BB72" i="2"/>
  <c r="AU2" i="2" s="1"/>
  <c r="AF34" i="6"/>
  <c r="AF34" i="5"/>
  <c r="B78" i="6"/>
  <c r="B78" i="5"/>
  <c r="AU80" i="6"/>
  <c r="AU80" i="5"/>
  <c r="Q66" i="6"/>
  <c r="Q66" i="5"/>
  <c r="AU58" i="6"/>
  <c r="AU58" i="5"/>
  <c r="Q84" i="6"/>
  <c r="Q84" i="5"/>
  <c r="B114" i="6"/>
  <c r="B114" i="5"/>
  <c r="AU10" i="6"/>
  <c r="AU10" i="5"/>
  <c r="Q30" i="6"/>
  <c r="Q30" i="5"/>
  <c r="Q56" i="6"/>
  <c r="Q56" i="5"/>
  <c r="AF82" i="6"/>
  <c r="AF82" i="5"/>
  <c r="B104" i="6"/>
  <c r="B104" i="5"/>
  <c r="B106" i="6"/>
  <c r="B106" i="5"/>
  <c r="AW15" i="2"/>
  <c r="BG15" i="2"/>
  <c r="BG12" i="2"/>
  <c r="AX12" i="2"/>
  <c r="Q58" i="6"/>
  <c r="Q58" i="5"/>
  <c r="Q6" i="6"/>
  <c r="Q6" i="5"/>
  <c r="AF42" i="6"/>
  <c r="AF42" i="5"/>
  <c r="B80" i="5"/>
  <c r="B80" i="6"/>
  <c r="BN63" i="2"/>
  <c r="Z29" i="2"/>
  <c r="AC29" i="2" s="1"/>
  <c r="AU18" i="6"/>
  <c r="AU18" i="5"/>
  <c r="Q10" i="6"/>
  <c r="Q10" i="5"/>
  <c r="AU6" i="6"/>
  <c r="AU6" i="5"/>
  <c r="Q36" i="6"/>
  <c r="Q36" i="5"/>
  <c r="AU36" i="6"/>
  <c r="AU36" i="5"/>
  <c r="Q60" i="6"/>
  <c r="Q60" i="5"/>
  <c r="B90" i="5"/>
  <c r="B90" i="6"/>
  <c r="AF10" i="6"/>
  <c r="AF10" i="5"/>
  <c r="B30" i="6"/>
  <c r="B30" i="5"/>
  <c r="BG8" i="2"/>
  <c r="AX8" i="2"/>
  <c r="BG10" i="2"/>
  <c r="AX10" i="2"/>
  <c r="Q80" i="6"/>
  <c r="Q80" i="5"/>
  <c r="AF18" i="6"/>
  <c r="AF18" i="5"/>
  <c r="AU34" i="6"/>
  <c r="AU34" i="5"/>
  <c r="AL31" i="2"/>
  <c r="AO31" i="2" s="1"/>
  <c r="AF66" i="6"/>
  <c r="AF66" i="5"/>
  <c r="Q82" i="6"/>
  <c r="Q82" i="5"/>
  <c r="AU42" i="6"/>
  <c r="AU42" i="5"/>
  <c r="D7" i="6"/>
  <c r="D7" i="5"/>
  <c r="AU12" i="6"/>
  <c r="AU12" i="5"/>
  <c r="Q32" i="6"/>
  <c r="Q32" i="5"/>
  <c r="AU30" i="6"/>
  <c r="AU30" i="5"/>
  <c r="AF54" i="6"/>
  <c r="AF54" i="5"/>
  <c r="B108" i="6"/>
  <c r="B108" i="5"/>
  <c r="AU82" i="6"/>
  <c r="AU82" i="5"/>
  <c r="AF8" i="6"/>
  <c r="AF8" i="5"/>
  <c r="Q42" i="6"/>
  <c r="Q42" i="5"/>
  <c r="B56" i="6"/>
  <c r="B56" i="5"/>
  <c r="AU60" i="6"/>
  <c r="AU60" i="5"/>
  <c r="Q78" i="6"/>
  <c r="Q78" i="5"/>
  <c r="AU78" i="5"/>
  <c r="AU78" i="6"/>
  <c r="Q18" i="6"/>
  <c r="Q18" i="5"/>
  <c r="AF58" i="6"/>
  <c r="AF58" i="5"/>
  <c r="B82" i="6"/>
  <c r="B82" i="5"/>
  <c r="AF80" i="6"/>
  <c r="AF80" i="5"/>
  <c r="Q8" i="6"/>
  <c r="Q8" i="5"/>
  <c r="B36" i="6"/>
  <c r="B36" i="5"/>
  <c r="AU32" i="5"/>
  <c r="AU32" i="6"/>
  <c r="Q90" i="6"/>
  <c r="Q90" i="5"/>
  <c r="AU84" i="6"/>
  <c r="AU84" i="5"/>
  <c r="AU90" i="5"/>
  <c r="AU90" i="6"/>
  <c r="CV42" i="2" l="1"/>
  <c r="CI42" i="2"/>
  <c r="BJ42" i="2" s="1"/>
  <c r="AH39" i="2" s="1"/>
  <c r="CW42" i="2"/>
  <c r="AU7" i="2"/>
  <c r="AU6" i="2"/>
  <c r="AW6" i="2" s="1"/>
  <c r="B91" i="8"/>
  <c r="BB60" i="2"/>
  <c r="CV40" i="2"/>
  <c r="AY60" i="2"/>
  <c r="AZ60" i="2"/>
  <c r="CI40" i="2"/>
  <c r="BJ40" i="2" s="1"/>
  <c r="AH37" i="2" s="1"/>
  <c r="AR2" i="2" s="1"/>
  <c r="CW40" i="2"/>
  <c r="AO14" i="2"/>
  <c r="Q95" i="5" s="1"/>
  <c r="AO10" i="2"/>
  <c r="Q71" i="6" s="1"/>
  <c r="B47" i="6"/>
  <c r="B47" i="5"/>
  <c r="B71" i="5"/>
  <c r="B71" i="6"/>
  <c r="AU71" i="6"/>
  <c r="AU71" i="5"/>
  <c r="AU47" i="6"/>
  <c r="AU47" i="5"/>
  <c r="BG6" i="2"/>
  <c r="AV7" i="2"/>
  <c r="BG7" i="2"/>
  <c r="AV3" i="2"/>
  <c r="BG3" i="2"/>
  <c r="I32" i="9"/>
  <c r="AD38" i="9" s="1"/>
  <c r="W38" i="9" s="1"/>
  <c r="S29" i="9" s="1"/>
  <c r="J67" i="8" s="1"/>
  <c r="I6" i="9"/>
  <c r="AD12" i="9" s="1"/>
  <c r="AU5" i="2"/>
  <c r="AW5" i="2" s="1"/>
  <c r="AU4" i="2"/>
  <c r="AU3" i="2"/>
  <c r="AV13" i="2"/>
  <c r="AW13" i="2" s="1"/>
  <c r="AV11" i="2"/>
  <c r="AW11" i="2" s="1"/>
  <c r="AV16" i="2"/>
  <c r="AX16" i="2" s="1"/>
  <c r="AF71" i="5"/>
  <c r="AO16" i="2"/>
  <c r="AW12" i="2"/>
  <c r="P12" i="2" s="1"/>
  <c r="AW69" i="6" s="1"/>
  <c r="B119" i="6"/>
  <c r="AO13" i="2"/>
  <c r="B95" i="5" s="1"/>
  <c r="AW10" i="2"/>
  <c r="P10" i="2" s="1"/>
  <c r="S69" i="6" s="1"/>
  <c r="BG13" i="2"/>
  <c r="AW8" i="2"/>
  <c r="P8" i="2" s="1"/>
  <c r="AW45" i="6" s="1"/>
  <c r="AW9" i="2"/>
  <c r="P9" i="2" s="1"/>
  <c r="P14" i="2"/>
  <c r="S93" i="6" s="1"/>
  <c r="AX14" i="2"/>
  <c r="Q47" i="6"/>
  <c r="Q47" i="5"/>
  <c r="AF47" i="6"/>
  <c r="AF47" i="5"/>
  <c r="AX15" i="2"/>
  <c r="P15" i="2" s="1"/>
  <c r="AH93" i="6" s="1"/>
  <c r="BG17" i="2"/>
  <c r="AF23" i="6"/>
  <c r="AF23" i="5"/>
  <c r="AF95" i="6"/>
  <c r="AF95" i="5"/>
  <c r="AR4" i="2" l="1"/>
  <c r="AO4" i="2"/>
  <c r="AW7" i="2"/>
  <c r="AX6" i="2"/>
  <c r="AJ39" i="2"/>
  <c r="AM4" i="2" s="1"/>
  <c r="P6" i="2"/>
  <c r="S45" i="6" s="1"/>
  <c r="B120" i="8"/>
  <c r="C120" i="8" s="1"/>
  <c r="B108" i="8"/>
  <c r="C108" i="8" s="1"/>
  <c r="B96" i="8"/>
  <c r="C96" i="8" s="1"/>
  <c r="B119" i="8"/>
  <c r="C119" i="8" s="1"/>
  <c r="B107" i="8"/>
  <c r="C107" i="8" s="1"/>
  <c r="B95" i="8"/>
  <c r="C95" i="8" s="1"/>
  <c r="B118" i="8"/>
  <c r="C118" i="8" s="1"/>
  <c r="B106" i="8"/>
  <c r="C106" i="8" s="1"/>
  <c r="B94" i="8"/>
  <c r="C94" i="8" s="1"/>
  <c r="B129" i="8"/>
  <c r="C129" i="8" s="1"/>
  <c r="B117" i="8"/>
  <c r="C117" i="8" s="1"/>
  <c r="B105" i="8"/>
  <c r="C105" i="8" s="1"/>
  <c r="B93" i="8"/>
  <c r="C93" i="8" s="1"/>
  <c r="B128" i="8"/>
  <c r="C128" i="8" s="1"/>
  <c r="B116" i="8"/>
  <c r="C116" i="8" s="1"/>
  <c r="B104" i="8"/>
  <c r="C104" i="8" s="1"/>
  <c r="B92" i="8"/>
  <c r="C92" i="8" s="1"/>
  <c r="B127" i="8"/>
  <c r="C127" i="8" s="1"/>
  <c r="B115" i="8"/>
  <c r="C115" i="8" s="1"/>
  <c r="B103" i="8"/>
  <c r="C103" i="8" s="1"/>
  <c r="B121" i="8"/>
  <c r="C121" i="8" s="1"/>
  <c r="B126" i="8"/>
  <c r="C126" i="8" s="1"/>
  <c r="B114" i="8"/>
  <c r="C114" i="8" s="1"/>
  <c r="B102" i="8"/>
  <c r="C102" i="8" s="1"/>
  <c r="B97" i="8"/>
  <c r="C97" i="8" s="1"/>
  <c r="B125" i="8"/>
  <c r="C125" i="8" s="1"/>
  <c r="B113" i="8"/>
  <c r="C113" i="8" s="1"/>
  <c r="B101" i="8"/>
  <c r="C101" i="8" s="1"/>
  <c r="B124" i="8"/>
  <c r="C124" i="8" s="1"/>
  <c r="B112" i="8"/>
  <c r="C112" i="8" s="1"/>
  <c r="B100" i="8"/>
  <c r="C100" i="8" s="1"/>
  <c r="B123" i="8"/>
  <c r="C123" i="8" s="1"/>
  <c r="B111" i="8"/>
  <c r="C111" i="8" s="1"/>
  <c r="B99" i="8"/>
  <c r="C99" i="8" s="1"/>
  <c r="B109" i="8"/>
  <c r="C109" i="8" s="1"/>
  <c r="B122" i="8"/>
  <c r="C122" i="8" s="1"/>
  <c r="B110" i="8"/>
  <c r="C110" i="8" s="1"/>
  <c r="B98" i="8"/>
  <c r="C98" i="8" s="1"/>
  <c r="AJ37" i="2"/>
  <c r="AM2" i="2" s="1"/>
  <c r="BG2" i="2" s="1"/>
  <c r="BA60" i="2"/>
  <c r="W12" i="9"/>
  <c r="S3" i="9" s="1"/>
  <c r="J65" i="8" s="1"/>
  <c r="AJ78" i="2"/>
  <c r="AO2" i="2"/>
  <c r="K29" i="2" s="1"/>
  <c r="AX7" i="2"/>
  <c r="P7" i="2" s="1"/>
  <c r="AH45" i="6" s="1"/>
  <c r="Q95" i="6"/>
  <c r="AW3" i="2"/>
  <c r="Q71" i="5"/>
  <c r="AX11" i="2"/>
  <c r="P11" i="2" s="1"/>
  <c r="AX13" i="2"/>
  <c r="P13" i="2" s="1"/>
  <c r="D93" i="6" s="1"/>
  <c r="AX5" i="2"/>
  <c r="P5" i="2" s="1"/>
  <c r="AX3" i="2"/>
  <c r="AW16" i="2"/>
  <c r="P16" i="2" s="1"/>
  <c r="AW93" i="5" s="1"/>
  <c r="D69" i="5"/>
  <c r="D69" i="6"/>
  <c r="B95" i="6"/>
  <c r="AU95" i="5"/>
  <c r="AU95" i="6"/>
  <c r="B119" i="5"/>
  <c r="AW69" i="5"/>
  <c r="AW45" i="5"/>
  <c r="S93" i="5"/>
  <c r="AH93" i="5"/>
  <c r="AW17" i="2"/>
  <c r="AX17" i="2"/>
  <c r="S69" i="5"/>
  <c r="AV4" i="2" l="1"/>
  <c r="BG4" i="2"/>
  <c r="AU23" i="6"/>
  <c r="AU23" i="5"/>
  <c r="S45" i="5"/>
  <c r="Z96" i="8"/>
  <c r="AV2" i="2"/>
  <c r="AW2" i="2" s="1"/>
  <c r="Z98" i="8"/>
  <c r="Z105" i="8"/>
  <c r="Z92" i="8"/>
  <c r="Z108" i="8"/>
  <c r="Z97" i="8"/>
  <c r="Z101" i="8"/>
  <c r="Z94" i="8"/>
  <c r="Z102" i="8"/>
  <c r="Z109" i="8"/>
  <c r="Z111" i="8"/>
  <c r="Z100" i="8"/>
  <c r="Z107" i="8"/>
  <c r="Z95" i="8"/>
  <c r="Z106" i="8"/>
  <c r="Z110" i="8"/>
  <c r="Z103" i="8"/>
  <c r="Z93" i="8"/>
  <c r="Z99" i="8"/>
  <c r="Z104" i="8"/>
  <c r="D45" i="6"/>
  <c r="D45" i="5"/>
  <c r="Q23" i="5"/>
  <c r="Q23" i="6"/>
  <c r="P3" i="2"/>
  <c r="AH21" i="6" s="1"/>
  <c r="AH45" i="5"/>
  <c r="P17" i="2"/>
  <c r="D117" i="6" s="1"/>
  <c r="AH69" i="6"/>
  <c r="AH69" i="5"/>
  <c r="D93" i="5"/>
  <c r="AW93" i="6"/>
  <c r="AX4" i="2" l="1"/>
  <c r="AW4" i="2"/>
  <c r="P4" i="2" s="1"/>
  <c r="AX2" i="2"/>
  <c r="P2" i="2" s="1"/>
  <c r="S21" i="6" s="1"/>
  <c r="AH21" i="5"/>
  <c r="D117" i="5"/>
  <c r="M20" i="2"/>
  <c r="AO20" i="2"/>
  <c r="L20" i="2"/>
  <c r="O20" i="2"/>
  <c r="K20" i="2"/>
  <c r="N20" i="2"/>
  <c r="J20" i="2"/>
  <c r="J18" i="2"/>
  <c r="L19" i="2"/>
  <c r="AF104" i="6" s="1"/>
  <c r="L18" i="2"/>
  <c r="J19" i="2"/>
  <c r="AO18" i="2"/>
  <c r="O18" i="2"/>
  <c r="M18" i="2"/>
  <c r="N18" i="2"/>
  <c r="K18" i="2"/>
  <c r="K19" i="2"/>
  <c r="AF102" i="6" s="1"/>
  <c r="N19" i="2"/>
  <c r="AF108" i="6" s="1"/>
  <c r="O19" i="2"/>
  <c r="AF114" i="6" s="1"/>
  <c r="AO19" i="2"/>
  <c r="M19" i="2"/>
  <c r="AF106" i="5" s="1"/>
  <c r="AW21" i="6" l="1"/>
  <c r="AW21" i="5"/>
  <c r="S21" i="5"/>
  <c r="AT18" i="2"/>
  <c r="P18" i="2" s="1"/>
  <c r="K28" i="2"/>
  <c r="AU104" i="5"/>
  <c r="AU104" i="6"/>
  <c r="AU108" i="5"/>
  <c r="AU108" i="6"/>
  <c r="AR20" i="2"/>
  <c r="AU119" i="6"/>
  <c r="AU119" i="5"/>
  <c r="AU102" i="6"/>
  <c r="AU102" i="5"/>
  <c r="AU106" i="6"/>
  <c r="AU106" i="5"/>
  <c r="AU114" i="5"/>
  <c r="AU114" i="6"/>
  <c r="AT20" i="2"/>
  <c r="P20" i="2" s="1"/>
  <c r="AT19" i="2"/>
  <c r="P19" i="2" s="1"/>
  <c r="AR19" i="2"/>
  <c r="BC60" i="2"/>
  <c r="AF104" i="5"/>
  <c r="AF102" i="5"/>
  <c r="AF108" i="5"/>
  <c r="AF114" i="5"/>
  <c r="Q114" i="6"/>
  <c r="Q114" i="5"/>
  <c r="Q108" i="5"/>
  <c r="Q108" i="6"/>
  <c r="Q119" i="6"/>
  <c r="Q119" i="5"/>
  <c r="AR18" i="2"/>
  <c r="Q102" i="6"/>
  <c r="Q102" i="5"/>
  <c r="Q106" i="5"/>
  <c r="Q106" i="6"/>
  <c r="Q104" i="5"/>
  <c r="Q104" i="6"/>
  <c r="AF119" i="6"/>
  <c r="AF119" i="5"/>
  <c r="AF106" i="6"/>
  <c r="AA20" i="2" l="1"/>
  <c r="AW104" i="6" s="1"/>
  <c r="AA19" i="2"/>
  <c r="AH104" i="5" s="1"/>
  <c r="K32" i="2"/>
  <c r="D6" i="5" s="1"/>
  <c r="K30" i="2"/>
  <c r="K31" i="2" s="1"/>
  <c r="AW114" i="6"/>
  <c r="AW114" i="5"/>
  <c r="AH114" i="5"/>
  <c r="AA18" i="2"/>
  <c r="S104" i="6" s="1"/>
  <c r="S114" i="5"/>
  <c r="S114" i="6"/>
  <c r="AW104" i="5" l="1"/>
  <c r="AH104" i="6"/>
  <c r="B60" i="2"/>
  <c r="G33" i="2" s="1"/>
  <c r="AH114" i="6"/>
  <c r="S104" i="5"/>
  <c r="D6" i="6"/>
</calcChain>
</file>

<file path=xl/sharedStrings.xml><?xml version="1.0" encoding="utf-8"?>
<sst xmlns="http://schemas.openxmlformats.org/spreadsheetml/2006/main" count="4988" uniqueCount="1853">
  <si>
    <t>Compatible with Excel, Google Sheets (just upload Excel to Google Drive) and Libre Office</t>
  </si>
  <si>
    <t>Compatible con Excel, Google Sheets (solo debes subir al Excel a Google Drive) y Libre Office</t>
  </si>
  <si>
    <t>Kompatibel mit Excel, Google Sheets (Sie müssen Excel nur in Google Drive hochladen) und Libre Office.</t>
  </si>
  <si>
    <t>Compatible avec Excel, Google Sheets (il suffit de télécharger Excel sur Google Drive) et Libre Office.</t>
  </si>
  <si>
    <t>ENGLISH</t>
  </si>
  <si>
    <t>SPANISH</t>
  </si>
  <si>
    <t>DEUTCH</t>
  </si>
  <si>
    <t>FRENCH</t>
  </si>
  <si>
    <t>ITALIAN</t>
  </si>
  <si>
    <t>The skill of snotlings Low Cost Linemen is activated by default.</t>
  </si>
  <si>
    <t>La habilidad de los snotlings de Líneas de Bajo Coste está activada por defecto.</t>
  </si>
  <si>
    <t>Die Fähigkeit Billige Linemen der Snotlinge ist automatisch aktiviert.</t>
  </si>
  <si>
    <t>La compétence des snotlings Linemen à Vil Prix est activée par défaut.</t>
  </si>
  <si>
    <t>The new skills or attribute raises can be chosen in the table below the roster, in this table you select the skill or attribute and if it was chosen or in a random roll. You can also include custom raises or custom price variations. Excel will automatically calculate the price of the raise and subtract it from the total experience points, showing also the experience points you have not yet spent.</t>
  </si>
  <si>
    <t>Las nuevas habilidades o subidas de atributos se pueden elegir en la tabla inferior al roster, en dicha tabla se selecciona la habilidad o atributo y si fue elegida o en una tirada al azar. También puedes incluir subidas personalizadas o variaciones de precio personalizados. El Excel calculará automáticamente el precio de dicha subida y se lo restará al total de puntos de experiencia, mostrando también los puntos de experiencia que no has gastado todavía.</t>
  </si>
  <si>
    <t xml:space="preserve">Neue Fertigkeiten und Eigenschaftenerhöhungen können in der Tabelle unterhalb der Teamkaderliste gewählt werden.  Dort bestimmst du die Fertigkeit oder die Eigenschaft und ob es eine gewählte oder </t>
  </si>
  <si>
    <t xml:space="preserve">Les nouvelles compétences ou augmentations de caractéristiques peuvent être choisies dans le tableau sous la liste d'équipe. Dans ce tableau, vous sélectionnez la compétence ou l'amélioration de caractéristique et si elle est ‘choisie’ ou ‘aléatoire’. Excel calculera automatiquement le coût en PSP de l'amélioration et le soustraira de votre total de PSP, actualisant le nombre de PSP que vous n'avez pas encore dépensés. Vous pouvez également ajouter des compétences personnalisées ou des variations de prix personnalisées. Ces dernières n'ont pas de coût en PSP. </t>
  </si>
  <si>
    <t>You can also register the injuries suffered, any loss of attributes will be reflected in the roster, in case of permanent injuries it will be marked in the skills box. If the player misses a match or is withdrawn for the rest of the season, you can mark it in the first box next to the player's action record, automatically the Excel will not count that player for the assessment.</t>
  </si>
  <si>
    <t>Se pueden registrar también las heridas sufridas, cualquier perdida de atributos se verá reflejada en el roster, en caso de lesiones permanentes quedará marcada en la casilla de habilidades. Si el jugador se pierde un partido o lo retiras para el resto de temporada, lo puedes marcar en la primera casilla que hay junto al registro de acciones que ha realizado el jugador, automáticamente el Excel no contará a ese jugador para la valoración.</t>
  </si>
  <si>
    <t xml:space="preserve">Du kannst in der Tabelle Spielerverbesserungen auch erlittene Verletzungen notieren.  Jeder Eigenschaftsverlust taucht in der Kaderliste auf. Wenn der Spieler ein spiel verpasst oder außer Dienst geht, kann </t>
  </si>
  <si>
    <t>Vous pouvez également enregistrer les blessures subies. Toute perte de caractéristique sera reflétée dans la feuille d'équipe. En cas de Blessures Persistante (BP), elle sera marquée dans la case des compétences du joueur. Si le joueur rate le prochain match ou se retire pour le reste de la saison, vous devrez l'indiquer dans la case RPM/RT du profil du joueur, Excel ne comptera pas ce joueur pour la Valeur d'Equipe Actualisée (VAE).</t>
  </si>
  <si>
    <t>In the match tab you can include the winnings and the variation of Dedicated Fans that will be shown with the calculation made automatically in the roster tab.</t>
  </si>
  <si>
    <t>En la pestaña de partidos puedes incluir las ganancias y la variación de Fans Dedicados que se mostrará con el cálculo hecho automáticamente en la pestaña del roster.</t>
  </si>
  <si>
    <t>In der Registerkarte "Spiel" können Sie die Gewinne und die Variation der Dedicated Fans einbeziehen, die mit der automatisch durchgeführten Berechnung in der Registerkarte "Dienstplan" angezeigt werden.</t>
  </si>
  <si>
    <t>Dans l'onglet du match, vous pouvez inclure les gains et la variation des fans dédiés qui seront affichés avec le calcul effectué automatiquement dans l'onglet du roster.</t>
  </si>
  <si>
    <t>The Team Cards sheet is fully automatic, it is only necessary, if desired, to add images for the players or to change the NAF logo to the team logo.</t>
  </si>
  <si>
    <t>La pestaña de Cartas de Equipo es totalmente automática, tan solo es necesario, si se quiere, añadir imágenes para los jugadores o cambiar el logo NAF por el logo del equipo.</t>
  </si>
  <si>
    <t>Die Registerkarte "Team Cards" (Mannschaftskarten) ist vollautomatisch, es ist nur notwendig, wenn Sie möchten, Bilder für die Spieler hinzuzufügen oder das NAF-Logo in das Team-Logo zu ändern.</t>
  </si>
  <si>
    <t>L'onglet Cartes d'équipe est entièrement automatique, il est seulement nécessaire, si vous le souhaitez, d'ajouter des images pour les joueurs ou de changer le logo NAF en logo d'équipe.</t>
  </si>
  <si>
    <t>#</t>
  </si>
  <si>
    <t>VALUE</t>
  </si>
  <si>
    <t>BIG GUY</t>
  </si>
  <si>
    <t>UPGRADES</t>
  </si>
  <si>
    <t>Goblin Bruiser</t>
  </si>
  <si>
    <t>/</t>
  </si>
  <si>
    <t>RACES COMBO</t>
  </si>
  <si>
    <t>REROLL</t>
  </si>
  <si>
    <t>APO</t>
  </si>
  <si>
    <t>BIG GUYS</t>
  </si>
  <si>
    <t>SPECIAL RULES</t>
  </si>
  <si>
    <t>COMBO STAR PLAYERS</t>
  </si>
  <si>
    <t>Amazon</t>
  </si>
  <si>
    <t>LustrianSuperleague</t>
  </si>
  <si>
    <t>Amazonas</t>
  </si>
  <si>
    <t>Amazonen</t>
  </si>
  <si>
    <t>Amazones</t>
  </si>
  <si>
    <t>Black Orc</t>
  </si>
  <si>
    <t>BlackOrc</t>
  </si>
  <si>
    <t>BadlandsBrawl</t>
  </si>
  <si>
    <t>Bribery and Corruption</t>
  </si>
  <si>
    <t>Orcos Negros</t>
  </si>
  <si>
    <t>Black Orks</t>
  </si>
  <si>
    <t>Orques noirs</t>
  </si>
  <si>
    <t>Chaos Chosen</t>
  </si>
  <si>
    <t>ChaosChosen</t>
  </si>
  <si>
    <t>Favouredof</t>
  </si>
  <si>
    <t>Caos</t>
  </si>
  <si>
    <t xml:space="preserve">Chaos Chosen </t>
  </si>
  <si>
    <t>Élus du chaos</t>
  </si>
  <si>
    <t>Chaos Dwarf</t>
  </si>
  <si>
    <t>ChaosDwarf</t>
  </si>
  <si>
    <t>FavouredofWorldsEdgeSuperleagueBadlandsBrawl</t>
  </si>
  <si>
    <t>Enanos del Caos</t>
  </si>
  <si>
    <t>Chaoszwerge</t>
  </si>
  <si>
    <t>Nains du Chaos</t>
  </si>
  <si>
    <t>Chaos Renegades</t>
  </si>
  <si>
    <t>ChaosRenegades</t>
  </si>
  <si>
    <t>Pacto del Caos</t>
  </si>
  <si>
    <t xml:space="preserve">Chaos Renegade </t>
  </si>
  <si>
    <t>Renegats du Chaos</t>
  </si>
  <si>
    <t>Dark Elf</t>
  </si>
  <si>
    <t>DarkElf</t>
  </si>
  <si>
    <t>ElvenKingdomsLeague</t>
  </si>
  <si>
    <t>Elfos Oscuros</t>
  </si>
  <si>
    <t>Dunkelelfen</t>
  </si>
  <si>
    <t>Elfes noirs</t>
  </si>
  <si>
    <t>Dwarf</t>
  </si>
  <si>
    <t>OldWorldClassicWorldsEdgeSuperleague</t>
  </si>
  <si>
    <t>Enanos</t>
  </si>
  <si>
    <t>Zwerge</t>
  </si>
  <si>
    <t>Nains</t>
  </si>
  <si>
    <t>Elven Union</t>
  </si>
  <si>
    <t>ElvenUnion</t>
  </si>
  <si>
    <t>Elfos Pro</t>
  </si>
  <si>
    <t>Elfen-Union</t>
  </si>
  <si>
    <t>Union Elfique</t>
  </si>
  <si>
    <t>Goblin</t>
  </si>
  <si>
    <t>BadlandsBrawlUnderworldChallenge</t>
  </si>
  <si>
    <t>Goblins</t>
  </si>
  <si>
    <t xml:space="preserve">Goblins </t>
  </si>
  <si>
    <t>Gobelins</t>
  </si>
  <si>
    <t>Halfling</t>
  </si>
  <si>
    <t>HalflingThimbleCupOldWorldClassic</t>
  </si>
  <si>
    <t>Halflings</t>
  </si>
  <si>
    <t>Halflinge</t>
  </si>
  <si>
    <t xml:space="preserve">Halflings </t>
  </si>
  <si>
    <t>High Elf</t>
  </si>
  <si>
    <t>HighElf</t>
  </si>
  <si>
    <t>Altos Elfos</t>
  </si>
  <si>
    <t>Hochelfen</t>
  </si>
  <si>
    <t>Hauts Elfes</t>
  </si>
  <si>
    <t>Human</t>
  </si>
  <si>
    <t>OldWorldClassic</t>
  </si>
  <si>
    <t>Humanos</t>
  </si>
  <si>
    <t>Menschen</t>
  </si>
  <si>
    <t>Humains</t>
  </si>
  <si>
    <t>Imperial Nobility</t>
  </si>
  <si>
    <t>ImperialNobility</t>
  </si>
  <si>
    <t>Nobles Imperiales</t>
  </si>
  <si>
    <t xml:space="preserve">Imperial Nobility </t>
  </si>
  <si>
    <t>Noblesse Impériale</t>
  </si>
  <si>
    <t>Khorne</t>
  </si>
  <si>
    <t xml:space="preserve">Khorne </t>
  </si>
  <si>
    <t xml:space="preserve">Khorne  </t>
  </si>
  <si>
    <t xml:space="preserve">Khorne   </t>
  </si>
  <si>
    <t>*</t>
  </si>
  <si>
    <t>Lizardman</t>
  </si>
  <si>
    <t>Lagartos</t>
  </si>
  <si>
    <t xml:space="preserve">Lizardman </t>
  </si>
  <si>
    <t>Hommes-Lézards</t>
  </si>
  <si>
    <t>Necromantic</t>
  </si>
  <si>
    <t>SylvanianSpotlight</t>
  </si>
  <si>
    <t>Sylvanian</t>
  </si>
  <si>
    <t>Nigromanticos</t>
  </si>
  <si>
    <t>Necromantic-Horror</t>
  </si>
  <si>
    <t>Horreurs Nécromantiques</t>
  </si>
  <si>
    <t>SPONSORS</t>
  </si>
  <si>
    <t xml:space="preserve">x </t>
  </si>
  <si>
    <t>Norse</t>
  </si>
  <si>
    <t>LustrianSuperleagueOldWorldClassic</t>
  </si>
  <si>
    <t>Nórdicos</t>
  </si>
  <si>
    <t xml:space="preserve">Norse </t>
  </si>
  <si>
    <t>Nordiques</t>
  </si>
  <si>
    <t>Nurgle</t>
  </si>
  <si>
    <t xml:space="preserve">Nurgle </t>
  </si>
  <si>
    <t xml:space="preserve">Nurgle  </t>
  </si>
  <si>
    <t xml:space="preserve">Nurgle   </t>
  </si>
  <si>
    <t>Ogre</t>
  </si>
  <si>
    <t>BadlandsBrawlOldWorldClassic</t>
  </si>
  <si>
    <t>LowCost</t>
  </si>
  <si>
    <t>Ogros</t>
  </si>
  <si>
    <t>Oger</t>
  </si>
  <si>
    <t>Ogres</t>
  </si>
  <si>
    <t>Old World Alliance</t>
  </si>
  <si>
    <t>OldWorldAlliance</t>
  </si>
  <si>
    <t>Alianza del Viejo Mundo</t>
  </si>
  <si>
    <t xml:space="preserve">Old World Alliance </t>
  </si>
  <si>
    <t>Alliance du Vieux Monde</t>
  </si>
  <si>
    <t>English</t>
  </si>
  <si>
    <t>WIZARDS</t>
  </si>
  <si>
    <t>Orc</t>
  </si>
  <si>
    <t>Orcos</t>
  </si>
  <si>
    <t>Orks</t>
  </si>
  <si>
    <t>Orques</t>
  </si>
  <si>
    <t>(IN)FAMOUS COACHES</t>
  </si>
  <si>
    <t>Shambling Undead</t>
  </si>
  <si>
    <t>ShamblingUndead</t>
  </si>
  <si>
    <t>No Muertos</t>
  </si>
  <si>
    <t xml:space="preserve">Shambling Undead </t>
  </si>
  <si>
    <t>Morts-Vivants</t>
  </si>
  <si>
    <t>Slann</t>
  </si>
  <si>
    <t xml:space="preserve">Slann </t>
  </si>
  <si>
    <t xml:space="preserve">Slann  </t>
  </si>
  <si>
    <t>Slans</t>
  </si>
  <si>
    <t>BIASED REFEREE</t>
  </si>
  <si>
    <t>Skaven</t>
  </si>
  <si>
    <t>UnderworldChallenge</t>
  </si>
  <si>
    <t xml:space="preserve">Skaven </t>
  </si>
  <si>
    <t xml:space="preserve">Skaven  </t>
  </si>
  <si>
    <t xml:space="preserve">Skaven   </t>
  </si>
  <si>
    <t>OTHER INDUCEMENTS</t>
  </si>
  <si>
    <t>Snotling</t>
  </si>
  <si>
    <t xml:space="preserve">Snotling </t>
  </si>
  <si>
    <t>Snotlinge</t>
  </si>
  <si>
    <t>Snotlings</t>
  </si>
  <si>
    <t>Tomb King</t>
  </si>
  <si>
    <t>TombKing</t>
  </si>
  <si>
    <t>Khemri</t>
  </si>
  <si>
    <t xml:space="preserve">Tomb King </t>
  </si>
  <si>
    <t>Roi des Tombes Kehmri</t>
  </si>
  <si>
    <t>Underworld Denizens</t>
  </si>
  <si>
    <t>UnderworldDenizens</t>
  </si>
  <si>
    <t>Inframundo</t>
  </si>
  <si>
    <t xml:space="preserve">Underworld Denizen </t>
  </si>
  <si>
    <t>Bas-Fonds</t>
  </si>
  <si>
    <t/>
  </si>
  <si>
    <t>Vampire</t>
  </si>
  <si>
    <t>Vampiros</t>
  </si>
  <si>
    <t xml:space="preserve">Vampire </t>
  </si>
  <si>
    <t>Vampires</t>
  </si>
  <si>
    <t>Wood Elf</t>
  </si>
  <si>
    <t>WoodElf</t>
  </si>
  <si>
    <t>Elfos Silvanos</t>
  </si>
  <si>
    <t>Waldelfen</t>
  </si>
  <si>
    <t>Elfes Sylvains</t>
  </si>
  <si>
    <t>Type</t>
  </si>
  <si>
    <t>G</t>
  </si>
  <si>
    <t>A</t>
  </si>
  <si>
    <t>S</t>
  </si>
  <si>
    <t>P</t>
  </si>
  <si>
    <t>M</t>
  </si>
  <si>
    <t>MA</t>
  </si>
  <si>
    <t>AV</t>
  </si>
  <si>
    <t>AG</t>
  </si>
  <si>
    <t>PA</t>
  </si>
  <si>
    <t>ST</t>
  </si>
  <si>
    <t>Cost</t>
  </si>
  <si>
    <t>Upgrade Category Skills</t>
  </si>
  <si>
    <t>Upgrade Primary/Secondary/Stat Skills</t>
  </si>
  <si>
    <t>Upgrade Chosen/Random Skills</t>
  </si>
  <si>
    <t>Upgrade Cost Skills</t>
  </si>
  <si>
    <t>Upgrade Cost Stats</t>
  </si>
  <si>
    <t>Upgrade SPP Cost Skills</t>
  </si>
  <si>
    <t>CONDICIONES LIGA / TORNEO</t>
  </si>
  <si>
    <t>CHARACTERISTICS FINAL</t>
  </si>
  <si>
    <t>CHARACTERISTICS FULL</t>
  </si>
  <si>
    <t>CHARACTERISTICS BASE</t>
  </si>
  <si>
    <t>CHARACTERISTICS UPG.</t>
  </si>
  <si>
    <t>CHARACTERISTICS INJ.</t>
  </si>
  <si>
    <t>TV</t>
  </si>
  <si>
    <t>Primary</t>
  </si>
  <si>
    <t>Secon.</t>
  </si>
  <si>
    <t>Total</t>
  </si>
  <si>
    <t>Stats</t>
  </si>
  <si>
    <t>Stars</t>
  </si>
  <si>
    <t>FULL</t>
  </si>
  <si>
    <t>PM</t>
  </si>
  <si>
    <t>#1</t>
  </si>
  <si>
    <t>#2</t>
  </si>
  <si>
    <t>#3</t>
  </si>
  <si>
    <t>#4</t>
  </si>
  <si>
    <t>#5</t>
  </si>
  <si>
    <t>#6</t>
  </si>
  <si>
    <t>#7</t>
  </si>
  <si>
    <t>#8</t>
  </si>
  <si>
    <t>#9</t>
  </si>
  <si>
    <t>#10</t>
  </si>
  <si>
    <t>#11</t>
  </si>
  <si>
    <t>#12</t>
  </si>
  <si>
    <t>#13</t>
  </si>
  <si>
    <t>#14</t>
  </si>
  <si>
    <t>#15</t>
  </si>
  <si>
    <t>#16</t>
  </si>
  <si>
    <t>JOSEF BUGMAN</t>
  </si>
  <si>
    <t>Español</t>
  </si>
  <si>
    <t xml:space="preserve"> </t>
  </si>
  <si>
    <t>Deutsch</t>
  </si>
  <si>
    <t>Français</t>
  </si>
  <si>
    <t>NO</t>
  </si>
  <si>
    <t>YES</t>
  </si>
  <si>
    <t>Total BG</t>
  </si>
  <si>
    <t>Limit BG</t>
  </si>
  <si>
    <t>Favoured of…</t>
  </si>
  <si>
    <t>-</t>
  </si>
  <si>
    <t>WON</t>
  </si>
  <si>
    <t>TIE</t>
  </si>
  <si>
    <t>LOST</t>
  </si>
  <si>
    <t>SSP</t>
  </si>
  <si>
    <t>RACE</t>
  </si>
  <si>
    <t>HELPER</t>
  </si>
  <si>
    <t>TYPE</t>
  </si>
  <si>
    <t>Combo</t>
  </si>
  <si>
    <t>SKILLS</t>
  </si>
  <si>
    <t>PRIZE</t>
  </si>
  <si>
    <t>QTY</t>
  </si>
  <si>
    <t>BG</t>
  </si>
  <si>
    <t>S. ENGLISH</t>
  </si>
  <si>
    <t>S. SPANISH</t>
  </si>
  <si>
    <t>S. DEUTCH</t>
  </si>
  <si>
    <t>S. FRENCH</t>
  </si>
  <si>
    <t>S. ITALIAN</t>
  </si>
  <si>
    <t>Linewoman</t>
  </si>
  <si>
    <t>Dodge</t>
  </si>
  <si>
    <t>Esquivar</t>
  </si>
  <si>
    <t>Ausweichen</t>
  </si>
  <si>
    <t>Esquive</t>
  </si>
  <si>
    <t>Thrower</t>
  </si>
  <si>
    <t>Dodge, Pass</t>
  </si>
  <si>
    <t>Esquivar, Pasar</t>
  </si>
  <si>
    <t>Ausweichen, Wurfsicher</t>
  </si>
  <si>
    <t>Esquive, Passe</t>
  </si>
  <si>
    <t>Catcher</t>
  </si>
  <si>
    <t>Dodge, Catch</t>
  </si>
  <si>
    <t>Esquivar, Atrapar</t>
  </si>
  <si>
    <t>Ausweichen, Fangsicher</t>
  </si>
  <si>
    <t xml:space="preserve">Esquive, Réception </t>
  </si>
  <si>
    <t>Blitzer</t>
  </si>
  <si>
    <t>Dodge, Block</t>
  </si>
  <si>
    <t>Esquivar, Placar</t>
  </si>
  <si>
    <t>Ausweichen, Block</t>
  </si>
  <si>
    <t>Esquive, Blocage</t>
  </si>
  <si>
    <t>Journey Linewoman</t>
  </si>
  <si>
    <t>Loner (4+), Dodge</t>
  </si>
  <si>
    <t>Solitario (4+), Esquivar</t>
  </si>
  <si>
    <t>Einzelgänger (4+), Ausweichen</t>
  </si>
  <si>
    <t>Solitaire (4+), Esquive</t>
  </si>
  <si>
    <t>Dodge, Right Stuff, Stunty, Thick Skull</t>
  </si>
  <si>
    <t>Esquivar, Humanoide bala, Escurridizo, Cabeza dura</t>
  </si>
  <si>
    <t>Ausweichen, Lebensmüde, Kleinwüchsig, Robust</t>
  </si>
  <si>
    <t>Esquive, Poids Plume, Minus, Crâne épais</t>
  </si>
  <si>
    <t>Brawler, Grab</t>
  </si>
  <si>
    <t>Luchador, Apartar</t>
  </si>
  <si>
    <t>Raufbold, Greifer</t>
  </si>
  <si>
    <t>Bagarreur, Projection</t>
  </si>
  <si>
    <t>Trained Troll</t>
  </si>
  <si>
    <t>Always Hungry, Loner (3+), Mighty Blow (+1), Projectile Vomit, Really Stupid, Regeneration, Throw Team-mate</t>
  </si>
  <si>
    <t>Siempre hambriento, Solitario (3+), Golpe mortífero (+1), Proyectil de vómito, Realmente estúpido, Regeneración, Lanzar compañero</t>
  </si>
  <si>
    <t>Nimmersatt, Einzelgänger (3+), Knochenbrecher (+1), Schwallartiges Erbrechen, Saublöd, Regeneration, Mitspieler werfen</t>
  </si>
  <si>
    <t>Toujours Affamé, Solitaire (3+), Châtaigne (+1), Gerbe de Vomit, Gros Débile, Régénération, Lancer de Coéquipier</t>
  </si>
  <si>
    <t>Journey Goblin</t>
  </si>
  <si>
    <t>Loner (4+), Dodge, Right Stuff, Stunty, Thick Skull</t>
  </si>
  <si>
    <t>Solitario (4+), Esquivar, Humanoide bala, Escurridizo, Cabeza dura</t>
  </si>
  <si>
    <t>Einzelgänger (4+), Ausweichen, Lebensmüde, Kleinwüchsig, Robust</t>
  </si>
  <si>
    <t>Solitaire (4+), Esquive, Poids Plume, Minus, Crâne épais</t>
  </si>
  <si>
    <t>Beastman</t>
  </si>
  <si>
    <t>Horns</t>
  </si>
  <si>
    <t>Cuernos</t>
  </si>
  <si>
    <t>Hörner</t>
  </si>
  <si>
    <t>Cornes</t>
  </si>
  <si>
    <t>Chaos Warrior</t>
  </si>
  <si>
    <t>Chaos Troll</t>
  </si>
  <si>
    <t>Always Hungry, Loner (4+), Mighty Blow (+1), Projectile Vomit, Really Stupid, Regeneration, Throw Team-mate</t>
  </si>
  <si>
    <t>Siempre hambriento, Solitario (4+), Golpe mortífero (+1), Proyectil de vómito, Realmente estúpido, Regeneración, Lanzar compañero</t>
  </si>
  <si>
    <t>Nimmersatt, Einzelgänger (4+), Knochenbrecher (+1), Schwallartiges Erbrechen, Saublöd, Regeneration, Mitspieler werfen</t>
  </si>
  <si>
    <t>Toujours Affamé, Solitaire (4+), Châtaigne (+1), Gerbe de Vomit, Gros Débile, Régénération, Lancer de Coéquipier</t>
  </si>
  <si>
    <t>Chaos Ogre</t>
  </si>
  <si>
    <t>Bone Head, Loner (4+), Mighty Blow (+1), Thick Skull, Throw Team-mate</t>
  </si>
  <si>
    <t>Estúpido, Solitario (4+), Golpe mortífero (+1), Cabeza dura, Lanzar Compañero</t>
  </si>
  <si>
    <t>Blöd, Einzelgänger (4+), Knochenbrecher (+1), Robust, Mitspieler werfen</t>
  </si>
  <si>
    <t>Cerveau Lent, Solitaire (4+), Châtaigne (+1), Crâne épais, Lancer de Coéquipier</t>
  </si>
  <si>
    <t>Minotaur</t>
  </si>
  <si>
    <t>Loner (4+), Frenzy, Horns, Mighty Blow (+1), Thick Skull, Unchannelled Fury</t>
  </si>
  <si>
    <t>Solitario (4+), Furia, Cuernos, Golpe mortífero (+1), Cabeza dura, Ira descontrolada</t>
  </si>
  <si>
    <t>Einzelgänger (4+), Rasend, Hörner, Knochenbrecher (+1), Robust, Zielloser Zorn</t>
  </si>
  <si>
    <t>Solitaire (4+), Frénésie, Cornes, Châtaigne (+1), Crâne épais, Fureur Débridée</t>
  </si>
  <si>
    <t>Journey Beastman</t>
  </si>
  <si>
    <t>Loner (4+), Horns</t>
  </si>
  <si>
    <t>Solitario (4+),Cuernos</t>
  </si>
  <si>
    <t>Einzelgänger (4+), Hörner</t>
  </si>
  <si>
    <t>Solitaire (4+), Cornes</t>
  </si>
  <si>
    <t>Hobgoblin</t>
  </si>
  <si>
    <t>Blocker</t>
  </si>
  <si>
    <t>Block, Tackle, Thick Skull</t>
  </si>
  <si>
    <t>Placar, Placaje defensivo, Cabeza dura</t>
  </si>
  <si>
    <t>Block, Tackle, Robust</t>
  </si>
  <si>
    <t>Blocage, Tacle, Crâne épais</t>
  </si>
  <si>
    <t>Bull Centaur</t>
  </si>
  <si>
    <t>Sprint, Sure Feet, Thick Skull</t>
  </si>
  <si>
    <t>Esprintar, Pies firmes, Cabeza dura</t>
  </si>
  <si>
    <t>Sprinten, Sprintensicher, Robust</t>
  </si>
  <si>
    <t>Sprint, Équilibre, Crâne épais</t>
  </si>
  <si>
    <t>Enlasved Minotaur</t>
  </si>
  <si>
    <t>Loner (4+), Frenzy, Horns, Mighty Blow (+1), Thick Skull, Animal Savagery</t>
  </si>
  <si>
    <t>Solitario (4+), Furia, Cuernos, Golpe mortífero (+1), Cabeza dura, Ferocidad animal</t>
  </si>
  <si>
    <t>Einzelgänger (4+), Rasend, Hörner, Knochenbrecher (+1), Robust, Animalische Brutalität</t>
  </si>
  <si>
    <t>Solitaire (4+), Frénésie, Cornes, Châtaigne (+1), Crâne épais, Sauvagerie Animale</t>
  </si>
  <si>
    <t>Journey Hobgoblin</t>
  </si>
  <si>
    <t>Loner (4+)</t>
  </si>
  <si>
    <t>Solitario (4+)</t>
  </si>
  <si>
    <t>Einzelgänger (4+)</t>
  </si>
  <si>
    <t>Solitaire (4+)</t>
  </si>
  <si>
    <t>Linemen Renegade</t>
  </si>
  <si>
    <t>Thrower Renegade</t>
  </si>
  <si>
    <t>Animosity (all team-mates), Pass, Safe Pair of Hands</t>
  </si>
  <si>
    <t>Animosidad (todo el equipo), Pasar, Proteger el cuero</t>
  </si>
  <si>
    <t>Animosität (alle Mitspieler), Wurfsicher, Sichere Hände</t>
  </si>
  <si>
    <t>Animosité (tout coéquipier), Passe, Libération contrôlée</t>
  </si>
  <si>
    <t>Goblin Renegade</t>
  </si>
  <si>
    <t>Animosity (all team-mates), Dodge, Right Stuff, Stunty</t>
  </si>
  <si>
    <t>Animosidad (todo el equipo), Esquivar, Humanoide bala, Escurridizo</t>
  </si>
  <si>
    <t>Animosität (alle Mitspieler), Ausweichen, Lebensmüde, Kleinwüchsig</t>
  </si>
  <si>
    <t>Animosité (tout coéquipier), Esquive, Poids Plume, Minus</t>
  </si>
  <si>
    <t>Skaven Renegade</t>
  </si>
  <si>
    <t>Animosity (all team-mates)</t>
  </si>
  <si>
    <t>Animosidad (todo el equipo)</t>
  </si>
  <si>
    <t>Animosität (alle Mitspieler)</t>
  </si>
  <si>
    <t>Animosité (tout coéquipier)</t>
  </si>
  <si>
    <t>Orc Renegade</t>
  </si>
  <si>
    <t>Dark Elf Renegade</t>
  </si>
  <si>
    <t>Troll Renegade</t>
  </si>
  <si>
    <t>Ogre Renegade</t>
  </si>
  <si>
    <t>Minotaur Renegade</t>
  </si>
  <si>
    <t>Rat Ogre Renegade</t>
  </si>
  <si>
    <t>Animal Savagery, Frenzy, Loner (4+), Mighty Blow (+1), Prehensile Tail</t>
  </si>
  <si>
    <t>Ferocidad animal, Furia, Solitario (4+), Golpe mortífero (+1), Cola prensil</t>
  </si>
  <si>
    <t>Animalische Brutalität, Rasend, Einzelgänger (4+), Knochenbrecher (+1), Klammerschwanz</t>
  </si>
  <si>
    <t>Sauvagerie Animale, Frénésie, Solitaire (4+), Châtaigne (+1), Queue préhensile</t>
  </si>
  <si>
    <t>Journey Lineman</t>
  </si>
  <si>
    <t>Frenzy</t>
  </si>
  <si>
    <t>Furia</t>
  </si>
  <si>
    <t>Rasend</t>
  </si>
  <si>
    <t>Frénésie</t>
  </si>
  <si>
    <t>Loner (4+), Frenzy</t>
  </si>
  <si>
    <t>Solitario (4+), Furia</t>
  </si>
  <si>
    <t>Einzelgänger (4+), Rasend</t>
  </si>
  <si>
    <t>Solitaire (4+), Frénésie</t>
  </si>
  <si>
    <t>Lineman</t>
  </si>
  <si>
    <t>Runner</t>
  </si>
  <si>
    <t>Dump Off</t>
  </si>
  <si>
    <t>Pase precipitado</t>
  </si>
  <si>
    <t>Abspiel</t>
  </si>
  <si>
    <t>Délestage</t>
  </si>
  <si>
    <t>Assassin</t>
  </si>
  <si>
    <t>Shadowing, Stab</t>
  </si>
  <si>
    <t>Perseguir, Puñal</t>
  </si>
  <si>
    <t>Manndeckung, Niederstechen</t>
  </si>
  <si>
    <t>Poursuite, Poignard</t>
  </si>
  <si>
    <t>Block</t>
  </si>
  <si>
    <t>Placar</t>
  </si>
  <si>
    <t>Blocage</t>
  </si>
  <si>
    <t>Witch Elf</t>
  </si>
  <si>
    <t>Dodge, Frenzy, Jump Up</t>
  </si>
  <si>
    <t>Esquivar, Furia, En pie de un salto</t>
  </si>
  <si>
    <t>Ausweichen, Rasend, Aufspringen</t>
  </si>
  <si>
    <t>Esquive, Frénésie, Rétablissement</t>
  </si>
  <si>
    <t>Journey Elf</t>
  </si>
  <si>
    <t>Sure Hands, Thick Skull</t>
  </si>
  <si>
    <t>Manos seguras, Cabeza dura</t>
  </si>
  <si>
    <t>Ballgefühl, Robust</t>
  </si>
  <si>
    <t>Prise Sûre, Crâne épais</t>
  </si>
  <si>
    <t>Block, Thick Skull</t>
  </si>
  <si>
    <t>Placar, Cabeza dura</t>
  </si>
  <si>
    <t>Block, Robust</t>
  </si>
  <si>
    <t>Blocage, Crâne épais</t>
  </si>
  <si>
    <t>Troll Slayer</t>
  </si>
  <si>
    <t>Block, Frenzy, Dauntless, Thick Skull</t>
  </si>
  <si>
    <t>Placar, Furia, Agallas, Cabeza dura</t>
  </si>
  <si>
    <t>Block, Rasend, Unerschrocken, Robust</t>
  </si>
  <si>
    <t>Blocage, Frénésie, Intrépide, Crâne épais</t>
  </si>
  <si>
    <t>Deathroller</t>
  </si>
  <si>
    <t>Break Tackle, Dirty Player (+2), Juggernaut, Loner (5+), Mighty Blow (+1), No Hands, Secret Weapon, Stand Firm</t>
  </si>
  <si>
    <t>Abrirse paso, Juego sucio (+2), Imparable, Solitario (5+), Golpe mortífero (+1), Sin manos, Arma secreta, Mantenerse firme</t>
  </si>
  <si>
    <t>Tackle durchbrechen, Brutal (+2), Schweres Gerät, Einzelgänger (5+), Knochenbrecher (+1), Keine Hände, Versteckte Waffe, Standfest</t>
  </si>
  <si>
    <t>Esquive en Force, Joueur Déloyal (+2), Juggernaut, Solitaire (5+), Châtaigne (+1), Sans les Mains, Arme Secrète, Stabilité</t>
  </si>
  <si>
    <t>Journey Dwarf</t>
  </si>
  <si>
    <t>Loner (4+), Block, Tackle, Thick Skull</t>
  </si>
  <si>
    <t>Solitario (4+), Placar, Placaje defensivo, Cabeza dura</t>
  </si>
  <si>
    <t>Einzelgänger (4+), Block, Tackle, Robust</t>
  </si>
  <si>
    <t>Solitaire (4+), Blocage, Tacle, Crâne épais</t>
  </si>
  <si>
    <t>Pass</t>
  </si>
  <si>
    <t>Pasar</t>
  </si>
  <si>
    <t>Wurfsicher</t>
  </si>
  <si>
    <t>Passe</t>
  </si>
  <si>
    <t>Catch, Nerves of Steel</t>
  </si>
  <si>
    <t>Atrapar, Nervios de acero</t>
  </si>
  <si>
    <t>Fangsicher, Nerven aus Stahl</t>
  </si>
  <si>
    <t>Réception , Nerfs d’acier</t>
  </si>
  <si>
    <t>Block, Side Step</t>
  </si>
  <si>
    <t>Placar, Echarse a un lado</t>
  </si>
  <si>
    <t>Block, Gewandt</t>
  </si>
  <si>
    <t>Blocage, Glissade contrôlée</t>
  </si>
  <si>
    <t>Dodge, Right Stuff, Stunty</t>
  </si>
  <si>
    <t>Esquivar, Humanoide bala, Escurridizo</t>
  </si>
  <si>
    <t>Ausweichen, Lebensmüde, Kleinwüchsig</t>
  </si>
  <si>
    <t>Esquive, Poids Plume, Minus</t>
  </si>
  <si>
    <t>Bombardier</t>
  </si>
  <si>
    <t>Bombardier, Dodge, Secret Weapon, Stunty</t>
  </si>
  <si>
    <t>Bombardero, Esquivar, Arma secreta, Escurridizo</t>
  </si>
  <si>
    <t>Bombardier, Ausweichen, Versteckte Waffe, Kleinwüchsig</t>
  </si>
  <si>
    <t>Bombardier, Esquive, Arme Secrète, Minus</t>
  </si>
  <si>
    <t>Looney</t>
  </si>
  <si>
    <t>Chainsaw, Secret Weapon, Stunty</t>
  </si>
  <si>
    <t>Motosierra, Arma secreta, Escurridizo</t>
  </si>
  <si>
    <t>Kettensäge, Versteckte Waffe, Kleinwüchsig</t>
  </si>
  <si>
    <t>Tronçonneuse, Arme Secrète, Minus</t>
  </si>
  <si>
    <t>Doom Diver</t>
  </si>
  <si>
    <t>Right Stuff, Stunty, Swoop</t>
  </si>
  <si>
    <t>Humanoide bala, Escurridizo, Planear</t>
  </si>
  <si>
    <t>Lebensmüde, Kleinwüchsig, Flügel</t>
  </si>
  <si>
    <t>Poids Plume, Minus, Piqué</t>
  </si>
  <si>
    <t>Ooligan</t>
  </si>
  <si>
    <t>Dirty Player (+1), Disturbing Presence, Dodge, Right Stuff, Stunty</t>
  </si>
  <si>
    <t>Juego sucio (+1), Presencia perturbadora, Esquivar, Humanoide bala, Escurridizo</t>
  </si>
  <si>
    <t>Brutal (+1), Verstörende Präsenz, Ausweichen, Lebensmüde, Kleinwüchsig</t>
  </si>
  <si>
    <t>Joueur Déloyal (+1), Présence Perturbante, Esquive, Poids Plume, Minus</t>
  </si>
  <si>
    <t xml:space="preserve">Fanatic </t>
  </si>
  <si>
    <t>Ball &amp; Chain, No Hands, Secret Weapon, Stunty</t>
  </si>
  <si>
    <t>Bola y cadena, Sin manos, Arma secreta, Escurridizo</t>
  </si>
  <si>
    <t>Morgenstern, Keine Hände, Versteckte Waffe, Kleinwüchsig</t>
  </si>
  <si>
    <t>Chaîne et Boulet, Sans les Mains, Arme Secrète, Minus</t>
  </si>
  <si>
    <t>Pogoer</t>
  </si>
  <si>
    <t>Dodge, Pogo Stick, Stunty</t>
  </si>
  <si>
    <t>Esquivar, Pogo saltarín, Escurridizo</t>
  </si>
  <si>
    <t>Ausweichen, Pogo-Stick, Kleinwüchsig</t>
  </si>
  <si>
    <t>Esquive, Echasse à Ressort, Minus</t>
  </si>
  <si>
    <t xml:space="preserve">Troll </t>
  </si>
  <si>
    <t>Loner (4+), Dodge, Right Stuff, Stunty</t>
  </si>
  <si>
    <t>Solitario (4+), Esquivar, Humanoide bala, Escurridizo</t>
  </si>
  <si>
    <t>Einzelgänger (4+), Ausweichen, Lebensmüde, Kleinwüchsig</t>
  </si>
  <si>
    <t>Solitaire (4+), Esquive, Poids Plume, Minus</t>
  </si>
  <si>
    <t>Halfling Hopeful</t>
  </si>
  <si>
    <t>Halfling Catcher</t>
  </si>
  <si>
    <t>Catch, Dodge, Right Stuff, Sprint, Stunty</t>
  </si>
  <si>
    <t>Atrapar, Esquivar, Humanoide bala, Esprintar, Escurridizo</t>
  </si>
  <si>
    <t>Fangsicher, Ausweichen, Lebensmüde, Sprinten, Kleinwüchsig</t>
  </si>
  <si>
    <t>Réception , Esquive, Poids Plume, Sprint, Minus</t>
  </si>
  <si>
    <t>Halfling Hefty</t>
  </si>
  <si>
    <t>Dodge, Fend, Stunty</t>
  </si>
  <si>
    <t>Esquivar, Zafarse, Escurridizo</t>
  </si>
  <si>
    <t>Ausweichen, Abwehren, Kleinwüchsig</t>
  </si>
  <si>
    <t>Esquive, Parade, Minus</t>
  </si>
  <si>
    <t>Forest Treeman</t>
  </si>
  <si>
    <t>Mighty Blow (+1), Stand Firm, Strong Arm, Take Root, Thick Skull, Throw Team-mate, Timmm-ber!</t>
  </si>
  <si>
    <t>Golpe mortífero (+1), Mantenerse firme, Brazo fuerte, Echar raíces, Cabeza dura, Lanzar compañero, ¡Tronco va!</t>
  </si>
  <si>
    <t>Châtaigne (+1), Stabilité, Bras musclé, Prendre Racine, Crâne épais, Lancer de Coéquipier, Timmm-ber!</t>
  </si>
  <si>
    <t>Journey Halfling</t>
  </si>
  <si>
    <t>Cloud Burster, Pass, Safe Pass</t>
  </si>
  <si>
    <t>Partenubes, Pasar, Pase seguro</t>
  </si>
  <si>
    <t>In die Wolken, Wurfsicher, Sicherer Pass</t>
  </si>
  <si>
    <t>Perce-nuage, Passe, Passee Assurée</t>
  </si>
  <si>
    <t>Catch</t>
  </si>
  <si>
    <t>Atrapar</t>
  </si>
  <si>
    <t>Fangsicher</t>
  </si>
  <si>
    <t xml:space="preserve">Réception </t>
  </si>
  <si>
    <t>Catch, Dodge</t>
  </si>
  <si>
    <t>Atrapar, Esquivar</t>
  </si>
  <si>
    <t>Fangsicher, Ausweichen</t>
  </si>
  <si>
    <t>Réception , Esquive</t>
  </si>
  <si>
    <t>Pass, Sure Hands</t>
  </si>
  <si>
    <t>Pasar, Manos seguras</t>
  </si>
  <si>
    <t>Wurfsicher, Ballgefühl</t>
  </si>
  <si>
    <t>Passe, Prise Sûre</t>
  </si>
  <si>
    <t>Journeyman</t>
  </si>
  <si>
    <t>Fend</t>
  </si>
  <si>
    <t>Zafarse</t>
  </si>
  <si>
    <t>Abwehren</t>
  </si>
  <si>
    <t>Parade</t>
  </si>
  <si>
    <t>Pass, Running Pass</t>
  </si>
  <si>
    <t>Pasar, Pase a la carrera</t>
  </si>
  <si>
    <t>Wurfsicher, Im Laufen passenen</t>
  </si>
  <si>
    <t>Passe, Passee dans la course</t>
  </si>
  <si>
    <t>Block, Catch</t>
  </si>
  <si>
    <t>Placar, Atrapar</t>
  </si>
  <si>
    <t>Block, Fangsicher</t>
  </si>
  <si>
    <t xml:space="preserve">Blocage, Réception </t>
  </si>
  <si>
    <t>Bodyguard</t>
  </si>
  <si>
    <t>Stand Firm, Wrestle</t>
  </si>
  <si>
    <t>Mantenerse firme, Forcejear</t>
  </si>
  <si>
    <t>Standfest, Wrestling</t>
  </si>
  <si>
    <t>Stabilité, Lutte</t>
  </si>
  <si>
    <t>Loner (4+), Fend</t>
  </si>
  <si>
    <t>Solitario (4+), Zafarse</t>
  </si>
  <si>
    <t>Einzelgänger (4+), Abwehren</t>
  </si>
  <si>
    <t>Solitaire (4+), Parade</t>
  </si>
  <si>
    <t>Bloodborn Marauder Lineman</t>
  </si>
  <si>
    <t>Khorngors</t>
  </si>
  <si>
    <t>Horns, Juggernaut</t>
  </si>
  <si>
    <t>Cuernos, Imparable</t>
  </si>
  <si>
    <t>Hörner, Schweres Gerät</t>
  </si>
  <si>
    <t>Cornes, Juggernaut</t>
  </si>
  <si>
    <t>Bloodseekers</t>
  </si>
  <si>
    <t>Bloodspawn</t>
  </si>
  <si>
    <t>Claws, Frenzy, Loner (4+), Mighty Blow (+1), Unchannelled Fury</t>
  </si>
  <si>
    <t>Garras, Furia, Solitario (4+), Golpe Mortífero (+1), Ira descontrolada</t>
  </si>
  <si>
    <t>Klauen, Rasend, Einzelgänger (4+), Knochenbrecher (+1), Zielloser Zorn</t>
  </si>
  <si>
    <t>Griffes, Frénésie, Solitaire (4+), Châtaigne (+1), Fureur Débridée</t>
  </si>
  <si>
    <t>Journey Bloodborn</t>
  </si>
  <si>
    <t>Skink</t>
  </si>
  <si>
    <t>Dodge, Stunty</t>
  </si>
  <si>
    <t>Esquivar, Escurridizo</t>
  </si>
  <si>
    <t>Ausweichen, Kleinwüchsig</t>
  </si>
  <si>
    <t>Esquive, Minus</t>
  </si>
  <si>
    <t>Chameleon Skink</t>
  </si>
  <si>
    <t>Dodge, On the Ball, Shadowing, Stunty</t>
  </si>
  <si>
    <t>Esquivar, Atento al balón, Perseguir, Escurridizo</t>
  </si>
  <si>
    <t>Ausweichen, Immer am Ball, Manndeckung, Kleinwüchsig</t>
  </si>
  <si>
    <t>Esquive, Sur le ballon, Poursuite, Minus</t>
  </si>
  <si>
    <t>Saurus</t>
  </si>
  <si>
    <t>Kroxigor</t>
  </si>
  <si>
    <t>Bone Head, Loner (4+), Mighty Blow (+1), Prehensile Tail, Thick Skull</t>
  </si>
  <si>
    <t>Estúpido, Solitario (4+), Golpe mortífero (+1), Cola prensil, Cabeza dura</t>
  </si>
  <si>
    <t>Blöd, Einzelgänger (4+), Knochenbrecher (+1), Klammerschwanz, Robust</t>
  </si>
  <si>
    <t>Cerveau Lent, Solitaire (4+), Châtaigne (+1), Queue préhensile, Crâne épais</t>
  </si>
  <si>
    <t>Journey Skink</t>
  </si>
  <si>
    <t>Loner (4+), Dodge, Stunty</t>
  </si>
  <si>
    <t>Solitario (4+), Esquivar, Escurridizo</t>
  </si>
  <si>
    <t>Einzelgänger (4+), Ausweichen, Kleinwüchsig</t>
  </si>
  <si>
    <t>Solitaire (4+), Esquive, Minus</t>
  </si>
  <si>
    <t>Zombie</t>
  </si>
  <si>
    <t>Regeneration</t>
  </si>
  <si>
    <t>Regeneración</t>
  </si>
  <si>
    <t>Régénération</t>
  </si>
  <si>
    <t>Ghoul</t>
  </si>
  <si>
    <t>Wraiths</t>
  </si>
  <si>
    <t>Block, Foul Appearance, No Hands, Regeneration, Side Step</t>
  </si>
  <si>
    <t>Placar, Apariencia asquerosa, Sin manos, Regeneración, Echarse a un lado</t>
  </si>
  <si>
    <t>Block, Abstoßendes Aussehen, Keine Hände, Regeneration, Gewandt</t>
  </si>
  <si>
    <t>Blocage, Répulsion, Sans les Mains, Régénération, Glissade contrôlée</t>
  </si>
  <si>
    <t>Flesh Golem</t>
  </si>
  <si>
    <t>Regeneration, Stand Firm, Thick Skull</t>
  </si>
  <si>
    <t>Regeneración, Mantenerse firme, Cabeza dura</t>
  </si>
  <si>
    <t>Regeneration, Standfest, Robust</t>
  </si>
  <si>
    <t>Régénération, Stabilité, Crâne épais</t>
  </si>
  <si>
    <t>Werewolf</t>
  </si>
  <si>
    <t>Claws, Frenzy, Regeneration</t>
  </si>
  <si>
    <t>Garras, Furia, Regeneración</t>
  </si>
  <si>
    <t>Klauen, Rasend, Regeneration</t>
  </si>
  <si>
    <t>Griffes, Frénésie, Régénération</t>
  </si>
  <si>
    <t>Journey Zombie</t>
  </si>
  <si>
    <t>Loner (4+), Regeneration</t>
  </si>
  <si>
    <t>Solitario (4+), Regeneración</t>
  </si>
  <si>
    <t>Einzelgänger (4+), Regeneration</t>
  </si>
  <si>
    <t>Solitaire (4+), Régénération</t>
  </si>
  <si>
    <t>Block, Pass</t>
  </si>
  <si>
    <t>Placar, Pasar</t>
  </si>
  <si>
    <t>Block, Wurfsicher</t>
  </si>
  <si>
    <t>Blocage, Passe</t>
  </si>
  <si>
    <t>Block, Dauntless</t>
  </si>
  <si>
    <t>Placar, Agallas</t>
  </si>
  <si>
    <t>Block, Unerschrocken</t>
  </si>
  <si>
    <t>Blocage, Intrépide</t>
  </si>
  <si>
    <t>Berserker</t>
  </si>
  <si>
    <t>Block, Frenzy, Jump Up</t>
  </si>
  <si>
    <t>Placar, Furia, En pie de un salto</t>
  </si>
  <si>
    <t>Block, Rasend, Aufspringen</t>
  </si>
  <si>
    <t>Blocage, Frénésie, Rétablissement</t>
  </si>
  <si>
    <t>Ulfwerener</t>
  </si>
  <si>
    <t>Snow Troll</t>
  </si>
  <si>
    <t>Claws, Disturbing Presence, Frenzy, Loner (4+), Unchannelled Fury</t>
  </si>
  <si>
    <t>Garras, Presencia perturbadora, Furia, Solitario (4+), Ira descontrolada</t>
  </si>
  <si>
    <t>Klauen, Verstörende Präsenz, Rasend, Einzelgänger (4+), Zielloser Zorn</t>
  </si>
  <si>
    <t>Griffes, Présence Perturbante, Frénésie, Solitaire (4+), Fureur Débridée</t>
  </si>
  <si>
    <t>Loner (4+), Block</t>
  </si>
  <si>
    <t>Solitario (4+), Placar</t>
  </si>
  <si>
    <t>Einzelgänger (4+), Block</t>
  </si>
  <si>
    <t>Solitaire (4+), Blocage</t>
  </si>
  <si>
    <t>Rotter</t>
  </si>
  <si>
    <t>Decay, Plague Ridden</t>
  </si>
  <si>
    <t>Descomposición, Infectado</t>
  </si>
  <si>
    <t>Pestilenzialisch, Verweseung</t>
  </si>
  <si>
    <t>Décomposition, Contagieux</t>
  </si>
  <si>
    <t>Pestigor</t>
  </si>
  <si>
    <t>Horns, Plague Ridden, Regeneration</t>
  </si>
  <si>
    <t>Cuernos, Infectado, Regeneración</t>
  </si>
  <si>
    <t>Hörner, Pestilenzialisch, Regeneration</t>
  </si>
  <si>
    <t>Cornes, Contagieux, Régénération</t>
  </si>
  <si>
    <t>Bloater</t>
  </si>
  <si>
    <t>Disturbing Presence, Foul Appearance, Plague Ridden, Regeneration</t>
  </si>
  <si>
    <t>Presencia perturbadora, Apariencia asquerosa, Infectado, Regeneración</t>
  </si>
  <si>
    <t>Verstörende Präsenz, Abstoßendes Aussehen, Pestilenzialisch, Regeneration</t>
  </si>
  <si>
    <t>Présence Perturbante, Répulsion, Contagieux, Régénération</t>
  </si>
  <si>
    <t>Rotspawn</t>
  </si>
  <si>
    <t>Disturbing Presence, Foul Appearance, Loner (4+), Mighty Blow (+1), Plague Ridden, Really Stupid, Regeneration, Tentacles</t>
  </si>
  <si>
    <t>Verstörende Präsenz, Abstoßendes Aussehen, Einzelgänger (4+), Knochenbrecher (+1), Pestilenzialisch, Saublöd, Regeneration, Tentakel</t>
  </si>
  <si>
    <t>Présence Perturbante, Répulsion, Solitaire (4+), Châtaigne (+1), Contagieux, Gros Débile, Régénération, Tentacule</t>
  </si>
  <si>
    <t>Journey Rotter</t>
  </si>
  <si>
    <t>Loner (4+), Decay, Plague Ridden</t>
  </si>
  <si>
    <t>Soltario (4+), Descomposición, Infectado</t>
  </si>
  <si>
    <t>Einzelgänger (4+), Pestilenzialisch, Verweseung</t>
  </si>
  <si>
    <t>Solitaire (4+), Décomposition, Contagieux</t>
  </si>
  <si>
    <t>Gnoblar</t>
  </si>
  <si>
    <t>Dodge, Right Stuff, Side Step, Stunty, Titchy</t>
  </si>
  <si>
    <t>Esquivar, Humanoide bala, Echarse a un lado, Escurridizo, Canijo</t>
  </si>
  <si>
    <t>Ausweichen, Lebensmüde, Gewandt, Kleinwüchsig, Winzig</t>
  </si>
  <si>
    <t>Esquive, Poids Plume, Glissade contrôlée, Minus, Microbe</t>
  </si>
  <si>
    <t xml:space="preserve">Ogre </t>
  </si>
  <si>
    <t>Bone Head, Mighty Blow (+1), Thick Skull, Throw Team-mate</t>
  </si>
  <si>
    <t>Estúpido, Golpe mortífero (+1), Cabeza dura, Lanzar Compañero</t>
  </si>
  <si>
    <t>Blöd, Knochenbrecher (+1), Robust, Mitspieler werfen</t>
  </si>
  <si>
    <t>Cerveau Lent, Châtaigne (+1), Crâne épais, Lancer de Coéquipier</t>
  </si>
  <si>
    <t>Runt Punter</t>
  </si>
  <si>
    <t>Bone Head, Kick Teammate, Mighty Blow (+1), Thick Skull</t>
  </si>
  <si>
    <t>Estúpido, Patear compañero, Golpe mortífero (+1), Cabeza dura</t>
  </si>
  <si>
    <t>Blöd, Mitspieler schießen, Knochenbrecher (+1), Robust</t>
  </si>
  <si>
    <t>Cerveau Lent, Botter de coéquipier, Châtaigne (+1), Crâne épais</t>
  </si>
  <si>
    <t>Journey Gnoblar</t>
  </si>
  <si>
    <t>Loner (4+), Dodge, Right Stuff, Side Step, Stunty, Titchy</t>
  </si>
  <si>
    <t>Solitario (4+), Esquivar, Humanoide bala, Echarse a un lado, Escurridizo, Canijo</t>
  </si>
  <si>
    <t>Einzelgänger (4+), Ausweichen, Lebensmüde, Gewandt, Kleinwüchsig, Winzig</t>
  </si>
  <si>
    <t>Solitaire (4+), Esquive, Poids Plume, Glissade contrôlée, Minus, Microbe</t>
  </si>
  <si>
    <t>Animosity (all Dwarf and Halfling team-mates), Catch, Dodge</t>
  </si>
  <si>
    <t>Animosidad (todos los Enanos y Halflings), Atrapar, Esquivar</t>
  </si>
  <si>
    <t>Animosität (alle Zwergen und Halbling Mitspieler), Fangsicher, Ausweichen</t>
  </si>
  <si>
    <t>Animosité (tout coéquipier Dwarf ou Halfling), Réception , Esquive</t>
  </si>
  <si>
    <t>Animosity (all Dwarf and Halfling team-mates), Pass, Sure Hands</t>
  </si>
  <si>
    <t>Animosidad (todos los Enanos y Halflings), Pasar, Manos seguras</t>
  </si>
  <si>
    <t>Animosität (alle Zwergen und Halbling Mitspieler), Wurfsicher, Ballgefühl</t>
  </si>
  <si>
    <t>Animosité (tout coéquipier Dwarf ou Halfling), Passe, Prise Sûre</t>
  </si>
  <si>
    <t>Animosity (all Dwarf and Halfling team-mates), Block</t>
  </si>
  <si>
    <t>Animosidad (todos los Enanos y Halflings), Placar</t>
  </si>
  <si>
    <t>Animosität (alle Zwergen und Halbling Mitspieler), Block</t>
  </si>
  <si>
    <t>Animosité (tout coéquipier Dwarf ou Halfling), Blocage</t>
  </si>
  <si>
    <t>Animosity (all Dwarf and Human team-mates), Dodge, Right Stuff, Stunty</t>
  </si>
  <si>
    <t>Animosidad (todos los Enanos y Humanos), Esquivar, Humanoide bala, Escurridizo</t>
  </si>
  <si>
    <t>Animosität (alle Zwergen und Menschen Mitspieler), Ausweichen, Lebensmüde, Kleinwüchsig</t>
  </si>
  <si>
    <t>Animosité (tout coéquipier Dwarf ou Human), Esquive, Poids Plume, Minus</t>
  </si>
  <si>
    <t>Dwarf Blocker</t>
  </si>
  <si>
    <t>Arm Bar, Brawler, Loner (3+), Thick Skull</t>
  </si>
  <si>
    <t>Llave de brazo, Luchador, Solitario (3+), Cabeza dura</t>
  </si>
  <si>
    <t>Armhebel, Raufbold, Einzelgänger (3+), Robust</t>
  </si>
  <si>
    <t>Clé de bras, Bagarreur, Solitaire (3+), Crâne épais</t>
  </si>
  <si>
    <t>Dwarf Runner</t>
  </si>
  <si>
    <t>Loner (3+), Sure Hands, Thick Skull</t>
  </si>
  <si>
    <t>Solitario (3+), Manos seguras, Cabeza dura</t>
  </si>
  <si>
    <t>Einzelgänger (3+), Ballgefühl, Robust</t>
  </si>
  <si>
    <t>Solitaire (3+), Prise Sûre, Crâne épais</t>
  </si>
  <si>
    <t>Dwarf Blitzer</t>
  </si>
  <si>
    <t>Block, Loner (3+), Thick Skull</t>
  </si>
  <si>
    <t>Placar, Solitario (3+), Cabeza dura</t>
  </si>
  <si>
    <t>Block, Einzelgänger (3+), Robust</t>
  </si>
  <si>
    <t>Blocage, Solitaire (3+), Crâne épais</t>
  </si>
  <si>
    <t>Dwarf Troll Slayer</t>
  </si>
  <si>
    <t>Block, Dauntless, Frenzy, Loner (3+), Thick Skull</t>
  </si>
  <si>
    <t>Placar, Furia, Agallas, Solitario (3+), Cabeza dura</t>
  </si>
  <si>
    <t>Block, Unerschrocken, Rasend, Einzelgänger (3+), Robust</t>
  </si>
  <si>
    <t>Blocage, Intrépide, Frénésie, Solitaire (3+), Crâne épais</t>
  </si>
  <si>
    <t>Mighty Blow (+1), Loner (4+), Stand Firm, Strong Arm, Take Root, Thick Skull, Throw Team-mate, Timmm-ber!</t>
  </si>
  <si>
    <t>Golpe mortífero (+1), Solitario (4+), Mantenerse firme, Brazo fuerte, Echar raíces, Cabeza dura, Lanzar compañero, ¡Tronco va!</t>
  </si>
  <si>
    <t>Knochenbrecher (+1), Einzelgänger (4+), Standfest, Robust, Wurzeln schlagen, Robust, Mitspieler werfen, Baum fällt!</t>
  </si>
  <si>
    <t>Châtaigne (+1), Solitaire (4+), Stabilité, Bras musclé, Prendre Racine, Crâne épais, Lancer de Coéquipier, Timmm-ber!</t>
  </si>
  <si>
    <t>Animosity (Orc Linemen)</t>
  </si>
  <si>
    <t>Animosidad (Orc Linemen)</t>
  </si>
  <si>
    <t>Animosität (Ork Linemen)</t>
  </si>
  <si>
    <t>Animosité (Orc Linemen)</t>
  </si>
  <si>
    <t xml:space="preserve">Goblin </t>
  </si>
  <si>
    <t>Animosidad (todo el equipo), Pasar, Manos seguras</t>
  </si>
  <si>
    <t>Animosität (alle Mitspieler), Wurfsicher, Ballgefühl</t>
  </si>
  <si>
    <t>Animosité (tout coéquipier), Passe, Prise Sûre</t>
  </si>
  <si>
    <t>Big Un</t>
  </si>
  <si>
    <t>Animosity (Big Un Blockers)</t>
  </si>
  <si>
    <t>Animosidad (Big Un Blockers)</t>
  </si>
  <si>
    <t>Animosität (Big Un Blockers)</t>
  </si>
  <si>
    <t>Animosité (Big Un Blocageers)</t>
  </si>
  <si>
    <t>Animosidad (todo el equipo), Placar</t>
  </si>
  <si>
    <t>Animosität (alle Mitspieler), Block</t>
  </si>
  <si>
    <t>Animosité (tout coéquipier), Blocage</t>
  </si>
  <si>
    <t>Untrained Troll</t>
  </si>
  <si>
    <t>Journey Orc</t>
  </si>
  <si>
    <t>Loner (4+), Animosity (Orc Linemen)</t>
  </si>
  <si>
    <t>Solitario (4+), Animosidad (Orc Linemen)</t>
  </si>
  <si>
    <t>Einzelgänger (4+), Animosität (Ork Linemen)</t>
  </si>
  <si>
    <t>Solitaire (4+), Animosité (Orc Linemen)</t>
  </si>
  <si>
    <t>Skeleton</t>
  </si>
  <si>
    <t>Regeneration, Thick Skull</t>
  </si>
  <si>
    <t>Regeneración, Cabeza dura</t>
  </si>
  <si>
    <t>Regeneration, Robust</t>
  </si>
  <si>
    <t>Régénération, Crâne épais</t>
  </si>
  <si>
    <t>Wight</t>
  </si>
  <si>
    <t>Block, Regeneration</t>
  </si>
  <si>
    <t>Placar, Regeneración</t>
  </si>
  <si>
    <t>Blocage, Régénération</t>
  </si>
  <si>
    <t>Mummy</t>
  </si>
  <si>
    <t>Mighty Blow (+1), Regeneration</t>
  </si>
  <si>
    <t>Golpe mortífero (+1), Regeneración</t>
  </si>
  <si>
    <t>Knochenbrecher (+1), Regeneration</t>
  </si>
  <si>
    <t>Châtaigne (+1), Régénération</t>
  </si>
  <si>
    <t>Skeleton Journeyman</t>
  </si>
  <si>
    <t>Loner (4+), Regeneration, Thick Skull</t>
  </si>
  <si>
    <t>Solitario (4+), Regeneración, Cabeza dura</t>
  </si>
  <si>
    <t>Einzelgänger (4+), Regeneration, Robust</t>
  </si>
  <si>
    <t>Solitaire (4+), Régénération, Crâne épais</t>
  </si>
  <si>
    <t>Zombie Journeyman</t>
  </si>
  <si>
    <t>Pogo Stick, Very Long Legs</t>
  </si>
  <si>
    <t>Pogo saltarín, Piernas muy largas</t>
  </si>
  <si>
    <t>Pogo-Stick, Sehr lange Beine</t>
  </si>
  <si>
    <t>Echasse à Ressort, Très longues jambes</t>
  </si>
  <si>
    <t>Diving Catch, Pogo Stick, Very Long Legs</t>
  </si>
  <si>
    <t>Recepción heroica, Pogo saltarín, Piernas muy largas</t>
  </si>
  <si>
    <t>Hechtsprung, Pogo-Stick, Sehr lange Beine</t>
  </si>
  <si>
    <t>Réception plongeante , Echasse à Ressort, Très longues jambes</t>
  </si>
  <si>
    <t>Diving Tackle, Jump Up, Pogo Stick, Very Long Legs</t>
  </si>
  <si>
    <t>Placaje heroico, En pie de un salto, Pogo saltarín, Piernas muy largas</t>
  </si>
  <si>
    <t>Fliegender Tackle, Aufspringen, Pogo-Stick, Sehr lange Beine</t>
  </si>
  <si>
    <t>Tacle plongeant , Rétablissement, Echasse à Ressort, Très longues jambes</t>
  </si>
  <si>
    <t>Bonehead, Loner (4+), Mighty Blow (+1), Prehensile Tail, Thick Skull</t>
  </si>
  <si>
    <t>Bonehead, Einzelgänger (4+), Knochenbrecher (+1), Klammerschwanz, Robust</t>
  </si>
  <si>
    <t>Bonehead, Solitaire (4+), Châtaigne (+1), Queue préhensile, Crâne épais</t>
  </si>
  <si>
    <t>Journey Slann</t>
  </si>
  <si>
    <t>Loner (4+), Pogo Stick, Very Long Legs</t>
  </si>
  <si>
    <t>Solitario (4+), Pogo saltarín, Piernas muy largas</t>
  </si>
  <si>
    <t>Einzelgänger (4+), Pogo-Stick, Sehr lange Beine</t>
  </si>
  <si>
    <t>Solitaire (4+), Echasse à Ressort, Très longues jambes</t>
  </si>
  <si>
    <t>Gutter Runner</t>
  </si>
  <si>
    <t>Rat Ogre</t>
  </si>
  <si>
    <t>Journey Skaven</t>
  </si>
  <si>
    <t>Anointed Throwers</t>
  </si>
  <si>
    <t>Pass, Regeneration, Sure Hands, Thick Skull</t>
  </si>
  <si>
    <t>Pasar, Regeneración, Manos seguras, Cabeza dura</t>
  </si>
  <si>
    <t>Wurfsicher, Regeneration, Ballgefühl, Robust</t>
  </si>
  <si>
    <t>Passe, Régénération, Prise Sûre, Crâne épais</t>
  </si>
  <si>
    <t>Anointed Blitzers</t>
  </si>
  <si>
    <t>Block, Regeneration, Thick Skull</t>
  </si>
  <si>
    <t>Placar, Regeneración, Cabeza dura</t>
  </si>
  <si>
    <t>Block, Regeneration, Robust</t>
  </si>
  <si>
    <t>Blocage, Régénération, Crâne épais</t>
  </si>
  <si>
    <t>Tomb Guardian</t>
  </si>
  <si>
    <t>Decay, Regeneration</t>
  </si>
  <si>
    <t>Descomposición, Regeneración</t>
  </si>
  <si>
    <t>Verwesung, Regeneration</t>
  </si>
  <si>
    <t>Décomposition, Régénération</t>
  </si>
  <si>
    <t>Journey Skeleton</t>
  </si>
  <si>
    <t>Dodge, Right Stuff, Side Step, Stunty, Swarming, Titchy</t>
  </si>
  <si>
    <t>Esquivar, Humanoide bala, Echarse a un lado, Escurridizo, Colocarse, Canijo</t>
  </si>
  <si>
    <t>Ausweichen, Lebensmüde, Gewandt, Kleinwüchsig, Wuseln, Winzig</t>
  </si>
  <si>
    <t>Esquive, Poids Plume, Glissade contrôlée, Minus, Déferlement, Microbe</t>
  </si>
  <si>
    <t>Fungus Flinga</t>
  </si>
  <si>
    <t>Bombardier, Dodge, Right Stuff, Secret Weapon, Side Step, Stunty</t>
  </si>
  <si>
    <t>Bombardero, Esquivar, Humanoide bala, Arma secreta, Echarse a un lado, Escurridizo</t>
  </si>
  <si>
    <t>Bombardier, Ausweichen, Lebensmüde, Versteckte Waffe, Gewandt, Kleinwüchsig</t>
  </si>
  <si>
    <t>Bombardier, Esquive, Poids Plume, Arme Secrète, Glissade contrôlée, Minus</t>
  </si>
  <si>
    <t>Fun-hoppa</t>
  </si>
  <si>
    <t>Dodge, Pogo Stick, Right Stuff, Side Step, Stunty</t>
  </si>
  <si>
    <t>Esquivar, Pogo saltarín, Humanoide bala, Echarse a un lado, Escurridizo</t>
  </si>
  <si>
    <t>Ausweichen, Pogo-Stick, Lebensmüde, Gewandt, Kleinwüchsig</t>
  </si>
  <si>
    <t>Esquive, Echasse à Ressort, Poids Plume, Glissade contrôlée, Minus</t>
  </si>
  <si>
    <t>Stilty Runna</t>
  </si>
  <si>
    <t>Dodge, Right Stuff, Side Step, Sprint, Stunty</t>
  </si>
  <si>
    <t>Esquivar, Humanoide bala, Echarse a un lado, Carrera, Escurridizo</t>
  </si>
  <si>
    <t>Ausweichen, Lebensmüde, Gewandt, Sprinten, Kleinwüchsig</t>
  </si>
  <si>
    <t>Esquive, Poids Plume, Glissade contrôlée, Sprint, Minus</t>
  </si>
  <si>
    <t>Pump Wagon</t>
  </si>
  <si>
    <t>Dirty Player (+1), Juggernaut, Mighty Blow (+1), Really Stupid, Secret Weapon, Stand Firm</t>
  </si>
  <si>
    <t>Juego sucio (+1), Imparable, Golpe mortífero (+1), Realmente estúpido, Arma secreta, Mantenerse firme</t>
  </si>
  <si>
    <t>Brutal (+1), Schweres Gerät, Knochenbrecher (+1), Saublöd, Versteckte Waffe, Standfest</t>
  </si>
  <si>
    <t>Joueur Déloyal (+1), Juggernaut, Châtaigne (+1), Gros Débile, Arme Secrète, Stabilité</t>
  </si>
  <si>
    <t>Journey Snotling</t>
  </si>
  <si>
    <t>Loner (4+), Dodge, Right Stuff, Side Step, Stunty, Swarming, Titchy</t>
  </si>
  <si>
    <t>Solitario (4+), Esquivar, Humanoide bala, Echarse a un lado, Escurridizo, Colocarse, Canijo</t>
  </si>
  <si>
    <t>Einzelgänger (4+), Ausweichen, Lebensmüde, Gewandt, Kleinwüchsig, Wuseln, Winzig</t>
  </si>
  <si>
    <t>Solitaire (4+), Esquive, Poids Plume, Glissade contrôlée, Minus, Déferlement, Microbe</t>
  </si>
  <si>
    <t>Skaven Clanrat</t>
  </si>
  <si>
    <t>Animosity (Underworld Goblin Linemen)</t>
  </si>
  <si>
    <t>Animosidad (Underworld Goblin Linemen)</t>
  </si>
  <si>
    <t>Animosität (Underworld Goblin Linemen)</t>
  </si>
  <si>
    <t>Animosité (Underworld Goblin Linemen)</t>
  </si>
  <si>
    <t>Skaven Thrower</t>
  </si>
  <si>
    <t>Animosity (Underworld Goblin Linemen), Pass, Sure Hands</t>
  </si>
  <si>
    <t>Animosidad (Underworld Goblin Linemen), Pasar, Manos seguras</t>
  </si>
  <si>
    <t>Animosität (Underworld Goblin Linemen), Wurfsicher, Ballgefühl</t>
  </si>
  <si>
    <t>Animosité (Underworld Goblin Linemen), Passe, Prise Sûre</t>
  </si>
  <si>
    <t>Animosity (Underworld Goblin Linemen), Dodge</t>
  </si>
  <si>
    <t>Animosidad (Underworld Goblin Linemen), Esquivar</t>
  </si>
  <si>
    <t>Animosität (Underworld Goblin Linemen), Ausweichen</t>
  </si>
  <si>
    <t>Animosité (Underworld Goblin Linemen), Esquive</t>
  </si>
  <si>
    <t>Skaven Blitzer</t>
  </si>
  <si>
    <t>Animosity (Underworld Goblin Linemen), Block</t>
  </si>
  <si>
    <t>Animosidad (Underworld Goblin Linemen), Placar</t>
  </si>
  <si>
    <t>Animosität (Underworld Goblin Linemen), Block</t>
  </si>
  <si>
    <t>Animosité (Underworld Goblin Linemen), Blocage</t>
  </si>
  <si>
    <t>Underworld Troll</t>
  </si>
  <si>
    <t>Mutant Rat Ogre</t>
  </si>
  <si>
    <t>Thrall</t>
  </si>
  <si>
    <t>Animal Savagery, Hypnotic Gaze, Regeneration</t>
  </si>
  <si>
    <t>Ferocidad animal, Mirada hipnótica, Regeneración</t>
  </si>
  <si>
    <t>Animalische Brutalität, Hypnotischer Blick, Regeneration</t>
  </si>
  <si>
    <t>Sauvagerie Animale, Regard Hypnotique, Régénération</t>
  </si>
  <si>
    <t>Journey Thrall</t>
  </si>
  <si>
    <t>Wardancer</t>
  </si>
  <si>
    <t>Block, Dodge, Leap</t>
  </si>
  <si>
    <t>Placar, Esquivar, Saltar</t>
  </si>
  <si>
    <t>Block, Ausweichen, Springen</t>
  </si>
  <si>
    <t>Blocage, Esquive, Saut</t>
  </si>
  <si>
    <t>Treeman</t>
  </si>
  <si>
    <t>Loner (4+), Mighty Blow (+1), Stand Firm, Strong Arm, Take Root, Thick Skull, Throw Team-Mate</t>
  </si>
  <si>
    <t>Solitario (4+), Golpe mortífero (+1), Mantenerse firme, Brazo fuerte, Echar raíces, Cabeza dura, Lanzar compañero</t>
  </si>
  <si>
    <t>Solitaire (4+), Châtaigne (+1), Stabilité, Bras musclé, Prendre Racine, Crâne épais, Lancer de Coéquipier</t>
  </si>
  <si>
    <t>NAME</t>
  </si>
  <si>
    <t>SPECIAL RULE</t>
  </si>
  <si>
    <t>SR ENGLISH</t>
  </si>
  <si>
    <t>SR SPANISH</t>
  </si>
  <si>
    <t>SR DEUTCH</t>
  </si>
  <si>
    <t>SR FRENCH</t>
  </si>
  <si>
    <t>SR ITALIAN</t>
  </si>
  <si>
    <t>S ENGLISH</t>
  </si>
  <si>
    <t>S SPANISH</t>
  </si>
  <si>
    <t>S DEUTCH</t>
  </si>
  <si>
    <t>S FRENCH</t>
  </si>
  <si>
    <t>S ITALIAN</t>
  </si>
  <si>
    <t>BASE</t>
  </si>
  <si>
    <t>AAA</t>
  </si>
  <si>
    <t>Akhorne the Squirrel</t>
  </si>
  <si>
    <t>2+</t>
  </si>
  <si>
    <t>6+</t>
  </si>
  <si>
    <t>Blind Rage: Akhorne may choose to re-roll the D6 when rolling for the Dauntless skill</t>
  </si>
  <si>
    <t>Furia ciega: Akhorne puede elegir volver a tirar el D6 cuando tira la habilidad de Agallas</t>
  </si>
  <si>
    <t>Blinde Wut: Akhorne darf einen D6 erneut würfeln, wenn es die Fertigkeit UNERSCHROCKEN einsetzt.</t>
  </si>
  <si>
    <t>Rage Aveulge : Akhorne peut choisir de relancer le dé durant un jet pour la compétence Intrépide</t>
  </si>
  <si>
    <t>Claws, Dauntless, Dodge, Frenzy, Jump Up, Loner (4+), No Hands, Sidestep, Stunty, Titchy</t>
  </si>
  <si>
    <t>Garras, Agallas, Furia, En pie de un salto, Solitario (4+), Sin manos, Echarse a un lado, Escurridizo, Canijo</t>
  </si>
  <si>
    <t>Klauen, Unerschrocken, Ausweichen, Rasend, Aufspringen, Einzelgänger (4+), Keine Hände, Gewandt, Kleinwüchsig, Winzig</t>
  </si>
  <si>
    <t>Griffes, Intrépide, Esquive, Frénésie, Rétablissement, Solitaire (4+), Sans les Mains, Glissade Contrôlée, Minus, Microbe</t>
  </si>
  <si>
    <t>AAB</t>
  </si>
  <si>
    <t>Helmut Wulf</t>
  </si>
  <si>
    <t>3+</t>
  </si>
  <si>
    <t>9+</t>
  </si>
  <si>
    <t>Old Pro: Once per game, Helmut may use his Pro skill to re-roll a single dice rolled as part of an Armour roll</t>
  </si>
  <si>
    <t>Viejo profesional: Una vez por partido, Helmut puese usar su habilidad Pro para repetir un solo dado de la tirada de Armadura</t>
  </si>
  <si>
    <t>Alter Profi: Einmal pro Spile darf Helmut seine Fertigkeit Profi einsetzen, um einen einzelnen Würfel neu zu werfen, der als Teil eines Rüstungswurfs geworfen wurde.</t>
  </si>
  <si>
    <t>Vieux Pro : Une fois par match Helmut peut utiliser sa compténce Pro pour relancer un seul dé d'un jet d'Armure</t>
  </si>
  <si>
    <t>Chainsaw, Loner (4+), Pro, Secret Weapon, Stand Firm</t>
  </si>
  <si>
    <t>Motosierra, Solitario (4+), Pro, Arma secreta, Mantenerse firme</t>
  </si>
  <si>
    <t>Kettensäge, Einzelgänger (4+), Profi, Versteckte Waffe, Standfest</t>
  </si>
  <si>
    <t>Tronçonneuse, Solitaire (4+), Pro, Arme Secrète, Stabilité</t>
  </si>
  <si>
    <t>AAC</t>
  </si>
  <si>
    <t>The Black Gobbo</t>
  </si>
  <si>
    <t>Sneakiest of the Lot: If your team includes the Black Gobbo, you may commit two Foul actions per team turn, provided one of your Foul actions is committed by the Black Gobbo himself</t>
  </si>
  <si>
    <t>El más astuto de todos: Si tu equipo incluye al Black Gobbo, puedes cometer dos acciones de falta por turno, siempre que una de las faltas sea cometida por el mismo Black Gobbo.</t>
  </si>
  <si>
    <t>Der Heimtückischte von allen: Wenn dein Team den Black Gobbo enthält, darfst du zwei Foulen-Aktionen pro Team-Spielzug durchführen, vorausgesetzt eine Foulen-Aktion wird vom Black Gobbo selbst ausgeführt.</t>
  </si>
  <si>
    <t xml:space="preserve">Le Plus Sournois de Tous : Si votre équipe inclut le Black Gobo, vous pouvez effectuer deux Agression par tour d'équipe, tant que l'une d'elles est comise par le Black Gobo </t>
  </si>
  <si>
    <t>Bombardier, Disturbing Presence, Dodge, Loner (3+), Side Step, Sneaky Git, Stab, Stunty</t>
  </si>
  <si>
    <t>Bombardier, Verstörende Präsenz, Ausweichen, Einzelgänger (3+), Gewandt, Heimtückisch, Niederstechen, Kleinwüchsig</t>
  </si>
  <si>
    <t>Bombardier, Présence Perturbante, Esquive, Solitaire (3+), Glissade Contrôlée, Sournois, Poignard, Minus</t>
  </si>
  <si>
    <t>AAD</t>
  </si>
  <si>
    <t>Grak</t>
  </si>
  <si>
    <t>4+</t>
  </si>
  <si>
    <t>10+</t>
  </si>
  <si>
    <t>Two for One: Grak and Crumbleberry must be hired as a pair and count as two Star Players. However, if either Grak or Crumbleberry is removed from play due to suffering a KO’d or Casualty! result on the Injury table, the other replaces the Loner (4+) trait with the Loner (2+) trait</t>
  </si>
  <si>
    <t>Dos por uno: Grak y Crumbleberry deben ser contratados en pareja y cuentan como dos Jugadores Estrella. Sin embargo, si Grak o Crumbleberry es retirado del juego debido a un resultado de KO'd o Casualty! en la tabla de lesiones, el otro sustituye el rasgo de Solitario (4+) por el rasgo de Solitario (2+)</t>
  </si>
  <si>
    <t>Zwei zum Preis von einem: Grak und Crumbleberry müssen als Paar angeheuert werden und zählen als zwei Starspieler.  Aber wenn Grak oder Crumbleberry durch ein Ereignis K.O. oder Verlust auf der Verletzungstabelle aus dem Spiel entfernt werden, ersetzt der andere das Merkmal Einzelgänger (4+) durch Einzelgänger (2+).</t>
  </si>
  <si>
    <t>Deux pour Un : Grak et Crumbleberry doivent être recrutés ensemble et comptent comme deux Star Players. Cependant, si Grak ou Crumbleberry est retiré du jeu à cause d'un résultat KO ou Eliminé ! sur le tableau des blessures, l'autre remplace le trait Solitaire (4+) par Solitaire (2+).</t>
  </si>
  <si>
    <t>Bone Head, Kick Team-mate, Loner (4+), Mighty Blow (+1), Thick Skull</t>
  </si>
  <si>
    <t>Estúpido, Patear compañero, Solitario (4+), Golpe mortífero (+1), Cabeza dura</t>
  </si>
  <si>
    <t>Blöd, Kicken Team-mate, Einzelgänger (4+), Knochenbrecher (+1), Thick Skull</t>
  </si>
  <si>
    <t>Cerveau Lent, Botter de coéquipier, Solitaire (4+), Châtaigne (+1), Crâne épais</t>
  </si>
  <si>
    <t>AAE</t>
  </si>
  <si>
    <t>Crumbleberry</t>
  </si>
  <si>
    <t>7+</t>
  </si>
  <si>
    <t>Dodge, Loner (4+), Right Stuff, Stunty, Sure Hands</t>
  </si>
  <si>
    <t>Esquivar, Solitario (4+), Humanoide bala, Escurridizo, Manos seguras</t>
  </si>
  <si>
    <t>Ausweichen, Einzelgänger (4+), Lebensmüde, Kleinwüchsig, Ballgefühl</t>
  </si>
  <si>
    <t>Esquive, Solitaire (4+), Poids Plume, Minus, Prise Sûre</t>
  </si>
  <si>
    <t>AAF</t>
  </si>
  <si>
    <t>Varag Ghoul-Chewer</t>
  </si>
  <si>
    <t>5+</t>
  </si>
  <si>
    <t>Crushing Blow: Once per game, when an opposition player is Knocked Down as the result of a Block action performed by Varag, you may apply an additional +1 modifier to the Armour roll. This modifier may be applied after the roll has been made</t>
  </si>
  <si>
    <t>Golpe de aplastamiento: Una vez por partida, cuando un jugador oponente es derribado como resultado de una acción de bloqueo realizada por Varag, puedes aplicar un modificador adicional +1 a la tirada de Armadura. Este modificador puede aplicarse después de que se haya realizado la tirada)</t>
  </si>
  <si>
    <t>Schmetterschlag: Einmal pro Spiel, wenn ein gegnerischer Spieler als Folge einer von Varag ausgeführten Blocken-Aktion zu Boden geht,  kannst du einen zusätzlichen Modifikator von +1 auf den Rüstungswurf anwenden.  Dieser Modifikator darf angewendet werden, nachdem der Wurf abgelegt wurde.</t>
  </si>
  <si>
    <t>Coup Destructeur : Une fois par match, quand un joueur adverse est plaqué en résultat d'un Blocage de Varag, vous pouvez appliquer un modificateur additionnel de +1 au jet d'Armure.Ce modificateur peut être appliqué après le jet de dés.</t>
  </si>
  <si>
    <t>Block, Jump Up, Loner (4+), Mighty Blow (+1), Thick Skull</t>
  </si>
  <si>
    <t>Placar, En pie de un salto, Solitario (4+), Golpe mortífero (+1), Cabeza dura</t>
  </si>
  <si>
    <t>Block, Aufspringen, Einzelgänger (4+), Knochenbrecher (+1), Thick Skull</t>
  </si>
  <si>
    <t>Blocage, Rétablissement, Solitaire (4+), Châtaigne (+1), Crâne épais</t>
  </si>
  <si>
    <t>AAG</t>
  </si>
  <si>
    <t>Morg 'n' Thorg</t>
  </si>
  <si>
    <t>11+</t>
  </si>
  <si>
    <t>The Ballista: Once per game, if Morg fails the Passing Ability test when making a Pass action or a Throw Team-mate action, you may re-roll the D6</t>
  </si>
  <si>
    <t>La Ballesta: Una vez por partido, si Morg falla el test de habilidad para pasar cuando hace una acción de pasar o una acción de lanzar a un compañero de equipo, puede volver a tirar el D6</t>
  </si>
  <si>
    <t>Die Ballista: Einmal pro Spiel, wenn Morg der Wurfgeschicklichkeitstest misslingt, wenn er eine Pass-Aktion oder eine Mitspieler-werfen-Aktion ausführt, kannst du den W6 erneut werfen.</t>
  </si>
  <si>
    <t>La Baliste : Une fois par match, si Morg rate le jet de Passe quand il effectue une Passe ou un Lancer de coéquipier, vous pouvez relance le D6.</t>
  </si>
  <si>
    <t>Block, Loner (4+), Mighty Blow (+2), Thick Skull, Throw Team-mate</t>
  </si>
  <si>
    <t>Placar, Solitario (4+), Golpe mortífero (+2), Cabeza dura, Lanzar compañero</t>
  </si>
  <si>
    <t>Block, Einzelgänger (4+), Knochenbrecher (+2), Thick Skull, Mitspieler werfen</t>
  </si>
  <si>
    <t>Blocage, Solitaire (4+), Châtaigne (+2), Crâne épais, Lancer de Coéquipier</t>
  </si>
  <si>
    <t>AAH</t>
  </si>
  <si>
    <t>Hakflem Skuttlespike</t>
  </si>
  <si>
    <t>8+</t>
  </si>
  <si>
    <t>Treacherous: Once per game, if a team-mate in an adjacent square to Hakflem is in possession of the ball when Hakflem is activated, that player may immediately be Knocked Down and Hakflem may take possession of the ball. No Turnover is caused as a result of using this special rule</t>
  </si>
  <si>
    <t>Traicionero: Una vez por partido, si un compañero de equipo en una casilla adyacente a Hakflem está en posesión del balón cuando Hakflem se activa, ese jugador puede ser derribado inmediatamente y Hakflem puede tomar posesión del balón. No se produce ningún cambio de turno como resultado del uso de esta regla especial</t>
  </si>
  <si>
    <t>Verräterisch: Einmal pro Spiel, falls ein Mitspieler in einem zu Hakflem benachbarten Feld in Ballbesitz ist, wenn Hakflem aktiviert wird, kann dieser Spieler sofort zu Boden gehen und Hakflem den Ball in Besitz nehmen.  Es kommt nicht zu einem Zugverlust als Folge der Verwendung dieser Sonderregel.</t>
  </si>
  <si>
    <t xml:space="preserve">Traître : Une fois par match, si un équiper sur une case adjacente à Hakflem est en possession du ballon quand Hakflem est activé, ce joueur peut immédiatement être Plaqué et Hakflem peut prendre possession du ballon. L'utilisation de cette règle spéciale n'entraîne pas de Turnover. </t>
  </si>
  <si>
    <t>Dodge, Extra Arms, Loner (4+), Prehensile Tail, Two Heads</t>
  </si>
  <si>
    <t>Esquivar, Brazos adicionales, Solitario (4+), Cola prensil, Dos cabezas</t>
  </si>
  <si>
    <t>Ausweichen, Zusätzliche Arme, Einzelgänger (4+), Klammerschwanz, Zwei Köpfe</t>
  </si>
  <si>
    <t>Esquive, Bras supplémentaire, Solitaire (4+), Queue préhensile, Deux têtes</t>
  </si>
  <si>
    <t>AAI</t>
  </si>
  <si>
    <t>Glart Smashrip</t>
  </si>
  <si>
    <t>Frenzied Rush: Once per game, when Glart performs a Blitz action, he may gain the Frenzy skill. You must declare this special rule is being used when Glart is activated. Glart may not use the Grab skill during a turn in which he uses this special rule</t>
  </si>
  <si>
    <t>Carrera frenética: Una vez por partido, cuando Glart realiza una acción Blitz, puede ganar la habilidad Furia. Debes declarar que esta regla especial se usa cuando Glart es activado. Glart no puede usar la habilidad de Apartar durante el turno en el que use esta regla especial.</t>
  </si>
  <si>
    <t>Rasender Rausch: Einmal pro Spiel darf Glart, wenn er eine Blitzen-Aktion ausführt, die Fertigkeit Rasend erhalten.  Du musst ansagen, dass du diese Sonderregel einsetzt, wenn Glart aktiviert wird.  Glart darf in einem Zug, in dem diese Sonderregel verwendet wird, nicht die Fertigkeit Greifer benutzen.</t>
  </si>
  <si>
    <t>Elan Frénétique : Une fois par match, quand Glart effectue un Blitz il peut gagner la compétence Frénésie. Vous devez déclarer que cette règle spéciale est utilisée quand Glart est activé. Glart ne peut pas utiliser la compétence Projection pendant un tour où il utilise cette règle.</t>
  </si>
  <si>
    <t>Block, Claw, Grab, Juggernaut, Loner (4+), Stand Firm</t>
  </si>
  <si>
    <t>Placar, Garras, Apartar, Imparable, Solitario (4+), Mantenerse firme</t>
  </si>
  <si>
    <t>Block, Klauen, Greifer, Schweres Gerät, Einzelgänger (4+), Standfest</t>
  </si>
  <si>
    <t>Blocage, Griffes, Projection, Juggernaut, Solitaire (4+), Stabilité</t>
  </si>
  <si>
    <t>AAJ</t>
  </si>
  <si>
    <t>Rumbelow Sheepskin</t>
  </si>
  <si>
    <t>Ram: Once per game, when an opposition player is Knocked Down as the result of a Block action performed by Rumbelow, you may apply an additional +1 modifier to either the Armour roll or Injury roll. This modifier may be applied after the roll has been made.</t>
  </si>
  <si>
    <t>Carnero: Una vez por partido, cuando un jugador oponente es derribado como resultado de una acción de placaje realizada por Rumbelow, puedes aplicar un modificador adicional +1 a la tirada de Armadura o a la de Herida. Este modificador puede aplicarse después de que se haya realizado la tirada.</t>
  </si>
  <si>
    <t>Sturmbock: Einmal pro Spiel, wenn ein gegnerischer Spieler als Folge einer von Rumbelow ausgeführten Blocken-Aktion zu Boden geht, kannst du einen zusätzlichen Modifikator von +1 auf den Rüstungs- oder den Verletzungswurf anwenden.  Dieser Modifikator darf angewendet werden, nachdem der Wurf abgelegt wurde.</t>
  </si>
  <si>
    <t xml:space="preserve">Bellier : Une fois par match, quand un joueur adverse est Plaqué en résultat d'un Blocade de Rumbelow, vous pouvez appliquer un modificateur additionnel de +1 au jet d'Armure ou au jet de Blessure. Ce modificateur peut être appliqué après le jet de dés. </t>
  </si>
  <si>
    <t>Block, Horns, Juggernaut, Loner (4+), No Hands, Tackle, Thick Skull</t>
  </si>
  <si>
    <t>Placar, Cuernos, Imparable, Solitario (4+), Sin manos, Placaje defensivo, Cabeza dura</t>
  </si>
  <si>
    <t>Block, Hörner, Schweres Gerät, Einzelgänger (4+), Keine Hände, Tackle, Thick Skull</t>
  </si>
  <si>
    <t>Blocage, Cornes, Juggernaut, Solitaire (4+), Sans les Mains, Tacle, Crâne épais</t>
  </si>
  <si>
    <t>AAK</t>
  </si>
  <si>
    <t>Grim Ironjaw</t>
  </si>
  <si>
    <t>Slayer: Once per game, when an opposition player with a Strength characteristic of 5 or more is Knocked Down as the result of a Block action performed by Grim, you may apply an additional +1 modifier to either the Armour roll or Injury roll. This modifier may be applied after the roll has been made.</t>
  </si>
  <si>
    <t>Matador: Una vez por partido, cuando un jugador oponente con una característica de Fuerza de 5 o más es derribado como resultado de una acción de placaje realizada por Grim, puedes aplicar un modificador adicional +1 a la tirada de Armadura o a la de Herida. Este modificador puede aplicarse después de que se haya realizado la tirada.</t>
  </si>
  <si>
    <t>Slayer: Einmal pro Spiel kannst du, wenn ein gegnerischer Spieler mit einem Stärkewert von 5 oder mehr als Folge einer von Grim ausgeführten Blocken-Aktion zu Boden geht, einen zusätzlichen Modifikator von +1 auf den Rüstungs- oder Verletzungswurf anwenden.  Dieser Modifikator darf angewendet werden, nachdem der Wurf abgelegt wurde.</t>
  </si>
  <si>
    <t>Tueur : Une fois par match, quand un joueur adverse avec une caractéristique de Force de 5 ou plus est Plaqué en résultat d'un Blocage de Grim, vous pouvez appliquer un modificateur additionnel de +1 au jet d'Arure ou au jet de Blessure. Ce modificateur peut être appliqué après le jet de dés.</t>
  </si>
  <si>
    <t>Block, Dauntless, Frenzy, Loner (4+), Multiple Block, Thick Skull</t>
  </si>
  <si>
    <t>Placar, Agallas, Furia, Solitario (4+), Placaje múltiple, Cabeza dura</t>
  </si>
  <si>
    <t>Block, Unerschrocken, Rasend, Einzelgänger (4+), Multiple Block, Thick Skull</t>
  </si>
  <si>
    <t>Blocage, Intrépide, Frénésie, Solitaire (4+), Bloquage Multiple, Crâne épais</t>
  </si>
  <si>
    <t>AAL</t>
  </si>
  <si>
    <t>Grombrindal, the White Dwarf</t>
  </si>
  <si>
    <t>Wisdom of the White Dwarf: Once per team turn, when one of Grombrindal’s team-mates that is in an adjacent square is activated, that player gains either the Break Tackle, Dauntless, Mighty Blow (+1) or Sure Feet skill until the end of their activation</t>
  </si>
  <si>
    <t>Sabiduría del Enano Blanco: Una vez por turno de equipo, cuando uno de los compañeros de Grombrindal que está en una casilla adyacente es activado, ese jugador gana la habilidad de Abrirse paso, Agallas, Golpe Mortífero (+1) o Pies firmes hasta el final de su activación.</t>
  </si>
  <si>
    <t>Weisheit des Weißen Zwergs: Einmal pro Team-Spielzug, wenn einer von Grombrindrals Mitspielern in einem zu ihm benachbarten Feld aktiviert wird, erhält der Spieler bis zum Ende seiner Aktivierung die Fertigkeit Knochenbrecher (+1), Sprintsicher, Tackle durchbrechen oder Unerschrocken.</t>
  </si>
  <si>
    <t>Sagesse du Nain Blanc : Une fois par tour d'équipe, quand un des coéquipiers de Grombrindal se trouvant sur une case adjacente à lui est activé, ce joueur gagne au choix la compétence Esquive en Force, Intrépide, Châtaigne (+1) ou Équilibre, jusqu’à la fin de son activation.</t>
  </si>
  <si>
    <t>Block, Dauntless, Loner (4+), Mighty Blow (+1), Stand Firm, Thick Skull</t>
  </si>
  <si>
    <t>Placar, Agallas, Solitario (4+), Golpe mortífero (+1), Mantenerse firme, Cabeza dura</t>
  </si>
  <si>
    <t>Block, Unerschrocken, Einzelgänger (4+), Knochenbrecher (+1), Standfest, Thick Skull</t>
  </si>
  <si>
    <t>Blocage, Intrépide, Solitaire (4+), Châtaigne (+1), Stabilité, Crâne épais</t>
  </si>
  <si>
    <t>AAM</t>
  </si>
  <si>
    <t>Karla Von Kill</t>
  </si>
  <si>
    <t>Indomitable: Once per game, when Karla successfully rolls to use her Dauntless skill, she may increase her Strength characteristic to double that of the nominated target of her Block action</t>
  </si>
  <si>
    <t>Indomable: Una vez por partido, cuando Karla tira con éxito para usar su habilidad Agallas, puede aumentar su característica de fuerza para doblar la del objetivo elegido en su acción de placaje.</t>
  </si>
  <si>
    <t>Unbezwingbar: Einmal pro Spiel, wenn der Wurf für Karlas Fertigkeit Unerschrocken erfolgreich ist, darf sie ihren Stärkewert auf das Doppelte des Stärkewerts des angesagten Ziels der Blocken-Aktion erhöhen.</t>
  </si>
  <si>
    <t>Indomptable : Une fois par match, quand Karla réussit son jet pour utiliser sa compétence Intrépide, elle peut augmenter sa caractéristique de Force pour être le double de celle de la cible du Blocage.</t>
  </si>
  <si>
    <t>Block, Dauntless, Dodge, Jump Up, Loner (4+)</t>
  </si>
  <si>
    <t>Placar, Agallas, Esquivar, En pie de un salto, Solitario (4+)</t>
  </si>
  <si>
    <t>Block, Unerschrocken, Ausweichen, Aufspringen, Einzelgänger (4+)</t>
  </si>
  <si>
    <t>Blocage, Intrépide, Esquive, Rétablissement, Solitaire (4+)</t>
  </si>
  <si>
    <t>AAN</t>
  </si>
  <si>
    <t>Deeproot Strongbranch</t>
  </si>
  <si>
    <t>Reliable: If Deeproot fumbles a Throw Team-mate action, the player that was to be thrown will bounce as normal but will automatically land safely</t>
  </si>
  <si>
    <t>Fiable: Si Deeproot falla en una acción de lanzar a un compañero, el jugador que iba a ser lanzado rebotará normalmente pero aterrizará automáticamente de forma segura.</t>
  </si>
  <si>
    <t>Verlässlich: Wenn Deeproot eine aktion Mitspieler werfen verpatzt, verspringt der Spieler, der geworfen werden sollte, wie üblich, landet aber automatisch sicher.</t>
  </si>
  <si>
    <t>Fiable : Si Deeproot commet une maladresse avec l'action Lancer de Coéquipier, le joueur lancé rebondit normalement mais atterrit automatiquement sur ses pieds.</t>
  </si>
  <si>
    <t>Block, Loner (4+), Mighty Blow (+2), Stand Firm, Strong Arm, Thick Skull, Throw Team-mate, Timmm-ber!</t>
  </si>
  <si>
    <t>Placar, Solitario (4+), Golpe mortífero (+2), Mantenerse firme, Brazo fuerte, Cabeza dura, Lanzar compañero, ¡Árbol va!</t>
  </si>
  <si>
    <t>Block, Einzelgänger (4+), Knochenbrecher (+2), Standfest, Robust, Thick Skull, Mitspieler werfen, Baum fällt!</t>
  </si>
  <si>
    <t>Blocage, Solitaire (4+), Châtaigne (+2), Stabilité, Bras musclé, Crâne épais, Lancer de Coéquipier, Timmm-ber!</t>
  </si>
  <si>
    <t>AAO</t>
  </si>
  <si>
    <t>Griff Oberwald</t>
  </si>
  <si>
    <t>Consummate Professional: Once per game, Griff may re-roll one dice that was rolled either as a single dice roll, as part of a multiple dice roll or as part of a dice pool (this cannot be a dice that was rolled as part of an Armour, Injury or Casualty roll)</t>
  </si>
  <si>
    <t>Profesional consumado: Una vez por partido, Griff puede volver a lanzar un dado que se haya tirado como una sola tirada, como parte de una tirada múltiple o como parte de un grupo de dados (no puede ser un dado que se haya tirado como parte de una tirada de Armadura o Herida)</t>
  </si>
  <si>
    <t>Vollprofi: Einmal pro Spiel darf Griff einen Würfel erneut werfen, der einzeln, als Teil eines Wurfs mit mehreren Würfeln oder als Teil eines Würfelvorrats geworfen wurde (dabei darf es sich nicht um einen Würfel handeln, der als Teil eines Rüstungswurfs, Verletzungswurfs oder eines Wurfs auf der Verletzungstabellen geworfen wurde).</t>
  </si>
  <si>
    <t xml:space="preserve">Grand Professionnel : Une fois par match, Griff peut relancer un dé qui a été jeté soit pour un jet d'un seul dé, soit pour un jet de plusieurs dés ou faisant parti d'un groupe de dés (il ne peut pas s'agir d'un dé jeté pour un jet d'Armure, de Blessure ou d'Elimination). </t>
  </si>
  <si>
    <t>Block, Dodge, Fend, Loner (3+), Sprint, Sure Feet</t>
  </si>
  <si>
    <t>Placar, Esquivar, Zafarse, Solitario (3+), Esprintar, Pies firmes</t>
  </si>
  <si>
    <t>Block, Ausweichen, Abwehren, Einzelgänger (3+), Sprinten, Sprintensicher</t>
  </si>
  <si>
    <t>Blocage, Esquive, Parade, Solitaire (3+), Sprint, Équilibre</t>
  </si>
  <si>
    <t>AAP</t>
  </si>
  <si>
    <t>Frank 'n' Stein</t>
  </si>
  <si>
    <t>Brutal Block: Once per game, when Frank 'n' Stein makes an Injury roll against an opponent as a result of a Block action, he may choose to add an additional +1 modifierto the Injury roll. This modifier may be applied after the roll has been made.</t>
  </si>
  <si>
    <t>Brutaler Block: einmal pro Spiel, wenn Frank 'n' Stein einen Verletzungswurf gegen einen Gegner als Resultat einer Bocken-Aktion macht, darf er einen zusätzlichen Modifikator von +1 auf den verletzungswurf anwenden.  Dieser Modifikator darf angewendet werden, nachdem der Wurf abgelegt wurde.</t>
  </si>
  <si>
    <t>Blocage Brutal : Une fois par match, quand Franck'n'Stein fait un jet de Blessure contre un joueur adverse en résultat d'une action de Blocage, il peut choisir d'ajouer un modificateur de +1 au jet de Blessure. Ce modificateur peut être appliqué après le jet de dés.</t>
  </si>
  <si>
    <t>Break Tackle, Loner (4+), Mighty Blow (+1), Regeneration, Stand Firm, Thick Skull</t>
  </si>
  <si>
    <t>Abrirse paso, Solitario (4+), Golpe mortífero (+1), Regeneración, Mantenerse firme, Cabeza dura</t>
  </si>
  <si>
    <t>Tackle durchbrechen, Einzelgänger (4+), Knochenbrecher (+1), Regeneration, Standfest, Thick Skull</t>
  </si>
  <si>
    <t>Esquive en force, Solitaire (4+), Châtaigne (+1), Régénération, Stabilité, Crâne épais</t>
  </si>
  <si>
    <t>AAQ</t>
  </si>
  <si>
    <t>Skrull Halfheight</t>
  </si>
  <si>
    <t>Strong Passing Game: Once per game, after making a Passing Ability test to perform a Pass action, Skrull may choose to modify the dice roll by adding his Strength characteristic to it</t>
  </si>
  <si>
    <t>Fuerte juego de pases: Una vez por partido, después de hacer una tirada de habilidad de pase para realizar un pase, Skrull puede elegir modificar la tirada de dados añadiendo su característica de fuerza.</t>
  </si>
  <si>
    <t>Starkes Passspiel: Einmal pro Spiel, nachdem Skrull einen Wurfgeschicklichkeitstest abgelegt hat, um eine Passenaktion auszuführen, kannst du dich dazu entscheiden, den Wurf zu modifizieren, indem du seinen Stärkewert zum Ergebnis addierst.</t>
  </si>
  <si>
    <t>Jeu de Passe Supreme : Une fois par match, après avoir effectué le test de Passe quand il effectue une Passe, Skrull peut décider de modifier le jet de dés en lui ajoutant sa valeur de caractéristique de Force.</t>
  </si>
  <si>
    <t>Accurate, Loner (4+), Nerves of Steel, Pass, Regeneration, Sure Hands, Thick Skull</t>
  </si>
  <si>
    <t>Precisión, Solitario (4+), Nervios de acero, Pasar, Regeneración, Manos seguras, Cabeza dura</t>
  </si>
  <si>
    <t>Zielsicher, Einzelgänger (4+), Nerven aus Stahl, Wurfsicher, Regeneration, Ballgefühl, Thick Skull</t>
  </si>
  <si>
    <t>Précision, Solitaire (4+), Nerfs d’acier, Passe, Régénération, Prise sûre, Crâne épais</t>
  </si>
  <si>
    <t>AAR</t>
  </si>
  <si>
    <t>Gloriel Summerbloom</t>
  </si>
  <si>
    <t>Shot to Nothing: Once per game, when Gloriel performs a Pass action, she may gain the Hail Mary Pass skill. You must declare this special rule is being used when Gloriel is activated</t>
  </si>
  <si>
    <t>Disparo a la nada: Una vez por partido, cuando Gloriel realiza una acción de pase, puede ganar la habilidad de Pase a lo loco. Debes declarar que esta regla especial se usa en el momento que Gloriel es activado.</t>
  </si>
  <si>
    <t>Schuss ins Blaue: Einmal pro Spiel darf Gloriel, wenn sie eine Passen-Aktion ausführt, die Fertigkeit Hau wech das Leder erhalten.  Du musst ansagen, dass du diese Sonderregel einsetzt, wenn Gloriel aktiviert wird.</t>
  </si>
  <si>
    <t>Tout ou Rien : Une fois par match, quand Gloriel effectue une Passe elle peut gagner la compétence Passe Désespérée. Vous devez déclarer que cette règle spéciale est utilisée quand Gloriel est activée.</t>
  </si>
  <si>
    <t>Accurate, Dodge, Loner (3+), Pass, Side Step, Sure Hands</t>
  </si>
  <si>
    <t>Precisión, Esquivar, Solitario (3+), Pasar, Echarse a un lado, Manos seguras</t>
  </si>
  <si>
    <t>Zielsicher, Ausweichen, Einzelgänger (3+), Wurfsicher, Gewandt, Ballgefühl</t>
  </si>
  <si>
    <t>Précision, Esquive, Solitaire (3+), Passe, Glissade Contrôlée, Prise sûre</t>
  </si>
  <si>
    <t>AAS</t>
  </si>
  <si>
    <t>Willow Rosebark</t>
  </si>
  <si>
    <t>Indomitable: Once per game, when Willow successfully rolls to use her Dauntless skill, she may increase her Strength characteristic to double that of the nominated target of her Block action</t>
  </si>
  <si>
    <t>Indomable: Una vez por partido, cuando Willow lanza con éxito para usar su habilidad Agallas, puede aumentar su característica de fuerza para doblar la del objetivo nominado en su acción de Bloqueo</t>
  </si>
  <si>
    <t>Unbezwingbar: Einmal pro Spiel, wenn der Wurf für Willows Fertigkeit Unerschrocken erfolgreich ist, darf sie ihren Stärkewert auf das Doppelte des Stärkewerts des angesagten Ziels der Blocken-Aktion erhöhen.</t>
  </si>
  <si>
    <t>Indomptable : Une fois par match, quand Willow réussit son jet pour utiliser sa compétence Intrépide, elle peut augmenter sa caractéristique de Force pour être le double de celle de la cible du Blocage.</t>
  </si>
  <si>
    <t>Dauntless, Loner (4+), Side Step, Thick Skull</t>
  </si>
  <si>
    <t>Agallas, Solitario (4+), Echarse a un lado, Cabeza dura</t>
  </si>
  <si>
    <t>Unerschrocken, Einzelgänger (4+), Gewandt, Thick Skull</t>
  </si>
  <si>
    <t>Intrépide, Solitaire (4+), Glissade Contrôlée, Crâne épais</t>
  </si>
  <si>
    <t>AAT</t>
  </si>
  <si>
    <t>Eldril Sidewinder</t>
  </si>
  <si>
    <t>Mesmerizing Dance: Once per game, Eldril may re-roll a failed Agility test when attempting to use the Hypnotic Gaze trait</t>
  </si>
  <si>
    <t>Danza hipnotizante: Una vez por partido, Eldril puede repetir una tirada de agilidad fallida al intentar usar el rasgo de Mirada hipnótica.</t>
  </si>
  <si>
    <t>Hypnotischer Tanz: Einmal pro Spiel darf Eldril einen misslungenen Geschicklichkeitstest wiederholen, wenn er versucht, die Fertigkeit Hypnotischer Blick einzusetzen.</t>
  </si>
  <si>
    <t>Danse Hypnotique : Une fois par match, Eldril peut relancer un test d'Agilité raté quand il tente d'utiliser le trait Regard Hypnotique</t>
  </si>
  <si>
    <t>Catch, Dodge, Hypnotic Gaze, Loner (4+), Nerves of Steel, On the Ball</t>
  </si>
  <si>
    <t>Atrapar, Esquivar, Mirada hipnótica, Solitario (4+), Nervios de acero, Atento al balón</t>
  </si>
  <si>
    <t>Fangsicher, Ausweichen, Hypnotischer Blick, Einzelgänger (4+), Nerven aus Stahl, Immer am Ball</t>
  </si>
  <si>
    <t>Réception , Esquive, Regard Hypnotique, Solitaire (4+), Nerfs d’acier, Sur le ballon</t>
  </si>
  <si>
    <t>AAV</t>
  </si>
  <si>
    <t>Zolcath the Zoat</t>
  </si>
  <si>
    <t>“Excuse Me, Are You a Zoat?”: Once per game, when Zolcath is activated, he may gain the Hypnotic Gaze trait. You must declare this special rule is being used when Zolcath is activated</t>
  </si>
  <si>
    <t>Disculpa, ¿eres un Zoat?: Una vez por partido, cuando Zolcath es activado, puede obtener el rasgo de Mirada hipnótica. Debes declarar que esta regla especial se usa cuando Zolcath es activado</t>
  </si>
  <si>
    <t>"Entschuldigen Sie, sind Sie ein Zoat?": Einmal pro Spiel, wenn Zolcath aktiviert wird, darf er das Merkmal Hypnotischer Blick erhalten.  Du musst ansagen, dass du diese Sonderregel verwendest, wenn Zolcath aktiviert wird.</t>
  </si>
  <si>
    <t>"Etes-vous un Zoat ?" : Une fois par match, quand Zolcath est active, il peut gagner le trait Regard Hypnotique. Vous devez déclarer que cette règle spéciale est utilisée quand Zolcath est activé</t>
  </si>
  <si>
    <t>Disturbing Presence, Juggernaut, Loner (4+), Mighty Blow (+1), Prehensile Tail, Regeneration, Sure Feet</t>
  </si>
  <si>
    <t>Presencia perturbadora, Imparable, Solitario (4+), Golpe mortífero (+1), Cola prensil, Regeneración, Pies firmes</t>
  </si>
  <si>
    <t>Verstörende Präsenz, Schweres Gerät, Einzelgänger (4+), Knochenbrecher (+1), Klammerschwanz, Regeneration, Sprintensicher</t>
  </si>
  <si>
    <t>Présence Perturbante, Juggernaut, Solitaire (4+), Châtaigne (+1), Queue préhensile, Régénération, Équilibre</t>
  </si>
  <si>
    <t>AAY</t>
  </si>
  <si>
    <t>Roxanna Darknail</t>
  </si>
  <si>
    <t>1+</t>
  </si>
  <si>
    <t>Burst of Speed: Once per game, Roxanna may attempt to Rush three times, rather than the usual two. You may declare you are using this special rule after Roxanna has Rushed twice</t>
  </si>
  <si>
    <t>Ráfaga de velocidad: Una vez por partido, Roxanna puede intentar esprintar tres veces, en lugar de las dos habituales. Puedes declarar que estás usando esta regla especial después de que Roxanna se haya esprintado dos veces</t>
  </si>
  <si>
    <t>Spurt: Einmal pro Spiel darf Roxanna dreimal versuchen zu eilen statt der üblichen zweimal.  Du darfst ansagen, dass du diese Sonderregel benutzt, nachdem Roxanna zweimal geeilt ist.</t>
  </si>
  <si>
    <t>Pointe de Vitesse : Une fois par match, Roxana peut tenter de Foncer trois fois au lieu de deux. Vous pouvez déclarer que vous utilisez cette règle spéciale après que Roxana a Foncé deux fois.</t>
  </si>
  <si>
    <t>Dodge, Frenzy, Jump Up, Juggernaut, Leap, Loner (4+)</t>
  </si>
  <si>
    <t>Esquivar, Imparable, Furia, En pie de un salto, Saltar, Solitario (4+)</t>
  </si>
  <si>
    <t>Ausweichen, Rasend, Aufspringen, Schweres Gerät, Springen, Einzelgänger (4+)</t>
  </si>
  <si>
    <t>Esquive, Frénésie, Rétablissement, Juggernaut, Saut, Solitaire (4+)</t>
  </si>
  <si>
    <t>AAZ</t>
  </si>
  <si>
    <t>Lucien Swift</t>
  </si>
  <si>
    <t>Two for One: The Swift Twins must be hired as a pair and count as two Star Players. However, if either Lucien or Valen is removed from play due to suffering a KO’d or Casualty! result on the Injury table, the other replaces the Loner (4+) trait with the Loner (2+) trait</t>
  </si>
  <si>
    <t>Dos por uno: Los gemelos veloces deben ser contratados en pareja y cuentan como dos jugadores estrella. Sin embargo, si Lucien o Valen es retirado del juego debido a un resultado de KO o Herido en la tabla de lesiones, el otro sustituye el rasgo de solitario (4+) por el rasgo de solitario (2+)</t>
  </si>
  <si>
    <t>Zwei zum Preis von einem: Die Swift-Zwillinge müssen als Paar angeheuert werden und zählen als zwei Starspieler.  Aber wenn Lucien oder Valien durch ein Ereignis K.O. oder Verlust auf der Verletzungstabelle aus dem Spiel entfernt werden, ersetzt der andere das Merkmal Einzelgänger (4+) durch Einzelgänger (2+).</t>
  </si>
  <si>
    <t>Deux pour Un : Les Swift Twins doivent être recrutés ensemble et comptent comme deux Star Players. Cependant, si Lucien ou Valen est retiré du jeu à cause d'un résultat KO ou Eliminé ! sur le tableau des blessures, l'autre remplace le trait Solitaire (4+) par Solitaire (2+).</t>
  </si>
  <si>
    <t>Block, Loner (4+), Mighty Blow (+1), Tackle</t>
  </si>
  <si>
    <t>Placar, Solitario (4+), Golpe mortífero (+1), Placaje defensivo</t>
  </si>
  <si>
    <t>Block, Einzelgänger (4+), Knochenbrecher (+1), Tackle</t>
  </si>
  <si>
    <t>Blocage, Solitaire (4+), Châtaigne (+1), Tacle</t>
  </si>
  <si>
    <t>ABA</t>
  </si>
  <si>
    <t>Valen Swift</t>
  </si>
  <si>
    <t>Accurate, Loner (4+), Nerves of Steel, Pass, Safe Pass, Sure Hands</t>
  </si>
  <si>
    <t>Precisión, Solitario (4+), Nervios de acero, Pasar, Pase seguro, Manos seguras</t>
  </si>
  <si>
    <t>Zielsicher, Einzelgänger (4+), Nerven aus Stahl, Wurfsicher, Sicherer Pass, Ballgefühl</t>
  </si>
  <si>
    <t>Précision, Solitaire (4+), Nerfs d’acier, Passe, Passe Assurée, Prise sûre</t>
  </si>
  <si>
    <t>ABB</t>
  </si>
  <si>
    <t>Lord Borak</t>
  </si>
  <si>
    <t>Lord of Chaos: A team that includes Lord Borak gains an extra Team re-roll for the first half of the game. If this Team re-roll is not used during the first half, it may be carried over into the second half. However, if Lord Borak is removed from play before this re-roll is used, it is lost</t>
  </si>
  <si>
    <t>Señor del Caos: Un equipo que incluye a Lord Borak gana una segunda oportunidad para la primera mitad del partido. Si esta segunda oportunidad no se usa durante la primera mitad, puede ser llevada a la segunda mitad. Sin embargo, si Lord Borak es retirado del juego antes de que se use, se pierde...</t>
  </si>
  <si>
    <t>Chaosfürst: Ein Team, das Lord Borak enthält, erhält einen zusätzlichen Team-Wiederholungswurf für die erste Halbzeit des Spiels.  Falls dieser Team-Wiederholungswurf während der ersten Halbzeit nicht benutzt wird, kann er in die zweite Halbzeit übertragen werden.  Aber falls Lord Borak aus dem Spiel entfernt wird, bevor dieser Wiederholungswurf benutzt wird, geht er verloren.</t>
  </si>
  <si>
    <t xml:space="preserve">Seigneur du Chaos : Une équipe qui inclut Lord Borak gagne une relance d'équipe supplémentaire pour la première mi-temps. Si elle n'est pas utilisée pour le première mi-temps, elle est transférée pour la seconde mi-temps. Cependant, si Lord Borak est retiré du jeu avant l'utilisation de cette relance, elle est alors perdue. </t>
  </si>
  <si>
    <t>Block, Dirty Player (+2), Loner (4+), Mighty Blow (+1), Sneaky Git</t>
  </si>
  <si>
    <t>Placar, Juego sucio (+2), Solitario (+4), Golpe mortífero (+1), Rastrero</t>
  </si>
  <si>
    <t>Block, Brutal (+2), Einzelgänger (4+), Knochenbrecher (+1), Heimtückisch</t>
  </si>
  <si>
    <t>Blocage, Joueur Déloyal (+2), Solitaire (4+), Châtaigne (+1), Sournois</t>
  </si>
  <si>
    <t>ABC</t>
  </si>
  <si>
    <t>Bryce 'the Slice' Cambuel</t>
  </si>
  <si>
    <t>Ghostly Flames: Once por half, when Bryce makes the Chainsaw Attack Special action as part of a Blitz action, he may add +4 to the Armour roll against the opponent rather than +3</t>
  </si>
  <si>
    <t>Llamas fantasmales: Una vez por parte, cuando Bryce hace la acción especial de Ataque con Motosierra como parte de una acción Penetración, puede añadir +4 a la tirada de Armadura contra el oponente en lugar de +3</t>
  </si>
  <si>
    <t>Geisterhafte Flammen: Einmal pro Halbzeit, wenn Bryce einen Kettensägenangriff als Teil einer Blitz-Aktion macht, darf er +4 anstatt +3 zum Rüstungswurf des Gegners addieren.</t>
  </si>
  <si>
    <t>Flammes Spectrales : Une fois par match, quand Bryce utilise le trait Tronçonneuse alors qu'il réalise un Blitz, il peut ajouter un modificateur de +4 à son jet d'Armure contre l'adversaires au lieu de +3</t>
  </si>
  <si>
    <t>Chainsaw, Loner (4+), Regeneration, Secret Weapon, Stand Firm, Thick Skull</t>
  </si>
  <si>
    <t>Motosierra, Solitario (4+), Regeneración, Arma secreta, Mantenerse firme, Cabeza dura</t>
  </si>
  <si>
    <t>Kettensäge, Einzelgänger (4+), Regeneration, Versteckte Waffe, Standfest, Thick Skull</t>
  </si>
  <si>
    <t>Tronçonneuse, Solitaire (4+), Régénération, Arme Secrète, Stabilité, Crâne épais</t>
  </si>
  <si>
    <t>ABD</t>
  </si>
  <si>
    <t>Wilhelm Chaney</t>
  </si>
  <si>
    <t>Savage Mauling: Once per game, when Wilhelm makes an Injury roll against an opposing player, he may choose to re-roll the result</t>
  </si>
  <si>
    <t>Auyido salvaje: Una vez por partido, cuando Wilhelm hace una tirada de lesión contra un jugador contrario, puede elegir volver a tirar el resultado</t>
  </si>
  <si>
    <t>Wildes Zerfleischen: Einmal pro Spiel, wenn Wilhelm einen Verletzungswurf gegen einer gegnerische Spieler macht, darf er den Wurf wiederholen.</t>
  </si>
  <si>
    <t>Ecrasement Sauvage : Une fois par match, quand Wilhelm réalise un jet de Blessure contre un adversaire, il peut décider de relancer ce jet.</t>
  </si>
  <si>
    <t>Catch, Claws, Frenzy, Loner (4+), Regeneration, Wrestle</t>
  </si>
  <si>
    <t>Atrapar, Garras, Furia, Solitario (4+), Regeneración, Forcejear</t>
  </si>
  <si>
    <t>Fangsicher, Klauen, Rasend, Einzelgänger (4+), Regeneration, Wrestling</t>
  </si>
  <si>
    <t>Réception , Griffes, Frénésie, Solitaire (4+), Régénération, Lutte</t>
  </si>
  <si>
    <t>ABE</t>
  </si>
  <si>
    <t>Gretchen Wächter</t>
  </si>
  <si>
    <t>Incorporeal: Once per game, after making an Agility test to dodge, Gretchen may choose to modify the dice roll by adding her Strength characteristic to it</t>
  </si>
  <si>
    <t>Incorporal: Una vez por partido, después de hacer una tirada de agilidad para esquivar, Gretchen puede elegir modificar la tirada de los dados añadiendo su característica de fuerza.</t>
  </si>
  <si>
    <t>Körperlos: Einmal pro Spiel, nachdem Gretchen einen Geschicklichkeitstest abgelegt hat, um auszuweichen, kann sie den Würfelwurf modifizieren, indem sie ihren Stärkewert hinzuaddiert.</t>
  </si>
  <si>
    <t>Ethérée : Une fois par match, après un test d'Agilité pour Esquiver, Gretchen peut décider de modifier le résultat en y ajoutant sa caractéristique de Force</t>
  </si>
  <si>
    <t>Disturbing Presence, Dodge, Foul Appearance, Jump Up, Loner (4+), No Hands, Regeneration, Shadowing, Side Step</t>
  </si>
  <si>
    <t>Presencia perturbadora, Esquivar, Apariencia asquerosa, En pie de un salto, Solitario (4+), Sin manos, Regeneración, Perseguir, Echarse a un lado</t>
  </si>
  <si>
    <t>Verstörende Präsenz, Ausweichen, Abstoßendes Aussehen, Aufspringen, Einzelgänger (4+), Keine Hände, Regeneration, Manndeckung, Gewandt</t>
  </si>
  <si>
    <t>Présence Perturbante, Esquive, Répulsion, Rétablissement, Solitaire (4+), Sans les Mains, Régénération, Poursuite, Glissade Contrôlée</t>
  </si>
  <si>
    <t>ABF</t>
  </si>
  <si>
    <t>Mighty Zug</t>
  </si>
  <si>
    <t>Crushing Blow: Once per game, when an opposition player is Knocked Down as the result of a Block action performed by Zug, you may apply an additional +1 modifier to the Armour roll. This modifier may be applied after the roll has been made</t>
  </si>
  <si>
    <t>Golpe de aplastamiento: Una vez por partida, cuando un jugador oponente es derribado como resultado de una acción de bloqueo realizada por Zug, puedes aplicar un modificador adicional +1 a la tirada de Armadura. Este modificador puede aplicarse después de que se haya realizado la tirada)</t>
  </si>
  <si>
    <t>Schmetterschlag: Einmal pro Spiel, wenn ein gegnerischer Spieler als Folge einer von Zug ausgeführten Blocken-Aktion zu Boden geht,  kannst du einen zusätzlichen Modifikator von +1 auf den Rüstungswurf anwenden.  Dieser Modifikator darf angewendet werde nachdem der Wurf abgelegt wurde.</t>
  </si>
  <si>
    <t>Coup Destructeur : Une fois par match, quand un joueur adverse est plaqué en résultat d'un Blocage de Zug, vous pouvez appliquer un modificateur additionnel de +1 au jet d'Armure.Ce modificateur peut être appliqué après le jet de dés.</t>
  </si>
  <si>
    <t>Block, Loner (4+), Mighty Blow (+1)</t>
  </si>
  <si>
    <t>Placar, Solitario (4+), Golpe mortífero (+1)</t>
  </si>
  <si>
    <t>Block, Einzelgänger (4+), Knochenbrecher (+1)</t>
  </si>
  <si>
    <t>Blocage, Solitaire (4+), Châtaigne (+1)</t>
  </si>
  <si>
    <t>ABG</t>
  </si>
  <si>
    <t>Grashnak Blackhoof</t>
  </si>
  <si>
    <t>Gored by the Bull: Once per game, when Grashnak performs a Blitz action, Grashnak may roll one additional Block dice against the opposition player, regardless of the opposition player's Strenght, to a maximum of three Block dice. If Grashnak performs a second Block actuion due to the Frenzy skill, this second Black action will also benefit from this rule.</t>
  </si>
  <si>
    <t>Corneado por el toro: Una vez por partida, cuando Grashnak realiza una acción de penetración, Grashnak puede tirar un dado de placar adicional contra el jugador contrario, independientemente de la Fuerza del jugador contrario, hasta un máximo de tres dados de placaje. Si Grashnak realiza una segunda acción de placar debido a la habilidad Furia, esta segunda acción de placar también se beneficiará de esta regla.</t>
  </si>
  <si>
    <t>Vom Stier durchbohrt: Einmal pro Spiel, wenn Grashnak eine Blitzaktion durchführt, darf er einen zusätzlichen Blockwürfel gegen den gegnerischen Spieler werfen, unabhängig von dessen Stärke, bis zu einem Maximum von drei Blockwürfeln. Wenn Grashnak aufgrund der Fähigkeit Raserei eine zweite Block-Aktion durchführt, profitiert auch diese zweite Block-Aktion von dieser Regel.</t>
  </si>
  <si>
    <t>Gored by the Bull : Une fois par partie, lorsque Grashnak effectue une action Blitz, Grashnak peut lancer un dé de blocage supplémentaire contre le joueur adverse, quelle que soit la Force de ce dernier, jusqu'à un maximum de trois dés de blocage. Si Grashnak effectue une seconde action de blocage grâce à la compétence Frenzy, cette seconde action de blocage bénéficiera également de cette règle.</t>
  </si>
  <si>
    <t>Fenzy, Horns, Loner (4+), Mighty Blow (+1), Thick Skull, Unchannelled Fury</t>
  </si>
  <si>
    <t>Furia, Cuernos, Solitario (4+), Golpe Mortífero (+1), Cabeza Dura, Ira Descontrolada</t>
  </si>
  <si>
    <t>Rasend, Hörner, Einzelgänger (4+), Knochenbrecher (+1), Robust, Zielloser Zorn</t>
  </si>
  <si>
    <t>Frénésie, Cornes, Solitaire (4+), Cornes, Châtaigne (+1), Crâne épais, Fureur Débridée</t>
  </si>
  <si>
    <t>ABH</t>
  </si>
  <si>
    <t>Scyla Anfingrimm</t>
  </si>
  <si>
    <t>Fury of the Blood God: Once per game, if Scyla rolls a 1 for his Unchannelled Fury roll after declaring a Block action, instead of applying the usual efects of Unchannelled Fury, Scyla may perform two Block actions instead.</t>
  </si>
  <si>
    <t>Furia del Dios de la Sangre: Una vez por partida, si Scyla saca un 1 en su tirada de Ira Descontrolada tras declarar una acción de Placar, en lugar de aplicar los efectos habituales de Ira Descontrolada, Scyla puede realizar dos acciones de Placar en su lugar.</t>
  </si>
  <si>
    <t>Zorn des Blutgottes: Wenn Scyla einmal pro Spiel eine 1 für seinen Wurf "Ungezähmter Zorn" würfelt, nachdem er eine Block-Aktion deklariert hat, kann er statt der üblichen Wirkungen von "Ungezähmter Zorn" zwei Block-Aktionen durchführen.</t>
  </si>
  <si>
    <t>Fureur du dieu du sang : Une fois par partie, si Scyla obtient un 1 à son jet de Fureur non canalisée après avoir déclaré une action de blocage, au lieu d'appliquer les effets habituels de Fureur non canalisée, Scyla peut effectuer deux actions de blocage à la place.</t>
  </si>
  <si>
    <t>Claws, Frenzy, Loner (4+), Mighty Blow (+1), Prehensile Tail, Thick Skull, Unchannelled Fury</t>
  </si>
  <si>
    <t>Garras, Furia, Solitario (4+), Golpe Mortífero (+1), Cola Prensil, Cabeza Dura, Ira Descontrolada</t>
  </si>
  <si>
    <t>Klauen, Rasend, Einzelgänger (4+), Knochenbrecher (+1), Klammerschwanz, Robust, Zielloser Zorn</t>
  </si>
  <si>
    <t>Griffes, Frénésie, Solitaire (4+), Châtaigne (+1), Queue préhensile, Crâne épais, Fureur Débridée</t>
  </si>
  <si>
    <t>ABI</t>
  </si>
  <si>
    <t>Max Spleenripper</t>
  </si>
  <si>
    <t>Maximum Carnage: Once per game, after Max performs a Chainsaw Attack Special action he may immediately perform another Chainsaw Attack Special action that targets a different opposition player.</t>
  </si>
  <si>
    <t>Carnicería máxima: Una vez por partida, después de que Max realice una acción especial de ataque con motosierra, puede realizar inmediatamente otra acción especial de ataque con motosierra que tenga como objetivo a otro jugador rival.</t>
  </si>
  <si>
    <t>Maximales Gemetzel: Einmal pro Spiel kann Max, nachdem er eine Kettensägenangriff-Spezialaktion durchgeführt hat, sofort eine weitere Kettensägenangriff-Spezialaktion durchführen, die einen anderen gegnerischen Spieler zum Ziel hat.</t>
  </si>
  <si>
    <t>Carnage maximum : Une fois par partie, après que Max a effectué une action spéciale d'attaque à la tronçonneuse, il peut immédiatement effectuer une autre action spéciale d'attaque à la tronçonneuse qui cible un joueur adverse différent.</t>
  </si>
  <si>
    <t>Chainsaw, Loner (4+), Secret Weapon</t>
  </si>
  <si>
    <t>Motosierra, Solitario (4+), Arma Secreta</t>
  </si>
  <si>
    <t>Kettensäge, Einzelgänger (4+), Versteckte Waffe</t>
  </si>
  <si>
    <t>Tronçonneuse, Solitaire (4+), Arme Secrète</t>
  </si>
  <si>
    <t>HalflingThimbleCup</t>
  </si>
  <si>
    <t>WorldsEdgeSuperleague</t>
  </si>
  <si>
    <t>FavouredOf</t>
  </si>
  <si>
    <t>FavouredOfWorldsEdgeSuperleagueBadlandsBrawl</t>
  </si>
  <si>
    <t>x</t>
  </si>
  <si>
    <t>Italiano</t>
  </si>
  <si>
    <t>TD</t>
  </si>
  <si>
    <t>INT</t>
  </si>
  <si>
    <t>KARI COLDSTEEL</t>
  </si>
  <si>
    <t>PAPA SKULLBONES</t>
  </si>
  <si>
    <t>GALANDRIL SILVERWATER</t>
  </si>
  <si>
    <t>KROT SHOCKWHISKER</t>
  </si>
  <si>
    <t>AYLEEN ANDAR</t>
  </si>
  <si>
    <t>PROFESSOR FRÖNKELHEIM</t>
  </si>
  <si>
    <t>MUNGO SPINECRACKER</t>
  </si>
  <si>
    <t>FINK DA FIXER</t>
  </si>
  <si>
    <t>SCHIELUND SCHARLITAN</t>
  </si>
  <si>
    <t>CHAOS SORCERER</t>
  </si>
  <si>
    <t>DRUCHII SPORTS SORCERESS</t>
  </si>
  <si>
    <t>ASUR HIGH MAGE</t>
  </si>
  <si>
    <t>SLANN MAGE-PRIEST</t>
  </si>
  <si>
    <t>HORTICULTURALIST OF NURGLE</t>
  </si>
  <si>
    <t>SPORTS NECROTHEURGE</t>
  </si>
  <si>
    <t>WARLOCK ENGINEER</t>
  </si>
  <si>
    <t>OGRE FIREBELLY</t>
  </si>
  <si>
    <t>NIGHT GOBLIN SHAMAN</t>
  </si>
  <si>
    <t>HORATIO X. SCHOTTENHEIM</t>
  </si>
  <si>
    <t>PARTIAL REFEREE</t>
  </si>
  <si>
    <t>RANULF ‘RED’ HOKULI</t>
  </si>
  <si>
    <t>THORON KORENSSON</t>
  </si>
  <si>
    <t>JORM THE OGRE</t>
  </si>
  <si>
    <t>THE TRUNDLEFOOT TRIPLETS</t>
  </si>
  <si>
    <t>WAAAGH! DRUMMER</t>
  </si>
  <si>
    <t>CAVORTING NURGLINGS</t>
  </si>
  <si>
    <t>DWARFEN RUNESMITH</t>
  </si>
  <si>
    <t>HALFLING HOT POT</t>
  </si>
  <si>
    <t>MASTER OF BALLISTICS</t>
  </si>
  <si>
    <t>BOTTLES OF HEADY BREW</t>
  </si>
  <si>
    <t>TEAM MASCOT</t>
  </si>
  <si>
    <t>MEDICINAL UNGUENT</t>
  </si>
  <si>
    <t>MCMURTY’S BURGER EMPORIUM</t>
  </si>
  <si>
    <t>FARBLAST &amp; SONS ORDNANCE SOLUTIONS</t>
  </si>
  <si>
    <t>STAR INSURANCE GUILD</t>
  </si>
  <si>
    <t>STEELHELM’S SPORTING EMPORIUM</t>
  </si>
  <si>
    <t>Compatibile con Excel, Google Sheets (basta caricare Excel su Google Drive) e Libre Office</t>
  </si>
  <si>
    <t>TO PRINT: Select the cells you want to print and in Print options choose the option print selected cells.</t>
  </si>
  <si>
    <t>PARA IMPRIMIR: Selecciona las celdas que quieres imprimir y en opciones de Imprimir elige la opción imprimir celdas seleccionadas.</t>
  </si>
  <si>
    <t>UM MIT: Markieren Sie die Zellen, die Sie drucken möchten, und wählen Sie in den Druckoptionen die Option Markierte Zellen drucken.</t>
  </si>
  <si>
    <t>POUR IMPRIMER: Sélectionnez les cellules que vous souhaitez imprimer et, dans les options d'impression, choisissez l'option d'impression des cellules sélectionnées.</t>
  </si>
  <si>
    <t>Si algún jugador muere o es retirado, se debe incluir en la pestaña de jugadores muertos y retirados incluyendo el coste para que el roster lo calcule automáticmanete.</t>
  </si>
  <si>
    <t>Si un joueur meurt ou est retiré, il doit être inclus dans l'onglet des joueurs morts et retirés, y compris le coût, afin que le tableau de service le calcule automatiquement.</t>
  </si>
  <si>
    <t>Wenn ein Spieler stirbt oder zurückgezogen wird, sollte er in der Registerkarte "Tote und zurückgezogene Spieler" einschließlich der Kosten aufgeführt werden, damit der Dienstplan diese automatisch berechnet.</t>
  </si>
  <si>
    <t>Se un giocatore muore o viene ritirato, dovrebbe essere incluso nella scheda dei giocatori morti e ritirati includendo il costo in modo che il roster lo calcoli automaticamente.</t>
  </si>
  <si>
    <t>If a player dies or is withdrawn, he should be included in the dead and withdrawn players tab including the cost so that the roster automatically calculates it.</t>
  </si>
  <si>
    <t>Le nuove abilità o attributi di caratteristiche acquisite possono essere scelte nella tabella sotto il roster, in questa tabella puoi selezionare l’abilità o l’attributo di caratteristica e se è stata scelta o è stato un tiro casuale. Puoi anche includere abilità custom o variazioni di prezzi custom. Excel calcolerà automaticamente il prezzo delle abilità o degli attributi di caratteristiche acquisite sottraendo il costo dal totale dei punti esperienza, mostrando anche quanti punti esperienza hai ancora da spendere.</t>
  </si>
  <si>
    <t>L’abilità Low Cost Lineman degli snotiling è attivata di default.</t>
  </si>
  <si>
    <t>PER STAMPARE: Selezionare le celle che vuoi stampare e nelle opzioni di Stampa scegliere l’opzione “stampa le celle selezionate”.</t>
  </si>
  <si>
    <t>Puoi anche registrare gli infortuni subiti, qualsiasi perdita di attributi di caratteristiche sarà rispecchiato nel roster, nel caso di infortuni permanenti sarà evidenziato nelle caselle delle abilità. Se il giocatore deve saltare la prossima partita o è temporaneamente ritirato per il resto della stagione, lo puoi spuntare nella prima casella vicino alle caselle delle azioni registrate dei giocatori, automaticamente Excel non conteggerà quel giocatore.</t>
  </si>
  <si>
    <t>Nella scheda della partita puoi includere le vincite e la variazione dei Tifosi Dedicati che saranno mostrati con il calcolo fatto automaticamente nella scheda del roster.</t>
  </si>
  <si>
    <t>La scheda Schede di squadra è completamente automatica, è solo necessario, se lo si desidera, aggiungere immagini per i giocatori o cambiare il logo della NAF in quello della squadra.</t>
  </si>
  <si>
    <t>If you want help so I can carry on updating the excel rosters, you can donate in the following link. Thank you very much!</t>
  </si>
  <si>
    <t>Si quieres ayudar a que continúe con los rosters en excel, puedes donar en el siguiente link. ¡Muchas gracias!</t>
  </si>
  <si>
    <t>Si vous voulez m'aider à continuer avec les excel rosters, vous pouvez faire un don au lien suivant, merci beaucoup!</t>
  </si>
  <si>
    <t>Wenn Sie mir helfen wollen, mit den Excel-Rastern weiterzumachen, können Sie unter folgendem Link spenden, herzlichen Dank!</t>
  </si>
  <si>
    <t>Se volete aiutarmi a continuare con i roster in excel, potete donare al seguente link, grazie mille!</t>
  </si>
  <si>
    <t>DONATE</t>
  </si>
  <si>
    <t xml:space="preserve">Khorne    </t>
  </si>
  <si>
    <t>EN</t>
  </si>
  <si>
    <t>ES</t>
  </si>
  <si>
    <t>DE</t>
  </si>
  <si>
    <t>FR</t>
  </si>
  <si>
    <t>Reliable Ringers</t>
  </si>
  <si>
    <t>ILEGAL</t>
  </si>
  <si>
    <t>COMBO</t>
  </si>
  <si>
    <t>TOTAL</t>
  </si>
  <si>
    <t>Mercenaries</t>
  </si>
  <si>
    <t>Base</t>
  </si>
  <si>
    <t>Stunty Superstar</t>
  </si>
  <si>
    <t>Stunty</t>
  </si>
  <si>
    <t>Right Stuff</t>
  </si>
  <si>
    <t>Legendary Linemen</t>
  </si>
  <si>
    <t>Base Combo</t>
  </si>
  <si>
    <t>Brutal Blockers</t>
  </si>
  <si>
    <t>Bona Fide Big Guy</t>
  </si>
  <si>
    <t>Combo Stunty</t>
  </si>
  <si>
    <t>Combo Linemen</t>
  </si>
  <si>
    <t>Combo Blockers</t>
  </si>
  <si>
    <t>Combo Ringers</t>
  </si>
  <si>
    <t>Combo Big Guys</t>
  </si>
  <si>
    <t>Dirty Player (+1), Sneaky Git, Loner (5+)</t>
  </si>
  <si>
    <t>Dirty Player (+1)</t>
  </si>
  <si>
    <t>Sneaky Git</t>
  </si>
  <si>
    <t>Dirty Player (+2), Sneaky Git, Loner (5+)</t>
  </si>
  <si>
    <t>B</t>
  </si>
  <si>
    <t>Dirty Player (+2)</t>
  </si>
  <si>
    <t>Hypnotic Gaze, Loner (5+)</t>
  </si>
  <si>
    <t>Always hungry, Projectile Vomit, Really Stupid and Regeneration, -Bone Head, +1AG</t>
  </si>
  <si>
    <t>Bombardier, Secret Weapon</t>
  </si>
  <si>
    <t>C</t>
  </si>
  <si>
    <t>Secret Weapon</t>
  </si>
  <si>
    <t>Stab, Secret Weapon</t>
  </si>
  <si>
    <t>Frenzy, Unchannelled Fury, Horns, -Throw Team Mate, -Bone Head</t>
  </si>
  <si>
    <t>D</t>
  </si>
  <si>
    <t>Stab</t>
  </si>
  <si>
    <t>Mighty Blow (+2), Loner (5+)</t>
  </si>
  <si>
    <t>Frenzy, Animal Savagery, Claw, Prehensile Tail, -Throw Team Mate, -Bone Head</t>
  </si>
  <si>
    <t>Chainsaw, No Hands, Secret Weapon</t>
  </si>
  <si>
    <t>E</t>
  </si>
  <si>
    <t>Chainsaw</t>
  </si>
  <si>
    <t>No Hands</t>
  </si>
  <si>
    <t>Mighty Blow (+2), Loner (5+), -Bone Head</t>
  </si>
  <si>
    <t>Pogo Stick</t>
  </si>
  <si>
    <t>F</t>
  </si>
  <si>
    <t>Ball &amp; Chain, Secret Weapon, No Hands, +2ST, -1MA</t>
  </si>
  <si>
    <t>Ball &amp; Chain, No hands, Really Stupid, Secret Weapon, +2ST, -Bone Head, -1MA</t>
  </si>
  <si>
    <t>Ball &amp; Chain, Secret Weapon, No Hands, +3ST, -2MA</t>
  </si>
  <si>
    <t>Ball &amp; Chain</t>
  </si>
  <si>
    <t>O</t>
  </si>
  <si>
    <t>H</t>
  </si>
  <si>
    <t>I</t>
  </si>
  <si>
    <t>Hypnotic Gaze</t>
  </si>
  <si>
    <t>Mejoras Características</t>
  </si>
  <si>
    <t>Mejoras Características Precios</t>
  </si>
  <si>
    <t>J</t>
  </si>
  <si>
    <t>Always hungry</t>
  </si>
  <si>
    <t>Projectile Vomit</t>
  </si>
  <si>
    <t>Really Stupid</t>
  </si>
  <si>
    <t>K</t>
  </si>
  <si>
    <t>Unchannelled Fury</t>
  </si>
  <si>
    <t>L</t>
  </si>
  <si>
    <t>Animal Savagery</t>
  </si>
  <si>
    <t>Claw</t>
  </si>
  <si>
    <t>Prehensile Tail</t>
  </si>
  <si>
    <t>N</t>
  </si>
  <si>
    <t>No hands</t>
  </si>
  <si>
    <t>CCC</t>
  </si>
  <si>
    <t>DDD</t>
  </si>
  <si>
    <t>EEE</t>
  </si>
  <si>
    <t>ABJ</t>
  </si>
  <si>
    <t>Ball &amp; Chain, Loner (4+), Mighty Blow (+1), No Hands, Prehensile Tail, Secret Weapon</t>
  </si>
  <si>
    <t>Bola y cadena, Solitario (4+), Golpe mortífero (+1), Sin manos, Cola prensil, Arma secreta</t>
  </si>
  <si>
    <t>I'll Be Back: The first time in a game that Kreek is sent off due to his secret weapon, he is not sent off and instead may continue as part of the game.</t>
  </si>
  <si>
    <t>Ich bin gleich wieder da: Wenn Kreek zum ersten Mal in einem Spiel wegen seiner Geheimwaffe des Feldes verwiesen wird, wird er nicht verwiesen, sondern darf weiter mitspielen.</t>
  </si>
  <si>
    <t>Je reviendrai : La première fois que Kreek est exclu d'une partie à cause de son arme secrète, il n'est pas exclu et peut continuer à faire partie de la partie.</t>
  </si>
  <si>
    <t>Volveré: La primera vez que Kreek es expulsado en la partida debido a su arma secreta, no es expulsado y en su lugar puede continuar como parte del juego.</t>
  </si>
  <si>
    <t>Kreek 'The Verminator' Rustgouger</t>
  </si>
  <si>
    <t>ABK</t>
  </si>
  <si>
    <t>Barik Farblast</t>
  </si>
  <si>
    <t>Blast it!: Once per game, when Barik makes a Hail Mary Pass, he may re-roll any scatter results for determining where the ball lands, and any friendly player attempting to catch the ball gains an additional +1 modifier to the roll.</t>
  </si>
  <si>
    <t>Einzelgänger (4+), Knochenbrecher (+1), Standfest, Thick Skull, Wurzeln schlagen, Robust, Mitspieler werfen</t>
  </si>
  <si>
    <t>Knochenbrecher (+1), Standfest, Thick Skull, Wurzeln schlagen, Robust, Mitspieler werfen, Baum fällt!</t>
  </si>
  <si>
    <t>¡Pelotazo!: Una vez por partida, cuando Barik hace un Pase a lo loco, puede volver a tirar cualquier resultado de dispersión para determinar dónde cae el balón, y cualquier jugador amigo que intente atrapar el balón gana un modificador adicional de +1 a la tirada.</t>
  </si>
  <si>
    <t>Spreng ihn!: Wenn Barik einmal pro Spiel einen Immer am Ball, darf er alle Streuungsergebnisse wiederholen, um zu bestimmen, wo der Ball landet, und jeder befreundete Spieler, der versucht, den Ball zu fangen, erhält einen zusätzlichen Modifikator von +1 auf den Wurf.</t>
  </si>
  <si>
    <t>Faites-le sauter!: Une fois par partie, lorsque Barik fait une Passe désespérée, il peut relancer tout résultat de dispersion pour déterminer où le ballon atterrit, et tout joueur ami qui tente d'attraper le ballon gagne un modificateur supplémentaire de +1 au jet.</t>
  </si>
  <si>
    <t>RANDOM STADIUM TABLE</t>
  </si>
  <si>
    <t>UNUSUAL PLAYING SURFACE</t>
  </si>
  <si>
    <t>ROUGH &amp; READY STADIUM</t>
  </si>
  <si>
    <t>LUXURY STADIUM</t>
  </si>
  <si>
    <t>LOCAL CROWD</t>
  </si>
  <si>
    <t>STADIUM</t>
  </si>
  <si>
    <t>ABL</t>
  </si>
  <si>
    <t>Fungus the Loon</t>
  </si>
  <si>
    <t>Whirling Dervish: Once per activation, Fungus may re-roll the D6 when determining which direction he moves in.</t>
  </si>
  <si>
    <t>Derviche giratorio: Una vez por activación, Fungus puede volver a tirar el D6 al determinar en qué dirección se mueve.</t>
  </si>
  <si>
    <t>Wirbelnder Derwisch: Einmal pro Aktivierung darf Fungus einen D6-Wurf wiederholen, um zu bestimmen, in welche Richtung er sich bewegt.</t>
  </si>
  <si>
    <t>Derviche tourneur : une fois par activation, Fungus peut relancer le D6 pour déterminer dans quelle direction il se déplace.</t>
  </si>
  <si>
    <t>Derviscio vorticoso: una volta per attivazione, Fungus può rilanciare il D6 per determinare in quale direzione si muove.</t>
  </si>
  <si>
    <t>Ball &amp; Chain, Mighty Blow (+1), Loner (4+), No Hands, Secret Weapon, Stunty</t>
  </si>
  <si>
    <t>Bola y cadena, Golpe Mortífero (+1), Solitario (4+), Sin manos, Arma secreta, Escurridizo</t>
  </si>
  <si>
    <t>Morgenstern, Einzelgänger (4+), Knochenbrecher (+1), Versteckte Waffe, Keine Hände, Kleinwüchsig</t>
  </si>
  <si>
    <t>Chaîne et Boulet, Solitaire (4+), Châtaigne (+1), Sans les Mains, Arme Secrète, Minus</t>
  </si>
  <si>
    <t>ABM</t>
  </si>
  <si>
    <t>Bomber Dribblesnot</t>
  </si>
  <si>
    <t>Kaboom!: Once per game, if an opposition player catches a Bomb thrown by Bomber, you can choose to have it explode immediately rather than rolling to see if the player can throw it again.</t>
  </si>
  <si>
    <t>¡Kaboom!: Una vez por partida, si un jugador rival atrapa una bomba lanzada por el Bomber, puedes elegir que explote inmediatamente en lugar de tirar para ver si el jugador puede volver a lanzarla.</t>
  </si>
  <si>
    <t>Kabumm!: Wenn ein gegnerischer Spieler eine von Bomber geworfene Bombe fängt, kannst du einmal pro Spiel wählen, ob sie sofort explodieren soll, anstatt zu würfeln, um zu sehen, ob der Spieler sie erneut werfen kann.</t>
  </si>
  <si>
    <t>Kaboom!: Une fois par partie, si un joueur adverse attrape une bombe lancée par Bomber, vous pouvez choisir de la faire exploser immédiatement plutôt que de lancer un dé pour voir si le joueur peut la relancer.</t>
  </si>
  <si>
    <t>Kaboom!: Una volta per partita, se un giocatore avversario prende una Bomba lanciata da Bomber, puoi scegliere di farla esplodere immediatamente piuttosto che tirare per vedere se il giocatore può lanciarla di nuovo.</t>
  </si>
  <si>
    <t>Accurate, Bombardier, Dodge, Loner (4+), Right Stuff, Secret Weapon, Stunty</t>
  </si>
  <si>
    <t>Precisión, Bombardero, Esquivar, Solitario (4+), Humanoide bala, Arma Secreta, Escurridizo</t>
  </si>
  <si>
    <t>Zielsicher, Bombardier, Ausweichen, Einzelgänger (4+), Lebensmüde, Versteckte Waffe, Kleinwüchsig</t>
  </si>
  <si>
    <t>Précision, Bombardier, Esquive, Solitaire (4+), Poids Plume, Arme Secrète, Minus</t>
  </si>
  <si>
    <t>Bombardero, Presencia perturbadora, Esquivar, Solitario (3+), Echarse a un lado, Furtivo, Puñal, Escurridizo</t>
  </si>
  <si>
    <t>Animosity (all team), Pass, Sure Hands</t>
  </si>
  <si>
    <t>Animosity (all team), Block</t>
  </si>
  <si>
    <t>Norse GW</t>
  </si>
  <si>
    <t>Raider Lineman</t>
  </si>
  <si>
    <t>Block, Drunkard, Thick Skull</t>
  </si>
  <si>
    <t>Placar, Borracho, Cabeza dura</t>
  </si>
  <si>
    <t>Block, Trunkenbold, Robust</t>
  </si>
  <si>
    <t>Blocage, Ivrogne, Crâne épais</t>
  </si>
  <si>
    <t>Beer Boar</t>
  </si>
  <si>
    <t>Dodge, No Hands, Pick-me-up, Stunty, Titchy</t>
  </si>
  <si>
    <t>Esquivar, Sin manos, Recógeme, Escurridizo, Canijo</t>
  </si>
  <si>
    <t>Ausweichen, Keine Hände, Hol mich ab, Kleinwüchsig, Winzig</t>
  </si>
  <si>
    <t>Esquive, Sans les Mains, Viens me chercher, Minus, Microbe</t>
  </si>
  <si>
    <t>Catch, Dauntless, Pass, Strip Ball</t>
  </si>
  <si>
    <t>Atrapar, Agallas, Pasar, Robar balón</t>
  </si>
  <si>
    <t>Fangsicher, Unerschrocken, Wurfsicher, Ball entreißen</t>
  </si>
  <si>
    <t>Réception, Intrépide, Passe, Arracher le ballon</t>
  </si>
  <si>
    <t>Yhetee</t>
  </si>
  <si>
    <t xml:space="preserve">Norse GW </t>
  </si>
  <si>
    <t>Nórdicos GW</t>
  </si>
  <si>
    <t>Nordiques GW</t>
  </si>
  <si>
    <t>ABN</t>
  </si>
  <si>
    <t>ABO</t>
  </si>
  <si>
    <t>ABP</t>
  </si>
  <si>
    <t>Ivar Eriksson</t>
  </si>
  <si>
    <t>Raiding Party: Once per drive, whenever Ivar begins his activation, he may choose one Open player on his team within five squares. The chosen player may immediately move one square, ignoring Tackle Zones, though they must end this move Marking an opposition player.</t>
  </si>
  <si>
    <t>Grupo de asalto: Una vez por parte, siempre que Ivar comience su activación, puede elegir un jugador abierto de su equipo en un radio de cinco casillas. El jugador elegido puede mover inmediatamente una casilla, ignorando las zonas de defensa, aunque debe terminar este movimiento marcando a un jugador contrario.</t>
  </si>
  <si>
    <t>Überfallkommando: Einmal pro Zug, immer wenn Ivar seine Aktivierung beginnt, darf er einen offenen Spieler seines Teams innerhalb von fünf Feldern wählen. Der gewählte Spieler darf sich sofort um ein Feld bewegen und dabei die Angriffszone ignorieren, muss aber am Ende dieser Bewegung einen gegnerischen Spieler markieren.</t>
  </si>
  <si>
    <t>Groupe de raid: Une fois par entraînement, quand Ivar commence son activation, il peut choisir un joueur à découvert de son équipe dans un rayon de cinq cases. Le joueur choisi peut immédiatement se déplacer d'une case, en ignorant les zones de tacle, mais il doit terminer son déplacement en marquant un joueur adverse.</t>
  </si>
  <si>
    <t>Incursione: Una volta per unità, ogni volta che Ivar inizia la sua attivazione, può scegliere un giocatore aperto della sua squadra entro cinque caselle. Il giocatore scelto può immediatamente muovere di una casella, ignorando le Zone di Placcaggio, anche se deve terminare questo movimento marcando un giocatore avversario.</t>
  </si>
  <si>
    <t>Block, Guard, Loner (3+), Tackle</t>
  </si>
  <si>
    <t>Placar, Defensa, Solitario (3+), Placaje defensivo</t>
  </si>
  <si>
    <t>Blocage, Garde, Solitaire (3+), Tacle</t>
  </si>
  <si>
    <t>Block, Unterstützen, Einzelgänger (3+), Tackle</t>
  </si>
  <si>
    <t>Skrorg Snowpelt</t>
  </si>
  <si>
    <t>Pump Up the Crowd: Once per game, when Skrorg causes an opposition player to be removed as a Casualty as the result of a Block action, Skrorg's controlling coach gains one team re-roll. If this re-roll has not been used by the end of the drive, it is lost.</t>
  </si>
  <si>
    <t>Pompare la folla: Una volta per partita, quando Skrorg causa la rimozione di un giocatore avversario come vittima come risultato di un'azione di blocco, l'allenatore che controlla Skrorg guadagna un Ritira di squadra. Se questo Ritira non è stato utilizzato entro la fine del drive, viene perso.</t>
  </si>
  <si>
    <t>Gonfler la foule: Une fois par match, lorsque Skrorg fait en sorte qu'un joueur de l'équipe adverse soit retiré comme victime suite à une action de blocage, le coach qui contrôle Skrorg gagne une relance d'équipe. Si cette relance n'a pas été utilisée à la fin de l'action, elle est perdue.</t>
  </si>
  <si>
    <t>Die Menge anheizen: Einmal pro Spiel, wenn Skrorg einen gegnerischen Spieler durch eine Block-Aktion als Opfer aus dem Spiel nimmt, erhält der Trainer, der Skrorgs Team kontrolliert, einen neuen Wurf. Wenn dieser Wurf bis zum Ende des Spielzugs nicht genutzt wurde, geht er verloren.</t>
  </si>
  <si>
    <t>Inflar a la multitud: Una vez por partido, cuando Skrorg hace que un jugador del equipo contrario sea eliminado como baja como resultado de una acción de bloqueo, el entrenador que controla a Skrorg gana una segunda oportunidad de equipo. Si esta nueva segunda oportunidad no se ha utilizado al final de la parte, se pierde.</t>
  </si>
  <si>
    <t>Thorsson Stoutmead</t>
  </si>
  <si>
    <t>Beer Barrel Bash!: Once per drive, at the start of his activation, Thorsson may perform a Throw Keg Special action. When he does, select an opposition player within three squares of Thorsson and roll a D6. On a 3+, the player is immediately Knocked Down. However, on a 1, Thorsson is Knocked Down instead.</t>
  </si>
  <si>
    <t>¡Asalto de barril de cerveza!: Una vez por parte, al comienzo de su activación, Thorsson puede realizar una acción especial de lanzar barriles de cerveza. Cuando lo haga, selecciona un jugador rival en un radio de tres casillas de Thorsson y tira un D6. Con un 3+, el jugador es inmediatamente derribado. Sin embargo, con un 1, Thorsson es derribado.</t>
  </si>
  <si>
    <t>Bierfass-Bash!: Einmal pro Zug kann Thorsson zu Beginn seiner Aktivierung eine Sonderaktion "Bierfass werfen" durchführen. Wenn er dies tut, wählt er einen gegnerischen Spieler innerhalb von drei Feldern um Thorsson und wirft einen D6. Bei einer 3+ wird der Spieler sofort niedergeschlagen. Bei einer 1 wird Thorsson jedoch stattdessen zu Boden geschlagen.</t>
  </si>
  <si>
    <t>Bash du tonneau de bière!: Une fois par entraînement, au début de son activation, Thorsson peut effectuer une action spéciale Lancer le tonneau. Lorsqu'il le fait, choisissez un joueur adverse dans un rayon de trois cases de Thorsson et lancez un D6. Sur un 3+, le joueur est immédiatement mis à terre. Cependant, sur un 1, Thorsson est mis à terre à la place.</t>
  </si>
  <si>
    <t>Lancio del barile di birra!: Una volta per unità, all'inizio della sua attivazione, Thorsson può eseguire un'azione speciale Gettare il barile. Quando lo fa, seleziona un giocatore avversario entro tre caselle da Thorsson e tira un D6. Con un 3+, il giocatore viene immediatamente abbattuto. Tuttavia, con un 1, Thorsson viene invece abbattuto.</t>
  </si>
  <si>
    <t>Block, Drunkard, Loner (3+), Thick Skull</t>
  </si>
  <si>
    <t>Placar, Borracho, Solitario (3+), Cabeza dura</t>
  </si>
  <si>
    <t>Block, Trunkenbold, Einzelgänger (3+), Robust</t>
  </si>
  <si>
    <t>Blocage, Ivrogne, Solitaire (3+), Crâne épais</t>
  </si>
  <si>
    <t>Claws, Disturbing Presence, Juggernaut, Loner (4+), Mighty Blow (+1)</t>
  </si>
  <si>
    <t>Garras, Presencia perturbadora, Imparable, Solitario (4+), Golpe mortífero (+1)</t>
  </si>
  <si>
    <t>Klauen, Verstörende Präsenz, Schweres Gerät, Einzelgänger (4+), Knochenbrecher (+1)</t>
  </si>
  <si>
    <t>Griffes, Présence Perturbante, Juggernaut, Solitaire (4+), Châtaigne (+1)</t>
  </si>
  <si>
    <t>OldWorldClassicFavouredof</t>
  </si>
  <si>
    <t>NORSCAN SEER</t>
  </si>
  <si>
    <t>Amazon GW</t>
  </si>
  <si>
    <t>Amazonas GW</t>
  </si>
  <si>
    <t>Amazonen GW</t>
  </si>
  <si>
    <t>Amazones GW</t>
  </si>
  <si>
    <t>Eagle Warrior Linewomen</t>
  </si>
  <si>
    <t>Python Warrior Throwers</t>
  </si>
  <si>
    <t>Dodge, On the Ball, Pass, Safe Pass</t>
  </si>
  <si>
    <t>Piranha Warrior Blitzers</t>
  </si>
  <si>
    <t>Dodge, Hit and Run, Jump Up</t>
  </si>
  <si>
    <t>Jaguar Warrior Blockers</t>
  </si>
  <si>
    <t>Journey Eagle Warrior Linewomen</t>
  </si>
  <si>
    <t>Defensive, Dodge</t>
  </si>
  <si>
    <t>Esquivar, Atento al balón, Pasar, Pase seguro</t>
  </si>
  <si>
    <t>Ausweichen, Immer am Ball, Wurfsicher, Sicherer Pass</t>
  </si>
  <si>
    <t>Esquive, Sur le ballon, Passe, Passee Assurée</t>
  </si>
  <si>
    <t>Esquivar, Pegar y correr, En pie de un salto</t>
  </si>
  <si>
    <t>Ausweichen, Fahrerflucht, Aufspringen</t>
  </si>
  <si>
    <t>Esquive, Délit de fuite, Rétablissement</t>
  </si>
  <si>
    <t>Romper Defensas, Esquivar</t>
  </si>
  <si>
    <t>Wehrhaft, Ausweichen</t>
  </si>
  <si>
    <t>Défenseur, Esquive</t>
  </si>
  <si>
    <t>ABQ</t>
  </si>
  <si>
    <t>ABR</t>
  </si>
  <si>
    <t>ABS</t>
  </si>
  <si>
    <t>Estelle la Veneaux</t>
  </si>
  <si>
    <t>Baleful Hex: Once per game, at the beggining of Estelle's activation, choose an opposition player within five squares and roll a D6. On 2+ the chosen player loses their Tackle Zones and cannot be activated until the end of the opposition's next team turn.</t>
  </si>
  <si>
    <t>Maleficio: Una vez por partido, al comienzo de la activación de Estelle, elige un jugador del equipo contrario en un radio de cinco casillas y tira un D6. Con un 2+, el jugador elegido pierde sus zonas de defensa y no puede ser activado hasta el final del siguiente turno del equipo contrario.</t>
  </si>
  <si>
    <t>Unheilvolle Verhexung: Einmal pro Spiel, zu Beginn von Estelles Aktivierung, wähle einen gegnerischen Spieler innerhalb von fünf Feldern und wirf einen D6. Bei 2+ verliert der gewählte Spieler seine Angriffszonen und kann bis zum Ende des nächsten Zuges des gegnerischen Teams nicht aktiviert werden.</t>
  </si>
  <si>
    <t>Hexagone maléfique : Une fois par partie, au début de l'activation d'Estelle, choisissez un joueur adverse dans un rayon de cinq cases et lancez un D6. Sur 2+, le joueur choisi perd ses zones de tacle et ne peut être activé avant la fin du prochain tour de l'équipe adverse.</t>
  </si>
  <si>
    <t>Esagono balioso: Una volta per partita, all'inizio dell'attivazione di Estelle, scegli un giocatore avversario entro cinque caselle e tira un D6. Con 2+ il giocatore scelto perde le sue Zone di Placcaggio e non può essere attivato fino alla fine del turno successivo della squadra avversaria.</t>
  </si>
  <si>
    <t>Disturbing Presence, Dodge, Guard, Loner (4+), Sidestep</t>
  </si>
  <si>
    <t>Presencia perturbadora, Esquivar, Defensa, Solitario (4+), Echarse a un lado</t>
  </si>
  <si>
    <t>Verstörende Präsenz, Ausweichen, Unterstützen, Einzelgänger (4+), Gewandt</t>
  </si>
  <si>
    <t>Présence Perturbante, Esquive, Garde, Solitaire (4+), Glissade Contrôlée</t>
  </si>
  <si>
    <t>Glotl Stop</t>
  </si>
  <si>
    <t>Boa Kon'ssstriktr</t>
  </si>
  <si>
    <t>Look Into My Eyes: Once per game, if Boa starts his activation Marking an opposition player with the ball, he may roll a D6. on a 1, nothing happens. On a 2+, the opposition player loses possesion of the ball, Boa immediately gains possesion of the ball, and Boa's activation immediately ends.</t>
  </si>
  <si>
    <t>Guardami negli occhi: una volta per partita, se Boa inizia la sua attivazione marcando un giocatore avversario con la palla, può tirare un D6. con un 1, non succede nulla. Con un 2+, il giocatore avversario perde il possesso della palla, Boa ne entra immediatamente in possesso e l'attivazione di Boa termina immediatamente.</t>
  </si>
  <si>
    <t>Schau mir in die Augen: Einmal pro Spiel, wenn Boa seine Aktivierung damit beginnt, einen gegnerischen Spieler mit dem Ball zu markieren, darf er einen Würfel werfen. Bei einer 1 passiert nichts. Bei einer 2+ verliert der gegnerische Spieler den Ballbesitz, Boa erhält sofort den Ballbesitz und Boas Aktivierung endet sofort.</t>
  </si>
  <si>
    <t>Mira en mis ojos: Una vez por partido, si Boa comienza su activación marcando a un jugador rival con el balón, puede tirar un D6. Con un 1, no ocurre nada. Con un 2+, el jugador contrario pierde la posesión del balón, Boa gana inmediatamente la posesión del balón, y la activación de Boa termina inmediatamente.</t>
  </si>
  <si>
    <t>Look Into My Eyes : Une fois par partie, si Boa commence son activation en marquant un joueur adverse avec le ballon, il peut lancer un D6. Sur un 1, rien ne se passe. Sur un 2+, le joueur adverse perd la possession du ballon, Boa prend immédiatement possession du ballon, et l'activation de Boa se termine immédiatement.</t>
  </si>
  <si>
    <t>Primal Savagery: Once por game, when Glotl fails an Animal Savagery roll, it may lash out at an opposition player rather than a team-mate.</t>
  </si>
  <si>
    <t>Sauvagerie primitive : Une fois par partie, lorsque Glotl rate un jet de Sauvagerie animale, il peut s'en prendre à un joueur adverse plutôt qu'à un coéquipier.</t>
  </si>
  <si>
    <t>Ursprüngliche Wildheit: Wenn Glotl einmal pro Spiel bei einem Wurf für Tierische Wildheit scheitert, kann er einen gegnerischen Spieler statt eines Mitspielers angreifen.</t>
  </si>
  <si>
    <t>Furia primordiale: Una volta per partita, quando Glotl fallisce un tiro di Furia Animale, può scagliarsi contro un giocatore avversario anziché contro un compagno di squadra.</t>
  </si>
  <si>
    <t>Animal Savagery, Frenzy, Loner (4+), Migthy Blow (+1), Prehensile Tail, Stand Firm, Thick Skull</t>
  </si>
  <si>
    <t>Salvajismo primitivo: Una vez por partido, cuando Glotl falla una tirada de Ferocidad animal, puede golpear contra un jugador rival en lugar de contra un compañero.</t>
  </si>
  <si>
    <t>Ferocidad animal, Furia, Solitario (4+), Golpe mortífero (+1), Cola prensil, Mantenerse firme, Cabeza dura</t>
  </si>
  <si>
    <t>Animalische Brutalität, Rasend, Einzelgänger (4+), Knochenbrecher (+1), Klammerschwanz, Standfest, Robust</t>
  </si>
  <si>
    <t>Sauvagerie Animale, Frénésie, Solitaire (4+), Châtaigne (+1), Queue préhensile, Stabilité, Crâne épais</t>
  </si>
  <si>
    <t>Dodge, Hypnotic Gaze, Loner (4+); Prehensile Tale, Safe Pair of Hands, Sidestep</t>
  </si>
  <si>
    <t xml:space="preserve">Esquivar, Mirada hipnótica, Solitario (4+), Cola prensil, Proteger el cuero, Echarse a un lado, </t>
  </si>
  <si>
    <t xml:space="preserve">Ausweichen, Hypnotischer Blick, Einzelgänger (4+), Klammerschwanz, Sichere Hände, Gewandt, </t>
  </si>
  <si>
    <t xml:space="preserve">Esquive, Regard Hypnotique, Solitaire (4+), Queue préhensile, Libération contrôlée, Glissade Contrôlée, </t>
  </si>
  <si>
    <t>ANCIENT ARTEFACT</t>
  </si>
  <si>
    <t>Loner (4+), Block, Drunkard, Thick Skull</t>
  </si>
  <si>
    <t>Soltario (4+), Placar, Borracho, Cabeza dura</t>
  </si>
  <si>
    <t>Einzelgänger (4+), Block, Trunkenbold, Robust</t>
  </si>
  <si>
    <t>Solitaire (4+), Blocage, Ivrogne, Crâne épais</t>
  </si>
  <si>
    <t>BBB</t>
  </si>
  <si>
    <t>Giant</t>
  </si>
  <si>
    <t>Siempre hambriento, Estúpido, Abrirse paso, Imparable, Solitario (4+), Golpe mortífero (+2), Placaje múltiple, Mantenerse firme, Lanzar compañero</t>
  </si>
  <si>
    <t>Always Hungry, Bone Head, Break Tackle, Juggernaut, Loner (4+), Mighty Blow (+2), Multiple Block, Stand Firm, Throw Team-Mate</t>
  </si>
  <si>
    <t>Nimmersatt, Blöd, Tackle durchbrechen, Schweres Gerät, Einzelgänger (4+), Knochenbrecher (+2), Mehrfachblock, Standfest, Mitspieler werfen</t>
  </si>
  <si>
    <t>Toujours Affamé, Cerveau Lent, Esquive en force, Juggernaut, Solitaire (4+), Châtaigne (+2), Blocage multiple, Stabilité, Lancer de Coéquipier</t>
  </si>
  <si>
    <t>ABT</t>
  </si>
  <si>
    <t>ABV</t>
  </si>
  <si>
    <t>ABW</t>
  </si>
  <si>
    <t>ABY</t>
  </si>
  <si>
    <t>ABZ</t>
  </si>
  <si>
    <t>ACA</t>
  </si>
  <si>
    <t>ACB</t>
  </si>
  <si>
    <t>ACC</t>
  </si>
  <si>
    <t>Puggy Baconbreath</t>
  </si>
  <si>
    <t>Halfling Luck: Once per game, Puggy may re-roll one dice that was rolled either as a single dice, as part of a multiple dice roll, or as part of a dice pool (this cannot be a dice that was rolled as part of an Armour, Injury or Casualty roll).</t>
  </si>
  <si>
    <t>Block, Dodge, Loner (3+), Nerves of Steel, Right Stuff, Stunty</t>
  </si>
  <si>
    <t>Cindy Piewhistle</t>
  </si>
  <si>
    <t>All You Can Eat: Once per game, Cindy may perform two Throw Bomb Special actions rather than one; though she must commit to doing so before making the first action. If she does, immediately after performing the second Throw Bomb Special action roll a D6. On a 1-3 Cindy is immediately Sent Off.</t>
  </si>
  <si>
    <t>Accurate, Bombardier, Dodge, Loner (4+), Secret Weapon, Stunty</t>
  </si>
  <si>
    <t>Dribl</t>
  </si>
  <si>
    <t>Drull</t>
  </si>
  <si>
    <t>A Sneaky Pair: Dribl &amp; Drull must be hired as a pair and count as two Star Players. Additionally, whenever Dribl or Drull perform either a Stab or Foul action against an opposition player marked by both Dribl &amp; Drull, they may apply a +1 modifier to the Injury roll.</t>
  </si>
  <si>
    <t>Dirty Player (+1), Dodge, Loner (4+), Sidestep, Sneaky Git, Stunty</t>
  </si>
  <si>
    <t>Dodge, Loner (4+), Sidestep, Stab, Stunty</t>
  </si>
  <si>
    <t>Bilerot Vomiflesh</t>
  </si>
  <si>
    <t>Putrid Regurgitation: Once per game, Bilerot may use the Projectile Vomit Special action. This may still be used even if Bilerot has already perform a Block action this turn.</t>
  </si>
  <si>
    <t>Dirty Player (+1), Disturbing Presence, Foul Apperance, Loner (4+)</t>
  </si>
  <si>
    <t>Ripper Bolgrot</t>
  </si>
  <si>
    <t>Thinking Man's Troll: Once per half, Ripper may re-roll one dice that was rolled either as a single dice, as part o a multiple dice roll, or as part of a dice pool (this cannot be a dice that was rolled as part of an Armour, Injury or Casualty roll).</t>
  </si>
  <si>
    <t>Grab, Loner (4+), Mighty Blow (+1), Regeneration, Throw Team-mate</t>
  </si>
  <si>
    <t>Nobbla Blackwart</t>
  </si>
  <si>
    <t>Kick'em while they're down!: Once per game, Nobbla may use the Chainsaw Attack Special action against a Prone or Stunned opposition player. This does not count as a Foul action and so Nobbla cannot be Sent-off when using this ability.</t>
  </si>
  <si>
    <t>Block, Chainsaw, Dodge, Loner (4+), Secret Weapon, Stunty</t>
  </si>
  <si>
    <t>Scrappa Sorehead</t>
  </si>
  <si>
    <t>Yoink!: Once per game, when Scrappa attenpts to interfere with a Pass action, he may roll a D6. On a 2+, Scrappa does not need to roll to interfere with the Pass action, instead he automatically makes an interception and gains control of the ball.</t>
  </si>
  <si>
    <t>Dirty Player (+1), Dodge, Loner (4+), Pogo Stick, Righy Stuff, Sprint, Stunty, Sure Feet</t>
  </si>
  <si>
    <t>ACD</t>
  </si>
  <si>
    <t>Withergrasp Doubledrool</t>
  </si>
  <si>
    <t>Watch Out!: The first time each half that Withegrasp is the target of an opposition player's Block action, he counts as having the Dodge skill.</t>
  </si>
  <si>
    <t>Loner (4+), Prehensile Tall, Tackle, Tentacles, Two Heads, Wrestle</t>
  </si>
  <si>
    <t>La suerte del halfling: Una vez por partida, Puggy puede volver a tirar un dado que haya sido lanzado como un solo dado, como parte de una tirada de dados múltiple, o como parte de una reserva de dados (no puede ser un dado que haya sido lanzado como parte de una tirada de Armadura, Herida o Bajas).</t>
  </si>
  <si>
    <t>Halbling-Glück: Einmal pro Spiel darf Puggy einen Würfel neu werfen, der entweder als einzelner Würfel, als Teil eines Wurfs mit mehreren Würfeln oder als Teil eines Würfelpools geworfen wurde (dies kann kein Würfel sein, der als Teil eines Wurfs für Rüstung, Verletzung oder Unfall geworfen wurde).</t>
  </si>
  <si>
    <t>Chance de Halfling : Une fois par partie, Puggy peut relancer un dé qui a été lancé soit en tant que dé unique, soit en tant que partie d'un jet de dés multiples, soit en tant que partie d'un pool de dés (cela ne peut pas être un dé qui a été lancé en tant que partie d'un jet d'armure, de blessure ou de perte).</t>
  </si>
  <si>
    <t>Fortuna Halfling: una volta per partita, Puggy può rilanciare un dado che è stato tirato come singolo, come parte di un lancio di dadi multipli o come parte di un pool di dadi (non può essere un dado tirato come parte di un tiro Armatura, Ferita o Ferita).</t>
  </si>
  <si>
    <t>Todo lo que puedas comer: Una vez por partida, Cindy puede realizar dos acciones especiales de lanzar bombas en lugar de una, aunque debe indicarlo antes de realizar la primera acción. Si lo hace, inmediatamente después de realizar la segunda acción especial de lanzar bomba tira un D6. Con un 1 a 3, Cindy es expulsada inmediatamente.</t>
  </si>
  <si>
    <t>All You Can Eat: Einmal pro Spiel kann Cindy zwei Bombenabwurf-Sonderaktionen statt einer ausführen, allerdings muss sie dies vor der ersten Aktion angeben. Wenn sie dies tut, wirft sie unmittelbar nach der zweiten Bombenwurf-Sonderaktion einen D6. Bei einer Bewertung von 1 bis 3 wird Cindy sofort des Landes verwiesen.</t>
  </si>
  <si>
    <t>Tout ce que vous pouvez manger : Une fois par partie, Cindy peut prendre deux actions spéciales de largage de bombes au lieu d'une, mais elle doit l'indiquer avant de prendre la première action. Si elle le fait, immédiatement après avoir effectué la deuxième action spéciale de lancement de bombe, elle lance un D6. Sur une échelle de 1 à 3, Cindy est immédiatement expulsée.</t>
  </si>
  <si>
    <t>All You Can Eat: una volta per partita, Cindy può compiere due azioni speciali Bomb Drop invece di una, ma deve indicarlo prima di compiere la prima azione. Se lo fa, subito dopo aver effettuato la seconda azione speciale di lancio della bomba, tira un D6. Da 1 a 3, Cindy viene immediatamente espulsa.</t>
  </si>
  <si>
    <t>Una pareja furtiva: Dribl &amp; Drull deben ser contratados como pareja y cuentan como dos jugadores estrella. Además, siempre que Dribl o Drull realicen una acción de Puñalada o Falta contra un jugador rival marcado por ambos, pueden aplicar un modificador de +1 a la tirada de Herida.</t>
  </si>
  <si>
    <t>Ein heimtückisches Paar: Dribl &amp; Drull müssen als Paar angeheuert werden und zählen als zwei Starspieler. Wenn Dribl oder Drull eine Stich- oder Foul-Aktion gegen einen gegnerischen Spieler durchführen, der von Dribl und Drull markiert wurde, dürfen sie einen Modifikator von +1 auf den Verletzungswurf anwenden.</t>
  </si>
  <si>
    <t>Une paire sournoise : Dribl &amp; Drull doivent être engagés en tant que paire et comptent comme deux joueurs vedettes. De plus, chaque fois que Dribl ou Drull effectuent une action de poignard ou de faute contre un joueur adverse marqué à la fois par Dribl et Drull, ils peuvent appliquer un modificateur de +1 au jet de blessure.</t>
  </si>
  <si>
    <t>Una coppia subdola: Dribl e Drull devono essere ingaggiati in coppia e contano come due Fuoriclasse. Inoltre, ogni volta che Dribl o Drull eseguono un'azione di Pugnalata o di Fallo contro un giocatore avversario contrassegnato da Dribl e Drull, possono applicare un modificatore di +1 al tiro per le Ferite.</t>
  </si>
  <si>
    <t>Regurgitación pútrida: Una vez por partida, Bilerot puede usar la acción especial Vómito Proyectil. Puede usarse incluso si Bilerot ya ha realizado una acción de bloqueo este turno.</t>
  </si>
  <si>
    <t>Eitriges Erbrechen: Einmal pro Spiel kann Bilerot die Spezialaktion Projektilkotze einsetzen. Diese kann auch dann eingesetzt werden, wenn Bilerot in diesem Zug bereits eine Block-Aktion durchgeführt hat.</t>
  </si>
  <si>
    <t>Régurgitation putride : Une fois par partie, Bilerot peut utiliser l'action spéciale Vomissement Projectile. Cette action peut être utilisée même si Bilerot a déjà effectué une action de blocage ce tour-ci.</t>
  </si>
  <si>
    <t>Rigurgito putrido: Una volta per partita, Bilerot può utilizzare l'azione speciale Vomito Proiettile. Questa azione può essere utilizzata anche se Bilerot ha già eseguito un'azione di Blocco in questo turno.</t>
  </si>
  <si>
    <t>Troll del hombre pensante: Una vez por parte, Ripper puede volver a tirar un dado que haya sido lanzado como un solo dado, como parte de una tirada de dados múltiple o como parte de un grupo de dados (no puede ser un dado que haya sido lanzado como parte de una tirada de Armadura, Herida o Bajas).</t>
  </si>
  <si>
    <t>Der Troll des denkenden Mannes: Einmal pro Spielhälfte darf der Ripper einen Würfel neu werfen, der entweder als einzelner Würfel, als Teil eines Wurfes mit mehreren Würfeln oder als Teil eines Würfelpools geworfen wurde (dies kann kein Würfel sein, der als Teil eines Rüstungs-, Verletzungs- oder Unfallwurfes geworfen wurde).</t>
  </si>
  <si>
    <t>Troll de l'homme qui réfléchit : Une fois par mi-temps, l'éventreur peut relancer un dé qui a été lancé soit en tant que dé unique, soit dans le cadre d'un jet de dés multiples, soit dans le cadre d'un pool de dés (il ne peut s'agir d'un dé qui a été lancé dans le cadre d'un jet d'armure, de blessure ou de perte).</t>
  </si>
  <si>
    <t>Troll pensante: Una volta per ogni tempo, lo Squartatore può rilanciare un dado tirato come singolo, come parte di un tiro di dadi multipli o come parte di un pool di dadi (non può essere un dado tirato come parte di un tiro Armatura, Ferita o Ferita).</t>
  </si>
  <si>
    <t>¡Patéalos mientras están en el suelo!: Una vez por partida, Nobbla puede usar la acción especial Ataque con Motosierra contra un jugador contrario que esté Tumbado o Aturdido. Esto no cuenta como una acción de falta, por lo que Nobbla no puede ser expulsado al usar esta habilidad.</t>
  </si>
  <si>
    <t>Tritt sie, wenn sie am Boden liegen! Einmal pro Spiel kann Nobbla die Sonderaktion Kettensägenangriff gegen einen am Boden liegenden oder betäubten gegnerischen Spieler einsetzen. Dies zählt nicht als Foul-Aktion und Nobbla kann daher nicht weggeschickt werden, wenn er diese Fähigkeit einsetzt.</t>
  </si>
  <si>
    <t>Frappez-les pendant qu'ils sont à terre ! Une fois par partie, Nobbla peut utiliser l'action spéciale Attaque à la tronçonneuse contre un joueur adverse couché ou assommé. Cela ne compte pas comme une action de faute et Nobbla ne peut donc pas être expulsé lorsqu'il utilise cette capacité.</t>
  </si>
  <si>
    <t>Calcificateli mentre sono a terra!: Una volta per partita, Nobbla può usare l'azione speciale Attacco con la motosega contro un giocatore avversario prono o stordito. Questa azione non conta come fallo e quindi Nobbla non può essere espulso quando usa questa abilità.</t>
  </si>
  <si>
    <t>¡Yoink!: Una vez por partida, cuando Scrappa intenta interferir en una acción de pase, puede tirar un D6. Con un 2+, Scrappa no necesita tirar para interferir en la acción de pase, sino que automáticamente hace una intercepción y gana el control del balón.</t>
  </si>
  <si>
    <t>Yoink!: Einmal pro Spiel darf Scrappa, wenn er versucht, eine Passaktion zu stören, einen D6 werfen. Bei einer 2+ braucht Scrappa nicht zu würfeln, um die Passaktion zu stören, sondern er fängt den Ball automatisch ab und erhält die Kontrolle über den Ball.</t>
  </si>
  <si>
    <t>Yoink!: Une fois par partie, lorsque Scrappa tente d'interférer avec une action de passe, il peut lancer un D6. Sur un 2+, Scrappa n'a pas besoin de faire un jet pour interférer avec l'action de passe, à la place il fait automatiquement une interception et prend le contrôle du ballon.</t>
  </si>
  <si>
    <t>Yoink!: Una volta per partita, quando Scrappa cerca di interferire con un'azione di Passaggio, può tirare un D6. Con un 2+, Scrappa non deve tirare per interferire con l'azione di Passaggio, ma effettua automaticamente un intercetto e ottiene il controllo della palla.</t>
  </si>
  <si>
    <t>¡Cuidado!: La primera vez en cada mitad que Withegrasp sea el objetivo de una acción de Bloqueo de un jugador contrario, cuenta como si tuviera la habilidad de Esquivar.</t>
  </si>
  <si>
    <t>Pass auf!: Das erste Mal in jeder Halbzeit, in der Withegrasp das Ziel einer Block-Aktion eines gegnerischen Spielers ist, zählt er als Inhaber der Fähigkeit Ausweichen.</t>
  </si>
  <si>
    <t>Attention!: La première fois par semestre que Withegrasp est la cible d'une action de blocage d'un joueur adverse, il compte comme ayant la compétence Esquive.</t>
  </si>
  <si>
    <t>Attenzione!: La prima volta che Withegrasp è bersaglio di un'azione di Blocco di un giocatore avversario, conta come se avesse l'abilità Schivare.</t>
  </si>
  <si>
    <t>Placar, Esquivar, Solitario (3+), Nervios de acero, Humanoide bala, Escurridizo</t>
  </si>
  <si>
    <t>Precisión, Bombardero, Esquivar, Solitario (4+), Arma secreta, Escurridizo</t>
  </si>
  <si>
    <t>Juego sucio (+1), Esquivar, Solitario (4+), Echarse a un lado, Furtivo, Escurridizo</t>
  </si>
  <si>
    <t>Esquivar, Solitario (4+), Echarse a un lado, Apuñalar, Escurridizo</t>
  </si>
  <si>
    <t>Juego sucio (+1), Presencia perturbadora, Apariencia asquerosa, Solitario (4+)</t>
  </si>
  <si>
    <t>Apartar, Solitario (4+), Golpe mortífero (+1), Regeneración, Lanzar compañero</t>
  </si>
  <si>
    <t>Placar, Sierra mecánica, Esquivar, Solitario (4+), Arma secreta, Escurridizo</t>
  </si>
  <si>
    <t>Juego sucio (+1), Esquivar, Solitario (4+), Pogo, Humanoide bala, Carrera, Escurridizo, Pies firmes</t>
  </si>
  <si>
    <t>Solitario (4+), Cola prensil, Placaje defensivo, Tentáculos, Dos cabezas, Forcejeo</t>
  </si>
  <si>
    <t>Block, Ausweichen, Einzelgänger (3+), Nerven aus Stahl, Lebensmüde, Kleinwüchsig</t>
  </si>
  <si>
    <t>Zielsicher, Bombardier, Ausweichen, Einzelgänger (4+), Versteckte Waffe, Kleinwüchsig</t>
  </si>
  <si>
    <t>Brutal (+1), Ausweichen, Einzelgänger (4+), Gewandt, Heimtückisch, Kleinwüchsig</t>
  </si>
  <si>
    <t>Ausweichen, Einzelgänger (4+), Gewandt, Niederstechen, Kleinwüchsig</t>
  </si>
  <si>
    <t>Brutal (+1), Verstörende Präsenz, Abstoßendes Aussehen, Einzelgänger (4+)</t>
  </si>
  <si>
    <t>Greifer, Einzelgänger (4+), Knochenbrecher (+1), Regeneration, Mitspieler werfen</t>
  </si>
  <si>
    <t>Block, Kettensäge, Ausweichen, Einzelgänger (4+), Versteckte Waffe, Kleinwüchsig</t>
  </si>
  <si>
    <t>Brutal (+1), Ausweichen, Einzelgänger (4+), Pogo-Stick, Lebensmüde, Sprinten, Kleinwüchsig, Sprintensicher</t>
  </si>
  <si>
    <t>Einzelgänger (4+), Klammerschwanz, Tackle, Tentakel, Zwei Köpfe, Wrestling</t>
  </si>
  <si>
    <t>Blocage, Esquive, Solitaire (3+), Nerfs d’acier, Poids Plume, Minus</t>
  </si>
  <si>
    <t>Précision,  Bombardier, Esquive, Solitaire (4+), Arme Secrète, Minus</t>
  </si>
  <si>
    <t>Joueur Déloyal (+1), Esquive, Solitaire (4+), Glissade Contrôlée, Sournois, Minus</t>
  </si>
  <si>
    <t>Esquive, Solitaire (4+), Glissade Contrôlée, Poignard, Minus</t>
  </si>
  <si>
    <t>Joueur Déloyal (+1), Présence Perturbante, Répulsion, Solitaire (4+)</t>
  </si>
  <si>
    <t>Projection, Solitaire (4+), Châtaigne (+1), Régénération, Lancer de Coéquipier</t>
  </si>
  <si>
    <t>Blocage, Tronçonneuse, Esquive, Solitaire (4+), Arme Secrète, Minus</t>
  </si>
  <si>
    <t>Joueur Déloyal (+1), Esquive, Solitaire (4+), Bâton Pogo, Poids Plume, Sprint, Minus, Équilibre</t>
  </si>
  <si>
    <t>Solitaire (4+), Queue préhensile, Tacle, Tentacule, Deux têtes, Lutte</t>
  </si>
  <si>
    <t>Rabbia cieca: Akhorne può scegliere di rilanciare il D6 quando tira per l'abilità Dauntless.</t>
  </si>
  <si>
    <t>Vecchio Pro: Una volta per partita, Helmut può usare la sua abilità Pro per rilanciare un singolo dado lanciato come parte di un tiro Armatura.</t>
  </si>
  <si>
    <t>Il più furbo del lotto: se la tua squadra include il Gobbo Nero, puoi commettere due azioni di Fallo per turno di squadra, a patto che una delle tue azioni di Fallo sia commessa dal Gobbo Nero stesso.</t>
  </si>
  <si>
    <t>Due per uno: Grak e Crumbleberry devono essere assunti in coppia e contano come due Fuoriclasse. Tuttavia, se uno dei due Grak o Crumbleberry viene rimosso dal gioco a causa di un risultato di KO o Casualità! sulla tabella Ferite, l'altro sostituisce il tratto Solitario (4+) con il tratto Solitario (2+).</t>
  </si>
  <si>
    <t>Colpo Schiacciante: Una volta per partita, quando un giocatore avversario viene messo a terra come risultato di un'azione di Blocco eseguita da Varag, si può applicare un modificatore aggiuntivo di +1 al tiro Armatura. Questo modificatore può essere applicato dopo che il tiro è stato effettuato.</t>
  </si>
  <si>
    <t>La Balista: Una volta per partita, se Morg fallisce il test dell'Abilità di Passare quando effettua un'azione di Passare o un'azione di Lanciare un compagno di squadra, si può rilanciare il D6</t>
  </si>
  <si>
    <t>Infido: Una volta per partita, se un compagno di squadra in una casella adiacente a Hakflem è in possesso della palla quando Hakflem viene attivato, quel giocatore può essere immediatamente Abbattuto e Hakflem può prendere possesso della palla. L'utilizzo di questa regola speciale non provoca alcun Turnover.</t>
  </si>
  <si>
    <t>Frenesia: una volta per partita, quando Glart esegue un'azione Blitz, può ottenere l'abilità Frenesia. È necessario dichiarare l'utilizzo di questa regola speciale quando Glart viene attivato. Glart non può utilizzare l'abilità Afferrare durante un turno in cui utilizza questa regola speciale.</t>
  </si>
  <si>
    <t>Ariete: Una volta per partita, quando un giocatore avversario viene messo a terra come risultato di un'azione di Blocco eseguita da Rumbelow, si può applicare un modificatore aggiuntivo di +1 al tiro Armatura o al tiro Ferita. Questo modificatore può essere applicato dopo che il tiro è stato effettuato.</t>
  </si>
  <si>
    <t>Uccisore: Una volta per partita, quando un giocatore avversario con una caratteristica di Forza pari o superiore a 5 viene messo a terra come risultato di un'azione di Blocco eseguita dal Grim, si può applicare un modificatore aggiuntivo di +1 al tiro Armatura o al tiro Ferita. Questo modificatore può essere applicato dopo che il tiro è stato effettuato.</t>
  </si>
  <si>
    <t>Saggezza del Nano Bianco: una volta per turno di squadra, quando uno dei compagni di squadra di Grombrindal che si trova in una casella adiacente viene attivato, quel giocatore guadagna l'abilità Rompere il Tackle, Dauntless, Mighty Blow (+1) o Sure Feet fino alla fine dell'attivazione.</t>
  </si>
  <si>
    <t>Indomabile: Una volta per partita, quando Karla tira con successo per usare la sua abilità Dauntless, può aumentare la sua caratteristica Forza al doppio di quella del bersaglio designato della sua azione di blocco.</t>
  </si>
  <si>
    <t>Affidabile: Se Deeproot sbaglia un'azione di Lancio del compagno di squadra, il giocatore che doveva essere lanciato rimbalzerà normalmente ma atterrerà automaticamente in sicurezza.</t>
  </si>
  <si>
    <t>Professionista consumato: Una volta per partita, Griff può rilanciare un dado che è stato tirato come singolo, come parte di un tiro di dadi multipli o come parte di un pool di dadi (non può essere un dado tirato come parte di un tiro Armatura, Ferita o Ferita).</t>
  </si>
  <si>
    <t>Placaje brutal: Una vez por partido, cuando Frank'n'Stein efectúe una tirada de Herida contra un oponente como resultado de un placaje, puede añadir un +1 adicional a la tirada, este modificador puede aplicarse después de hacer la tirada.</t>
  </si>
  <si>
    <t>Blocco Brutale: Una volta per partita, quando Frank 'n' Stein effettua un tiro Ferita contro un avversario come risultato di un'azione di Blocco, può scegliere di aggiungere un ulteriore modificatore di +1 al tiro Ferita. Questo modificatore può essere applicato dopo che il tiro è stato effettuato.</t>
  </si>
  <si>
    <t>Gioco di Passaggio Forte: Una volta per partita, dopo aver effettuato una prova di abilità di Passare per eseguire un'azione di Passare, lo Skrull può scegliere di modificare il tiro di dado aggiungendovi la sua caratteristica Forza.</t>
  </si>
  <si>
    <t>Colpo a vuoto: una volta per partita, quando Gloriel esegue un'azione di Passaggio, può ottenere l'abilità Passaggio dell'Ave Maria. Dovete dichiarare che questa regola speciale viene utilizzata quando Gloriel viene attivata.</t>
  </si>
  <si>
    <t>Indomabile: Una volta per partita, quando Willow tira con successo per usare la sua abilità Dauntless, può aumentare la sua caratteristica Forza al doppio di quella del bersaglio designato della sua azione di blocco.</t>
  </si>
  <si>
    <t>Danza ipnotica: Una volta per partita, Eldril può ripetere una prova di Agilità fallita quando tenta di usare il tratto Sguardo Ipnotico.</t>
  </si>
  <si>
    <t>"Mi scusi, lei è uno Zoat?": Una volta per partita, quando Zolcath viene attivato, può guadagnare il tratto Sguardo Ipnotico. Quando Zolcath viene attivato, è necessario dichiarare che questa regola speciale viene utilizzata.</t>
  </si>
  <si>
    <t>Raffica di velocità: Una volta per partita, Roxanna può tentare di correre tre volte, invece delle solite due. Potete dichiarare di usare questa regola speciale dopo che Roxanna si è precipitata due volte.</t>
  </si>
  <si>
    <t>Due per uno: i Gemelli Swift devono essere ingaggiati in coppia e contano come due Fuoriclasse. Tuttavia, se uno dei due Lucien o Valen viene rimosso dal gioco a causa di un risultato KO o Casualità! sulla tabella Ferite, l'altro sostituisce il tratto Solitario (4+) con il tratto Solitario (2+).</t>
  </si>
  <si>
    <t>Signore del Caos: Una squadra che include Lord Borak guadagna un tiro di squadra extra per la prima metà della partita. Se questo tiro di squadra non viene utilizzato durante il primo tempo, può essere riportato nel secondo tempo. Tuttavia, se Lord Borak viene rimosso dal gioco prima di essere utilizzato, questo tiro salvezza viene perso.</t>
  </si>
  <si>
    <t>Fiamme spettrali: Una volta per metà, quando Bryce effettua l'azione speciale Attacco con la motosega come parte di un'azione Blitz, può aggiungere +4 al tiro Armatura contro l'avversario invece di +3.</t>
  </si>
  <si>
    <t>Sbarramento selvaggio: Una volta per partita, quando Wilhelm effettua un tiro per le Ferite contro un giocatore avversario, può scegliere di ripetere il tiro per il risultato.</t>
  </si>
  <si>
    <t>Incorporeo: Una volta per partita, dopo aver effettuato una prova di Agilità per schivare, Gretchen può scegliere di modificare il tiro di dado aggiungendovi la sua caratteristica Forza.</t>
  </si>
  <si>
    <t>Colpo Schiacciante: Una volta per partita, quando un giocatore avversario viene messo a terra come risultato di un'azione di Blocco eseguita da Zug, si può applicare un modificatore aggiuntivo di +1 al tiro Armatura. Questo modificatore può essere applicato dopo che il tiro è stato effettuato.</t>
  </si>
  <si>
    <t>Incornato dal Toro: Una volta per partita, quando Grashnak esegue un'azione Blitz, Grashnak può tirare un dado Blocco aggiuntivo contro il giocatore avversario, indipendentemente dalla sua Forza, fino a un massimo di tre dadi Blocco. Se Grashnak esegue una seconda azione di Blocco grazie all'abilità Frenesia, anche questa seconda azione di Nero beneficerà di questa regola.</t>
  </si>
  <si>
    <t>Furia del Dio del Sangue: Una volta per partita, se Scyla tira un 1 per il suo tiro Furia Incanalata dopo aver dichiarato un'azione di Blocco, invece di applicare i soliti effetti di Furia Incanalata, Scyla può eseguire due azioni di Blocco.</t>
  </si>
  <si>
    <t>Massima carneficina: Una volta per partita, dopo che Max ha eseguito un'azione speciale Attacco con la motosega, può eseguire immediatamente un'altra azione speciale Attacco con la motosega che ha come bersaglio un altro giocatore avversario.</t>
  </si>
  <si>
    <t>Tornerò: La prima volta che Kreek viene espulso a causa della sua arma segreta, non viene espulso e può continuare a giocare.</t>
  </si>
  <si>
    <t>Morgenstern, Einzelgänger (4+), Knochenbrecher (+1), Versteckte Waffe, Klammerschwanz, Versteckte Waffe</t>
  </si>
  <si>
    <t>Chaîne et Boulet, Solitaire (4+), Châtaigne (+1), Sans les Mains, Queue préhensile, Arme Secrète</t>
  </si>
  <si>
    <t>Esplodere!: Una volta per partita, quando Barik effettua un Passaggio dell'Ave Maria, può ripetere il tiro per determinare il punto in cui la palla atterra, e qualsiasi giocatore amico che tenta di prendere la palla guadagna un ulteriore modificatore di +1 al tiro.</t>
  </si>
  <si>
    <t>ACE</t>
  </si>
  <si>
    <t>Count Luthor Von Drakenborg</t>
  </si>
  <si>
    <t>Star of the Show: Once per game, when Count Luthor scores a touchdown his controlling coach may gain one team re-roll. If this re-roll has not been used by the end of the drive, it is lost.</t>
  </si>
  <si>
    <t>Estrella del Show: Una vez por partido, cuando el Count Luthor anote un Touchdown, su entrenador puede ganar una Reroll de Equipo, si no se usa en la siguiente entrada, se pierde.</t>
  </si>
  <si>
    <t>Star der Show: Einmal pro Spiel, wenn Count Luthor einen Touchdown erzielt, kann der Trainer, der ihn kontrolliert, einen Neuwurf für sein Team machen. Wenn dieser Wurf bis zum Ende des Spielzugs nicht genutzt wurde, geht er verloren.</t>
  </si>
  <si>
    <t>Star du spectacle : Une fois par match, lorsque le Count Luthor marque un touchdown, le coach qui le contrôle peut gagner une relance d'équipe. Si cette relance n'a pas été utilisée à la fin de la course, elle est perdue.</t>
  </si>
  <si>
    <t>Protagonista dello spettacolo: Una volta per partita, quando il Count Luthor segna un touchdown, l'allenatore che lo controlla può ottenere un tiro di squadra. Se questo tiro di rimbalzo non è stato utilizzato entro la fine del drive, viene perso.</t>
  </si>
  <si>
    <t>Block, Hypnotic Gaze, Loner (4+), Regeneration, Sidestep</t>
  </si>
  <si>
    <t>Placar, Echarse a un lado, Mirada hipnótica, Regeneración, Solitario (4+)</t>
  </si>
  <si>
    <t>Block, Hypnotischer Blick, Einzelgänger (4+), Gewandt, Sidestep</t>
  </si>
  <si>
    <t>Blocage, Regard Hypnotique, Solitaire (4+), Régénération, Glissade Contrôlée</t>
  </si>
  <si>
    <t>ACF</t>
  </si>
  <si>
    <t>Captain' Karina Von Riesz</t>
  </si>
  <si>
    <t>Tasty Morse!: Once per game, when Karina fails a Bloodlust roll, she may choose to bite an opposition player with a ST a 3 or lower as if they were a Thrall Lineman team-mate. Karina may not bite Star Player with this special rule.</t>
  </si>
  <si>
    <t>Bocadito Sabroso: Una vez por partido, cuando Karina falle una tirada de Sed de Sangre, puede elegir morder a un jugador oponente con Fuerza 3 o inferior como si fuera un Siervo de su propio equipo. Karina no puede morder a un Jugador Estrella.</t>
  </si>
  <si>
    <t>Leckeres Morsen!: Einmal pro Spiel kann Karina, wenn ihr ein Blutrausch-Wurf misslingt, einen gegnerischen Spieler mit einer ST von 3 oder niedriger beißen, als wäre er ein Thrall-Lineman-Teamkollege. Karina darf mit dieser Sonderregel keinen Starspieler beißen.</t>
  </si>
  <si>
    <t>Morse savoureux ! Une fois par partie, lorsque Karina rate un jet de Bloodlust, elle peut choisir de mordre un joueur adverse avec un ST inférieur ou égal à 3 comme s'il s'agissait d'un coéquipier Thrall Lineman. Karina ne peut pas mordre le Joueur Étoile avec cette règle spéciale.</t>
  </si>
  <si>
    <t>Morse gustoso! Una volta per partita, quando Karina fallisce un tiro di Sete di Sangue, può scegliere di mordere un giocatore avversario con una ST pari o inferiore a 3 come se fosse un compagno di squadra Thrall Lineman. Con questa regola speciale, Karina non può mordere il Fuoriclasse.</t>
  </si>
  <si>
    <t>Bloodlust (2+), Dodge, Hypnotic Gaze, Jump Up, Loner (4+), Regeneration</t>
  </si>
  <si>
    <t>Esquivar, En pie de un salto, Sed de sangre (2+), Mirada hipnótica, Regeneración, Solitario (4+)</t>
  </si>
  <si>
    <t>Blutrausch (2+), Ausweichen, Hypnotischer Blick, Aufspringen, Einzelgänger (4+), Regeneration</t>
  </si>
  <si>
    <t>Soif de sang (3+), Esquive, Regard Hypnotique, Rétablissement, Solitaire (4+), Régénération</t>
  </si>
  <si>
    <t>ACG</t>
  </si>
  <si>
    <t>Ivan 'The Animal' Deathshroud</t>
  </si>
  <si>
    <t>Dwarven Scourge: Once per game, when an opposition player is Knocked Down as a result of a Block action performed by Ivan, you may apply an additional +1 modifier to the Armour roll or Injury roll. If this is against a Dwarfen player from any team, this may instead be a +2 modifier.</t>
  </si>
  <si>
    <t>Azote de los enanos: Una vez por partido, cuando un oponente es derribado por un Placaje o Blitz de Ivan, puedes aplicar un +1 a la tirada de armadura o heridas, si el jugador derribado es un jugador enano de cualquier equipo, aplica en su lugar un +2.</t>
  </si>
  <si>
    <t>Zwergengeißel: Einmal pro Spiel darfst du, wenn ein gegnerischer Spieler durch eine von Iwan ausgeführte Blockaktion niedergeschlagen wird, einen zusätzlichen Modifikator von +1 auf den Rüstungs- oder Verletzungswurf anwenden. Wenn dies gegen einen Zwergenspieler aus einem beliebigen Team geschieht, kann dies stattdessen ein +2-Modifikator sein.</t>
  </si>
  <si>
    <t>Fléau nain : Une fois par partie, lorsqu'un joueur adverse est mis à terre suite à une action de blocage effectuée par Ivan, vous pouvez appliquer un modificateur supplémentaire de +1 au jet d'armure ou au jet de blessure. Si c'est contre un joueur nain de n'importe quelle équipe, ce modificateur peut être de +2.</t>
  </si>
  <si>
    <t>Flagello Nanico: Una volta per partita, quando un giocatore avversario viene messo a terra come risultato di un'azione di Blocco eseguita da Ivan, puoi applicare un modificatore aggiuntivo di +1 al tiro Armatura o al tiro Ferita. Se questo avviene contro un giocatore nanico di una qualsiasi squadra, il modificatore può essere di +2.</t>
  </si>
  <si>
    <t>Block, Disturbing Presence, Juggernaut, Loner (4+), Regeneration, Strip Ball, Tackle</t>
  </si>
  <si>
    <t>Placar, Presencia perturbadora, Imparable, Regeneración, Robar balón, Placaje defensivo, Solitario (4+)</t>
  </si>
  <si>
    <t>Block, Verstörende Präsenz, Schweres Gerät, Einzelgänger (4+), Regeneration, Ball entreißen, Tackle</t>
  </si>
  <si>
    <t>Blocage, Présence Perturbante, Juggernaut, Solitaire (4+), Régénération, Arracher le ballon, Tacle</t>
  </si>
  <si>
    <t>Valkyrie</t>
  </si>
  <si>
    <t>Vampire Runner</t>
  </si>
  <si>
    <t>Vampire Thrower</t>
  </si>
  <si>
    <t>Vampire Blitzer</t>
  </si>
  <si>
    <t>Vargheist</t>
  </si>
  <si>
    <t>Vampire GW</t>
  </si>
  <si>
    <t>Hypnotic Gaze, Regeneration, Bloodlust (2+)</t>
  </si>
  <si>
    <t>Mirada hipnótica, Regeneración, Sed de sangre (2+)</t>
  </si>
  <si>
    <t>Hypnotischer Blick, Regeneration, Blutrausch (2+)</t>
  </si>
  <si>
    <t>Regard Hypnotique, Régénération, Soif de sang (2+)</t>
  </si>
  <si>
    <t>Pass, Hypnotic Gaze, Regeneration, Bloodlust (2+)</t>
  </si>
  <si>
    <t>Pasar, Mirada hipnótica, Regeneración, Sed de sangre (2+)</t>
  </si>
  <si>
    <t>Wurfsicher, Hypnotischer Blick, Regeneration, Blutrausch (2+)</t>
  </si>
  <si>
    <t>Passe, Regard Hypnotique, Régénération, Soif de sang (2+)</t>
  </si>
  <si>
    <t>Juggernaut, Hypnotic Gaze, Regeneration, Bloodlust (3+)</t>
  </si>
  <si>
    <t>Imparable, Mirada hipnótica, Regeneración, Sed de sangre (3+)</t>
  </si>
  <si>
    <t>Schweres Gerät, Hypnotischer Blick, Regeneration, Blutrausch (3+)</t>
  </si>
  <si>
    <t>Juggernaut, Regard Hypnotique, Régénération, Soif de sang (3+)</t>
  </si>
  <si>
    <t>Claws, Frenzy, Bloodlust (3+), Regeneration, Loner (4+)</t>
  </si>
  <si>
    <t>Garras, Furia, Sed de sangre (3+), Regeneración, Solitario (4+)</t>
  </si>
  <si>
    <t>Klauen, Rasend, Blutrausch (3+), Regeneration, Einzelgänger (4+)</t>
  </si>
  <si>
    <t>Griffes, Frénésie, Soif de sang (3+), Régénération, Solitaire (4+)</t>
  </si>
  <si>
    <t>Vampiros GW</t>
  </si>
  <si>
    <t>Vampire  GW</t>
  </si>
  <si>
    <t>Vampires GW</t>
  </si>
  <si>
    <t>WANDERING HAEMOMANCER</t>
  </si>
  <si>
    <t>Hail Mary Pass, Loner (4+), Pass, Secret Weapon, Cannoneer, Sure Hands, Thick Skull</t>
  </si>
  <si>
    <t>Pase a lo loco, Solitario (4+), Pasar, Arma secreta, Cañonero, Manos seguras, Cabeza dura</t>
  </si>
  <si>
    <t>Passe désespérée, Solitaire (4+), Arme Secrète, Canonnier, Prise Sûre, Crâne épais</t>
  </si>
  <si>
    <t>Immer am Ball, Einzelgänger (4+), Versteckte Waffe, Kanonier, Thick Skull, Ballgefühl, Robust</t>
  </si>
  <si>
    <t>ACH</t>
  </si>
  <si>
    <t>Skitter Stab-Stab</t>
  </si>
  <si>
    <t>Master Assasin: Once per game, when Skitter succesfully breaks an opposition player's armour as a result of a Stab Special action, he may choose to re-roll the Injury roll.</t>
  </si>
  <si>
    <t>Dodge, Loner (4+), Prehensile Tail, Shadowing, Stab</t>
  </si>
  <si>
    <t>Esquivar, Solitario (4+), Cola prensil, Perseguir, Apuñalar</t>
  </si>
  <si>
    <t>Maestro asesino: Una ver por partido, cuando Skitter supera la tirada de armadura de un rival como resultado de una acción especial de Apuñalar, puede elegir repetir la tirada de Herida.</t>
  </si>
  <si>
    <t>Meister-Assassine: Wenn Skitter einmal pro Spiel die Rüstung eines gegnerischen Spielers als Ergebnis einer Stich-Spezialaktion erfolgreich durchbricht, darf er den Verletzungswurf wiederholen.</t>
  </si>
  <si>
    <t>Maître Assassin : Une fois par partie, lorsque Skitter réussit à briser l'armure d'un joueur adverse suite à une action spéciale de type Stab, il peut choisir de relancer le jet de blessure.</t>
  </si>
  <si>
    <t>Maestro Assassino: Una volta per partita, quando Skitter riesce a rompere l'armatura di un giocatore avversario come risultato di un'azione speciale Pugnalata, può scegliere di ripetere il tiro Ferita.</t>
  </si>
  <si>
    <t>Ausweichen, Einzelgänger (4+), Klammerschwanz, Manndeckung, Niederstechen</t>
  </si>
  <si>
    <t>Esquive, Solitaire (4+), Queue préhensile, Poursuite, Poignard</t>
  </si>
  <si>
    <t>Gnome</t>
  </si>
  <si>
    <t>Illusionist</t>
  </si>
  <si>
    <t>Woodland Fox</t>
  </si>
  <si>
    <t>Beastmaster</t>
  </si>
  <si>
    <t>Altern Forest Treeman</t>
  </si>
  <si>
    <t>Jump Up, Right Stuff, Stunty, Wrestle</t>
  </si>
  <si>
    <t>En pie de un salto, Humanoide bala, Escurridizo, Forcejear</t>
  </si>
  <si>
    <t>Aufspringen, Lebensmüde, Kleinwüchsig, Wrestling</t>
  </si>
  <si>
    <t>Rétablissement, Poids Plume, Minus, Lutte</t>
  </si>
  <si>
    <t>Jump Up, Stunty, Trickster, Wrestle</t>
  </si>
  <si>
    <t>Dodge, My Ball, Side Step, Stunty</t>
  </si>
  <si>
    <t>Esquivar, Mi balón, Echarse a un lado, Escurridizo</t>
  </si>
  <si>
    <t>Ausweichen, Mein Ball, Gewandt, Kleinwüchsig</t>
  </si>
  <si>
    <t>Esquive, Mon ballon, Glissade contrôlée, Minus</t>
  </si>
  <si>
    <t>Guard, Jump Up, Stunty, Wrestle</t>
  </si>
  <si>
    <t>Defensa, En pie de un salto, Escurridizo, Forcejear</t>
  </si>
  <si>
    <t>Unterstützen, Aufspringen, Kleinwüchsig, Wrestling</t>
  </si>
  <si>
    <t>Garde, Rétablissement, Minus, Lutte</t>
  </si>
  <si>
    <t>Loner (4+), Jump Up, Right Stuff, Stunty, Wrestle</t>
  </si>
  <si>
    <t>Solitario (4+), En pie de un salto, Humanoide bala, Escurridizo, Forcejear</t>
  </si>
  <si>
    <t>Einzelgänger (4+), Aufspringen, Lebensmüde, Kleinwüchsig, Wrestling</t>
  </si>
  <si>
    <t>Solitaire (4+), Rétablissement, Poids Plume, Minus, Lutte</t>
  </si>
  <si>
    <t>Gnomes</t>
  </si>
  <si>
    <t>Gnomos</t>
  </si>
  <si>
    <t>ACI</t>
  </si>
  <si>
    <t>ACJ</t>
  </si>
  <si>
    <t>Rodney Roachbait</t>
  </si>
  <si>
    <t>Catch of the Day: Once per half, if Rodney is Standing and begins his activation within 3 squares of a ball which is on the ground he may roll a D6. on a 1-2, nothing happens. On a 3+, Rodney inmmediately gains possession of the ball.</t>
  </si>
  <si>
    <t>Catch, Diving Catch, Jump Up, Loner (4+), On the Ball, Sidestep, Stunty, Wrestle</t>
  </si>
  <si>
    <t>Rowana Foresfoot</t>
  </si>
  <si>
    <t>Bounding Leap: Once per game, after declaring that she will Leap but before rolling any dice, Rowana may choose to use this special rule. If she does, Rowana suffers no negative modifiers for the Agility test to Leap and may choose to re-roll the result.</t>
  </si>
  <si>
    <t>Dodge, Dump-off, Guard, Horns, Jump Up, Leap, Loner (4+)</t>
  </si>
  <si>
    <t>Salto Inalterable: Una vez por partida, después de declarar que va a saltar pero antes de tirar ningún dado, Rowana puede elegir utilizar esta regla especial. Si lo hace, Rowana no sufre modificadores negativos en la prueba de Agilidad para Saltar y puede elegir repetir el resultado.</t>
  </si>
  <si>
    <t>Begrenzender Sprung: Einmal pro Spiel, nachdem sie erklärt hat, dass sie springen wird, aber bevor sie würfelt, kann Rowana sich entscheiden, diese Sonderregel anzuwenden. Wenn sie dies tut, erleidet Rowana keine negativen Modifikatoren für die Gewandtheitsprobe des Sprungs und kann das Ergebnis wiederholen.</t>
  </si>
  <si>
    <t>Bond bondissant : une fois par partie, après avoir déclaré qu'elle va bondir mais avant de lancer les dés, Rowana peut choisir d'utiliser cette règle spéciale. Si elle le fait, Rowana ne subit aucun modificateur négatif pour le test d'Agilité pour Sauter et peut choisir de relancer le résultat.</t>
  </si>
  <si>
    <t>Saltare: una volta per partita, dopo aver dichiarato di voler saltare ma prima di tirare qualsiasi dado, Rowana può scegliere di usare questa regola speciale. Se lo fa, Rowana non subisce alcun modificatore negativo per la prova di Agilità per il Salto e può scegliere di ritirare il risultato.</t>
  </si>
  <si>
    <t>Captura del día: Una vez por mitad, si Rodney está de pie y comienza su activación a menos de 3 casillas de un balón que está en el suelo, puede tirar un D6. Con un 1-2, no pasa nada. Con un 3+, Rodney obtiene inmediatamente la posesión del balón.</t>
  </si>
  <si>
    <t>Fang des Tages: Einmal pro Halbzeit darf Rodney, wenn er steht und seine Aktivierung innerhalb von 3 Feldern um einen am Boden liegenden Ball beginnt, einen Würfelwurf machen. Bei einer 1-2 passiert nichts. Bei einer 3+ kommt Rodney sofort in den Besitz des Balles.</t>
  </si>
  <si>
    <t>Prise du jour : Une fois par semestre, si Rodney est debout et commence son activation à moins de 3 cases d'un ballon qui est au sol, il peut lancer un D6. Sur un 3+, Rodney prend immédiatement possession du ballon.</t>
  </si>
  <si>
    <t>Presa del giorno: Una volta per ogni tempo, se Rodney è in piedi e inizia la sua attivazione entro 3 caselle da una palla che si trova a terra, può tirare un D6. con un 1-2, non succede nulla. Con un 3+, Rodney entra immediatamente in possesso della palla.</t>
  </si>
  <si>
    <t>Esquivar, Pase precipitado, Defensa, Cuernos, En pie de un salto, Saltar, Solitario (4+)</t>
  </si>
  <si>
    <t>Atrapar, Recepción heroica, En pie de un salto, Solitario (4+), On the Ball, Echarse a un lado, Escurridizo, Forcejeo</t>
  </si>
  <si>
    <t>Hechtsprung, Fangsicher, Aufspringen, Einzelgänger (4+), Immer am Ball, Gewandt, Kleinwüchsig, Wrestling</t>
  </si>
  <si>
    <t>Réception plongeante, Réception, Rétablissement, Solitaire (4+), Sur le ballon, Glissade contrôlée, Minus, Lutte</t>
  </si>
  <si>
    <t>Ausweichen, Abspiel, Unterstützen, Hörner, Springen, Aufspringen, Einzelgänger (4+)</t>
  </si>
  <si>
    <t>Esquive, Délestage, Garde, Cornes, Saut, Rétablissement, Solitaire (4+)</t>
  </si>
  <si>
    <t>GPSM</t>
  </si>
  <si>
    <t>Bretonnian</t>
  </si>
  <si>
    <t>Linemen</t>
  </si>
  <si>
    <t>Yeomen</t>
  </si>
  <si>
    <t>Wrestle</t>
  </si>
  <si>
    <t>Forcejear</t>
  </si>
  <si>
    <t>Wrestling</t>
  </si>
  <si>
    <t>Lutte</t>
  </si>
  <si>
    <t>Knights</t>
  </si>
  <si>
    <t>Block, Catch, Dauntless</t>
  </si>
  <si>
    <t>Placar, Atrapar, Agallas</t>
  </si>
  <si>
    <t>Block, Fangsicher, Unerschrocken</t>
  </si>
  <si>
    <t>Blocage, Réception, Intrépide</t>
  </si>
  <si>
    <t>Journey Linemen</t>
  </si>
  <si>
    <t>Bretonianos</t>
  </si>
  <si>
    <t>Bretonisch</t>
  </si>
  <si>
    <t>Bretons</t>
  </si>
  <si>
    <t>HEALING SPITES</t>
  </si>
  <si>
    <t>Gnom</t>
  </si>
  <si>
    <t>En pie de un salto, Escurridizo, Embaucador, Forcejear</t>
  </si>
  <si>
    <t>Aufspringen, Kleinwüchsig, Betrüger, Wrestling</t>
  </si>
  <si>
    <t>Rétablissement, Minus, Filou, Lutte</t>
  </si>
  <si>
    <t>Chaos Dwarf GW</t>
  </si>
  <si>
    <t>Hobgoblin Lineman</t>
  </si>
  <si>
    <t>Chaos Dwarf GWHobgoblin Lineman</t>
  </si>
  <si>
    <t>Hobgoblin Sneaky Stabba</t>
  </si>
  <si>
    <t>Chaos Dwarf GWHobgoblin Sneaky Stabba</t>
  </si>
  <si>
    <t>Chaos Dwarf Blocker</t>
  </si>
  <si>
    <t>Chaos Dwarf GWChaos Dwarf Blocker</t>
  </si>
  <si>
    <t>Block, Iron Hard Skin, Thick Skull</t>
  </si>
  <si>
    <t>Placar, Piel ferrea, Cabeza dura</t>
  </si>
  <si>
    <t>Block, Eiserne Haut, Robust</t>
  </si>
  <si>
    <t>Blocage, Peau de fer, Crâne épais</t>
  </si>
  <si>
    <t>Chaos Dwarf Flamesmith</t>
  </si>
  <si>
    <t>Chaos Dwarf GWChaos Dwarf Flamesmith</t>
  </si>
  <si>
    <t>Brawler, Breathe Fire, Disturbing Presence, Thick Skull</t>
  </si>
  <si>
    <t>Luchador, Aliento de fuego, Presencia perturbadora Cabeza dura</t>
  </si>
  <si>
    <t>Raufbold, Feuer atmen, Verstörende Präsenz, Robust</t>
  </si>
  <si>
    <t>Bagarreur, Respirez le feu, Présence Perturbante, Crâne épais</t>
  </si>
  <si>
    <t>Bull Centaur Blitzer</t>
  </si>
  <si>
    <t>Chaos Dwarf GWBull Centaur Blitzer</t>
  </si>
  <si>
    <t>Chaos Dwarf GWMinotaur</t>
  </si>
  <si>
    <t>Frenzy, Horns, Mighty Blow (+1), Thick Skull, Unchannelled Fury</t>
  </si>
  <si>
    <t>Journey Hobgoblin Lineman</t>
  </si>
  <si>
    <t>Chaos Dwarf GWJourney Hobgoblin Lineman</t>
  </si>
  <si>
    <t>ACK</t>
  </si>
  <si>
    <t>H'Thark the Unstoppable</t>
  </si>
  <si>
    <t>Block, Break Tackle, Defensive, Juggernaut, Loner (4+), Sprint, Sure Feet, Thick Skull</t>
  </si>
  <si>
    <t>Unstoppable Momentum: Whenever H'Thark performs a Blitz action, he may re-roll a single block dice.</t>
  </si>
  <si>
    <t>Momento imparable: Cuando H'Thark realice una acción de blitz, puede repetir un solo dado de placar.</t>
  </si>
  <si>
    <t>Unaufhaltsames Momentum: Immer wenn H'Thark eine Blitzaktion durchführt, darf er einen Blockwürfel neu werfen.</t>
  </si>
  <si>
    <t>Élan imparable : Chaque fois que H'Thark effectue une action Blitz, il peut relancer un dé de blocage.</t>
  </si>
  <si>
    <t>Momento inarrestabile: Ogni volta che H'Thark esegue un'azione Blitz, può rilanciare un singolo dado di blocco.</t>
  </si>
  <si>
    <t>Placar, Abrirse paso, Romper defensas, Imparable, Solitario (4+), Carrera, Pies firmes, Cabeza dura</t>
  </si>
  <si>
    <t>Block, Tackle durchbrechen, Wehrhaft, Schweres Gerät, Einzelgänger (4+), Sprinten, Sprintensicher, Robust</t>
  </si>
  <si>
    <t>Blocage, Esquive en force, Défenseur, Juggernaut, Solitaire (4+), Sprint, Équilibre, Crâne épais</t>
  </si>
  <si>
    <t>ACL</t>
  </si>
  <si>
    <t>Rashnak Backstabber</t>
  </si>
  <si>
    <t>Loner (4+), Shadowing, Sidestep, Sneaky Git, Stab</t>
  </si>
  <si>
    <t>Toxin Connoisseur: Once per game, when Rashnak successfully breaks an opposition player's armour as a result of a Stab Special action, you may apply an additional +1 modifier to the Injury roll. This modifier may be applied after the roll has been made.</t>
  </si>
  <si>
    <t>Conocedor de Toxinas: Una vez por partido, cuando Rashnak supere con éxito la armadura de un jugador rival como resultado de una acción especial de Apuñalar, puedes aplicar un modificador adicional de +1 a la tirada de Herida. Este modificador puede aplicarse después de haber realizado la tirada.</t>
  </si>
  <si>
    <t>Toxin-Kenner: Einmal pro Spiel, wenn Rashnak die Rüstung eines gegnerischen Spielers als Ergebnis einer Stich-Spezialaktion erfolgreich durchbricht, darfst du einen zusätzlichen Modifikator von +1 auf den Verletzungswurf anwenden. Dieser Modifikator kann nach dem Wurf angewendet werden.</t>
  </si>
  <si>
    <t>Connaisseur en toxines : Une fois par partie, lorsque Rashnak réussit à briser l'armure d'un joueur adverse suite à une action spéciale de type Stab, vous pouvez appliquer un modificateur supplémentaire de +1 au jet de blessure. Ce modificateur peut être appliqué après que le jet ait été effectué.</t>
  </si>
  <si>
    <t>Conoscitore di tossine: una volta per partita, quando Rashnak rompe con successo l'armatura di un giocatore avversario come risultato di un'azione speciale Pugnalare, si può applicare un modificatore aggiuntivo di +1 al tiro Ferita. Questo modificatore può essere applicato dopo che il tiro è stato effettuato.</t>
  </si>
  <si>
    <t>Solitario (4+), Perseguir, Echarse a un lado, Furtivo, Apuñalar</t>
  </si>
  <si>
    <t>Einzelgänger (4+), Manndeckung, Niederstechen, Gewandt, Heimtückisch</t>
  </si>
  <si>
    <t>Solitaire (4+), Poursuite, Poignard, Glissade Contrôlée, Sournois</t>
  </si>
  <si>
    <t>ACM</t>
  </si>
  <si>
    <t>Zzharg Madeye</t>
  </si>
  <si>
    <t>Cannoneer, Hail Mary Pass, Loner (4+), Nerves of Steel, Secret Weapon, Sure Hands, Thick Skull</t>
  </si>
  <si>
    <t>Then I Started Blastin'!: Once per half, at the start of his activation, Zzharg may perform a Blunderbuss Blast Special action. When he does, select a Standing opposition player within 3 squares of Zzharg and roll a D6. On a 3+, the selected player is hit; immediately make an unmodified Armour roll, and subsquent Injury roll if necessary, against the selected player. On a 2, the opposing coach selects a player (from either team, but not Zzharg) within 3 squares of the original selected player to be hit instead. On a 1, Zzharg is hit instead. If the armour of the player hit is not broken, nothing happens.</t>
  </si>
  <si>
    <t>Entonces empecé a disparar: Una vez por parte, al inicio de su activación, Zzharg puede realizar una acción especial de Explosión de Trabuco. Cuando lo haga, selecciona a un jugador rival en pie en un radio de 3 casillas de Zzharg y tira un D6. Con un 3+, el jugador seleccionado es alcanzado; realiza inmediatamente una tirada de Armadura no modificada, y una subsiguiente tirada de Herida si es necesario, contra el jugador seleccionado. Con un 2, el entrenador contrario elige a un jugador (de cualquiera de los dos equipos, pero no Zzharg) en un radio de 3 casillas del jugador seleccionado originalmente para ser golpeado en su lugar. Con un 1, Zzharg es golpeado en su lugar. Si la armadura del jugador golpeado no es superada, no ocurre nada.</t>
  </si>
  <si>
    <t>Dann fing ich an zu sprengen! Einmal pro Spielhälfte kann Zzharg zu Beginn seiner Aktivierung eine Sonderaktion „Blunderbuss Blast“ durchführen. Wenn er dies tut, wähle einen stehenden gegnerischen Spieler innerhalb von 3 Feldern um Zzharg und wirf einen D6. Bei einer 3+ wird der ausgewählte Spieler getroffen; führe sofort einen unveränderten Rüstungswurf und gegebenenfalls einen Verletzungswurf gegen den ausgewählten Spieler durch. Bei einer 2 wählt der gegnerische Trainer einen Spieler (aus einer der beiden Mannschaften, aber nicht Zzharg) im Umkreis von 3 Feldern um den ursprünglich ausgewählten Spieler aus, der stattdessen getroffen wird. Bei einer 1 wird stattdessen Zzharg getroffen. Wenn die Rüstung des getroffenen Spielers nicht beschädigt ist, passiert nichts.</t>
  </si>
  <si>
    <t>Puis j'ai commencé à exploser ! Une fois par semestre, au début de son activation, Zzharg peut effectuer une action spéciale Blunderbuss Blast. Lorsqu'il le fait, choisissez un joueur de l'opposition debout dans un rayon de 3 cases de Zzharg et lancez un D6. Sur un 3+, le joueur sélectionné est touché ; faites immédiatement un jet d'Armure non modifié, et un jet de Blessure subséquent si nécessaire, contre le joueur sélectionné. Sur un 2, l'entraîneur adverse choisit un joueur (de l'une ou l'autre équipe, mais pas Zzharg) dans un rayon de 3 cases autour du joueur sélectionné pour être touché à sa place. Sur un 1, Zzharg est touché à sa place. Si l'armure du joueur touché n'est pas brisée, il ne se passe rien.</t>
  </si>
  <si>
    <t>Poi ho iniziato ad esplodere!: Una volta per ogni tempo, all'inizio della sua attivazione, Zzharg può eseguire un'azione speciale Esplosione con l'archibugio. Quando lo fa, seleziona un giocatore avversario in piedi entro 3 caselle da Zzharg e tira un D6. Con un 3+, il giocatore selezionato viene colpito; effettuare immediatamente un tiro Armatura non modificato e un successivo tiro Ferita, se necessario, contro il giocatore selezionato. Con un 2, l'Allenatore avversario sceglie un giocatore (di una delle due squadre, ma non Zzharg) entro 3 caselle dal giocatore selezionato per essere colpito al suo posto. Con un 1, Zzharg viene colpito al suo posto. Se l'armatura del giocatore colpito non è rotta, non succede nulla.</t>
  </si>
  <si>
    <t>Cañonero, Pase a lo loco, Solitario (4+), Nervios de acero, Arma secreta, Manos seguras, Cabeza dura</t>
  </si>
  <si>
    <t>Kanonier, Immer am Ball, Einzelgänger (4+), Nerven aus Stahl, Versteckte Waffe, Ballgefühl, Robust</t>
  </si>
  <si>
    <t>Canonnier, Passe désespérée, Solitaire (4+), Nerfs d’acier, Arme Secrète, Prise Sûre, Crâne épais</t>
  </si>
  <si>
    <t>Mercenary 1</t>
  </si>
  <si>
    <t>Mercenary 2</t>
  </si>
  <si>
    <t>Mercenary 3</t>
  </si>
  <si>
    <t>BadlandsBrawlFavouredofHashut</t>
  </si>
  <si>
    <t>CHAOS DWARF SORCERER</t>
  </si>
  <si>
    <t>Enanos del Caos GW</t>
  </si>
  <si>
    <t>Chaoszwerge GW</t>
  </si>
  <si>
    <t>Nains du Chaos GW</t>
  </si>
  <si>
    <t>ChaosDwarfGW</t>
  </si>
  <si>
    <t>Presencia perturbadora, Apariencia asquerosa, Solitario (4+), Golpe mortífero (+1), Infectado, Realmente estúpido, Regeneración, Tentáculos</t>
  </si>
  <si>
    <t>I Figli del Sole</t>
  </si>
  <si>
    <t>Sgaua</t>
  </si>
  <si>
    <t>Tunnese</t>
  </si>
  <si>
    <t>Semmuone</t>
  </si>
  <si>
    <t>Ndonio</t>
  </si>
  <si>
    <t>Naggitto</t>
  </si>
  <si>
    <t>Iasso</t>
  </si>
  <si>
    <t>Aitano</t>
  </si>
  <si>
    <t>Biaso</t>
  </si>
  <si>
    <t>Calavria</t>
  </si>
  <si>
    <t>Mbrinnese</t>
  </si>
  <si>
    <t>Niballo</t>
  </si>
  <si>
    <t>Parigge</t>
  </si>
  <si>
    <t>30K per Merciful Patrons</t>
  </si>
  <si>
    <t>Hippie</t>
  </si>
  <si>
    <t>Pile Diver</t>
  </si>
  <si>
    <t>Random</t>
  </si>
  <si>
    <t>Puleggia</t>
  </si>
  <si>
    <t>Junkel</t>
  </si>
  <si>
    <t>Guard</t>
  </si>
  <si>
    <t>Juggernaut</t>
  </si>
  <si>
    <t>Stand Firm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</si>
</sst>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Red]\(#,##0\)"/>
  </numFmts>
  <fonts count="78" x14ac:knownFonts="1">
    <font>
      <sz val="10"/>
      <color theme="1"/>
      <name val="Arial"/>
    </font>
    <font>
      <sz val="10"/>
      <name val="Arial"/>
      <family val="2"/>
    </font>
    <font>
      <u/>
      <sz val="10"/>
      <color rgb="FF0000FF"/>
      <name val="Arial"/>
      <family val="2"/>
    </font>
    <font>
      <sz val="11"/>
      <color rgb="FF000000"/>
      <name val="Inconsolata"/>
    </font>
    <font>
      <b/>
      <sz val="11"/>
      <color theme="0"/>
      <name val="Tahoma"/>
      <family val="2"/>
    </font>
    <font>
      <sz val="10"/>
      <color rgb="FF000000"/>
      <name val="Arial"/>
      <family val="2"/>
    </font>
    <font>
      <sz val="9"/>
      <color theme="1"/>
      <name val="Arial"/>
      <family val="2"/>
    </font>
    <font>
      <sz val="9"/>
      <color theme="1"/>
      <name val="Tahoma"/>
      <family val="2"/>
    </font>
    <font>
      <b/>
      <sz val="8"/>
      <color theme="0"/>
      <name val="Tahoma"/>
      <family val="2"/>
    </font>
    <font>
      <sz val="8"/>
      <color theme="1"/>
      <name val="Tahoma"/>
      <family val="2"/>
    </font>
    <font>
      <b/>
      <sz val="8"/>
      <color theme="1"/>
      <name val="Tahoma"/>
      <family val="2"/>
    </font>
    <font>
      <sz val="10"/>
      <color theme="1"/>
      <name val="Tahoma"/>
      <family val="2"/>
    </font>
    <font>
      <sz val="7"/>
      <color theme="1"/>
      <name val="Tahoma"/>
      <family val="2"/>
    </font>
    <font>
      <sz val="8"/>
      <color theme="1"/>
      <name val="Arial"/>
      <family val="2"/>
    </font>
    <font>
      <sz val="11"/>
      <color theme="1"/>
      <name val="Arial"/>
      <family val="2"/>
    </font>
    <font>
      <sz val="10"/>
      <color theme="0"/>
      <name val="Tahoma"/>
      <family val="2"/>
    </font>
    <font>
      <b/>
      <sz val="10"/>
      <color rgb="FFFF0000"/>
      <name val="Tahoma"/>
      <family val="2"/>
    </font>
    <font>
      <u/>
      <sz val="8"/>
      <color theme="1"/>
      <name val="Tahoma"/>
      <family val="2"/>
    </font>
    <font>
      <b/>
      <sz val="11"/>
      <color theme="1"/>
      <name val="Tahoma"/>
      <family val="2"/>
    </font>
    <font>
      <b/>
      <sz val="10"/>
      <color theme="0"/>
      <name val="Tahoma"/>
      <family val="2"/>
    </font>
    <font>
      <sz val="10"/>
      <color theme="1"/>
      <name val="Calibri"/>
      <family val="2"/>
    </font>
    <font>
      <b/>
      <sz val="7"/>
      <color theme="1"/>
      <name val="Arial"/>
      <family val="2"/>
    </font>
    <font>
      <sz val="7"/>
      <color theme="1"/>
      <name val="Arial"/>
      <family val="2"/>
    </font>
    <font>
      <sz val="8"/>
      <color rgb="FFFF0000"/>
      <name val="Tahoma"/>
      <family val="2"/>
    </font>
    <font>
      <b/>
      <sz val="10"/>
      <color rgb="FF00FF00"/>
      <name val="Arial"/>
      <family val="2"/>
    </font>
    <font>
      <b/>
      <sz val="10"/>
      <color rgb="FF00FFFF"/>
      <name val="Arial"/>
      <family val="2"/>
    </font>
    <font>
      <b/>
      <sz val="10"/>
      <color rgb="FFFF0000"/>
      <name val="Arial"/>
      <family val="2"/>
    </font>
    <font>
      <b/>
      <sz val="10"/>
      <color rgb="FF7F7F7F"/>
      <name val="Arial"/>
      <family val="2"/>
    </font>
    <font>
      <b/>
      <sz val="10"/>
      <color theme="1"/>
      <name val="Arial"/>
      <family val="2"/>
    </font>
    <font>
      <sz val="10"/>
      <color rgb="FF333333"/>
      <name val="Arial"/>
      <family val="2"/>
    </font>
    <font>
      <sz val="7"/>
      <color rgb="FF333333"/>
      <name val="Arial"/>
      <family val="2"/>
    </font>
    <font>
      <b/>
      <sz val="12"/>
      <color theme="0"/>
      <name val="Arial"/>
      <family val="2"/>
    </font>
    <font>
      <sz val="8"/>
      <color theme="0"/>
      <name val="Arial"/>
      <family val="2"/>
    </font>
    <font>
      <b/>
      <sz val="8"/>
      <color theme="0"/>
      <name val="Arial"/>
      <family val="2"/>
    </font>
    <font>
      <b/>
      <sz val="20"/>
      <color theme="0"/>
      <name val="Arial"/>
      <family val="2"/>
    </font>
    <font>
      <b/>
      <sz val="8"/>
      <color theme="1"/>
      <name val="Arial"/>
      <family val="2"/>
    </font>
    <font>
      <b/>
      <sz val="9"/>
      <color rgb="FFC00000"/>
      <name val="Arial"/>
      <family val="2"/>
    </font>
    <font>
      <sz val="14"/>
      <color theme="1"/>
      <name val="Arial"/>
      <family val="2"/>
    </font>
    <font>
      <sz val="12"/>
      <color theme="1"/>
      <name val="Arial"/>
      <family val="2"/>
    </font>
    <font>
      <b/>
      <sz val="10"/>
      <color theme="0"/>
      <name val="Arial"/>
      <family val="2"/>
    </font>
    <font>
      <b/>
      <sz val="12"/>
      <color rgb="FF000000"/>
      <name val="Arial"/>
      <family val="2"/>
    </font>
    <font>
      <sz val="8"/>
      <color rgb="FF000000"/>
      <name val="Arial"/>
      <family val="2"/>
    </font>
    <font>
      <b/>
      <sz val="8"/>
      <color rgb="FF000000"/>
      <name val="Arial"/>
      <family val="2"/>
    </font>
    <font>
      <b/>
      <sz val="20"/>
      <color rgb="FF000000"/>
      <name val="Arial"/>
      <family val="2"/>
    </font>
    <font>
      <b/>
      <sz val="9"/>
      <color rgb="FF000000"/>
      <name val="Arial"/>
      <family val="2"/>
    </font>
    <font>
      <sz val="14"/>
      <color rgb="FF000000"/>
      <name val="Arial"/>
      <family val="2"/>
    </font>
    <font>
      <b/>
      <sz val="10"/>
      <color rgb="FF000000"/>
      <name val="Arial"/>
      <family val="2"/>
    </font>
    <font>
      <b/>
      <sz val="18"/>
      <color rgb="FF000000"/>
      <name val="Arial"/>
      <family val="2"/>
    </font>
    <font>
      <sz val="10"/>
      <color theme="1"/>
      <name val="Arial"/>
      <family val="2"/>
    </font>
    <font>
      <sz val="10"/>
      <color theme="1"/>
      <name val="Tahoma"/>
      <family val="2"/>
    </font>
    <font>
      <sz val="10"/>
      <name val="Arial"/>
      <family val="2"/>
    </font>
    <font>
      <b/>
      <sz val="8"/>
      <color theme="0"/>
      <name val="Arial"/>
      <family val="2"/>
    </font>
    <font>
      <sz val="8"/>
      <name val="Arial"/>
      <family val="2"/>
    </font>
    <font>
      <b/>
      <sz val="18"/>
      <color theme="0"/>
      <name val="Arial"/>
      <family val="2"/>
    </font>
    <font>
      <sz val="12"/>
      <color rgb="FF000000"/>
      <name val="Arial"/>
      <family val="2"/>
    </font>
    <font>
      <sz val="12"/>
      <name val="Arial"/>
      <family val="2"/>
    </font>
    <font>
      <sz val="12"/>
      <color theme="1"/>
      <name val="Arial"/>
      <family val="2"/>
    </font>
    <font>
      <sz val="8"/>
      <color theme="1"/>
      <name val="Tahoma"/>
      <family val="2"/>
    </font>
    <font>
      <b/>
      <sz val="8"/>
      <color theme="0"/>
      <name val="Tahoma"/>
      <family val="2"/>
    </font>
    <font>
      <b/>
      <sz val="8"/>
      <color theme="1"/>
      <name val="Tahoma"/>
      <family val="2"/>
    </font>
    <font>
      <sz val="7"/>
      <color theme="1"/>
      <name val="Arial"/>
      <family val="2"/>
    </font>
    <font>
      <b/>
      <sz val="8"/>
      <color theme="1"/>
      <name val="Arial"/>
      <family val="2"/>
    </font>
    <font>
      <b/>
      <sz val="6"/>
      <color theme="1"/>
      <name val="Arial"/>
      <family val="2"/>
    </font>
    <font>
      <b/>
      <sz val="11"/>
      <color rgb="FFFFFFFF"/>
      <name val="Arial"/>
      <family val="2"/>
    </font>
    <font>
      <u/>
      <sz val="10"/>
      <color theme="10"/>
      <name val="Arial"/>
      <family val="2"/>
    </font>
    <font>
      <b/>
      <u/>
      <sz val="10"/>
      <color theme="10"/>
      <name val="Arial"/>
      <family val="2"/>
    </font>
    <font>
      <sz val="8"/>
      <color theme="1"/>
      <name val="Arial"/>
      <family val="2"/>
    </font>
    <font>
      <sz val="10"/>
      <color theme="0"/>
      <name val="Arial"/>
      <family val="2"/>
    </font>
    <font>
      <b/>
      <sz val="10"/>
      <color theme="0"/>
      <name val="Arial"/>
      <family val="2"/>
    </font>
    <font>
      <b/>
      <sz val="9"/>
      <color theme="0"/>
      <name val="Arial"/>
      <family val="2"/>
    </font>
    <font>
      <sz val="9"/>
      <color theme="0"/>
      <name val="Arial"/>
      <family val="2"/>
    </font>
    <font>
      <b/>
      <sz val="12"/>
      <color theme="0"/>
      <name val="Arial"/>
      <family val="2"/>
    </font>
    <font>
      <sz val="10"/>
      <color theme="1"/>
      <name val="Calibri"/>
      <family val="2"/>
    </font>
    <font>
      <sz val="8"/>
      <name val="Arial"/>
      <family val="2"/>
    </font>
    <font>
      <b/>
      <sz val="10"/>
      <color theme="1"/>
      <name val="Tahoma"/>
      <family val="2"/>
    </font>
    <font>
      <b/>
      <sz val="10"/>
      <name val="Arial"/>
      <family val="2"/>
    </font>
    <font>
      <sz val="10"/>
      <color theme="1"/>
      <name val="Tahoma"/>
    </font>
    <font>
      <sz val="10"/>
      <name val="Calibri"/>
    </font>
  </fonts>
  <fills count="16">
    <fill>
      <patternFill patternType="none"/>
    </fill>
    <fill>
      <patternFill patternType="gray125"/>
    </fill>
    <fill>
      <patternFill patternType="solid">
        <fgColor theme="0"/>
        <bgColor theme="0"/>
      </patternFill>
    </fill>
    <fill>
      <patternFill patternType="solid">
        <fgColor rgb="FF7F7F7F"/>
        <bgColor rgb="FF7F7F7F"/>
      </patternFill>
    </fill>
    <fill>
      <patternFill patternType="solid">
        <fgColor rgb="FFFFFFFF"/>
        <bgColor rgb="FFFFFFFF"/>
      </patternFill>
    </fill>
    <fill>
      <patternFill patternType="solid">
        <fgColor rgb="FFD8D8D8"/>
        <bgColor rgb="FFD8D8D8"/>
      </patternFill>
    </fill>
    <fill>
      <patternFill patternType="solid">
        <fgColor rgb="FFD9D9D9"/>
        <bgColor rgb="FFD9D9D9"/>
      </patternFill>
    </fill>
    <fill>
      <patternFill patternType="solid">
        <fgColor rgb="FFF2F2F2"/>
        <bgColor rgb="FFF2F2F2"/>
      </patternFill>
    </fill>
    <fill>
      <patternFill patternType="solid">
        <fgColor rgb="FF366092"/>
        <bgColor rgb="FF366092"/>
      </patternFill>
    </fill>
    <fill>
      <patternFill patternType="solid">
        <fgColor rgb="FFC00000"/>
        <bgColor rgb="FFC00000"/>
      </patternFill>
    </fill>
    <fill>
      <patternFill patternType="solid">
        <fgColor theme="4" tint="-0.249977111117893"/>
        <bgColor indexed="64"/>
      </patternFill>
    </fill>
    <fill>
      <patternFill patternType="solid">
        <fgColor theme="4" tint="-0.249977111117893"/>
        <bgColor rgb="FF366092"/>
      </patternFill>
    </fill>
    <fill>
      <patternFill patternType="solid">
        <fgColor theme="0" tint="-0.14999847407452621"/>
        <bgColor indexed="64"/>
      </patternFill>
    </fill>
    <fill>
      <patternFill patternType="solid">
        <fgColor theme="0"/>
        <bgColor indexed="64"/>
      </patternFill>
    </fill>
    <fill>
      <patternFill patternType="solid">
        <fgColor theme="2"/>
        <bgColor theme="0"/>
      </patternFill>
    </fill>
    <fill>
      <patternFill patternType="solid">
        <fgColor theme="2"/>
        <bgColor rgb="FFFFFFFF"/>
      </patternFill>
    </fill>
  </fills>
  <borders count="132">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top/>
      <bottom/>
      <diagonal/>
    </border>
    <border>
      <left style="medium">
        <color rgb="FF000000"/>
      </left>
      <right/>
      <top style="thin">
        <color rgb="FF000000"/>
      </top>
      <bottom style="thin">
        <color rgb="FFF2F2F2"/>
      </bottom>
      <diagonal/>
    </border>
    <border>
      <left/>
      <right/>
      <top style="thin">
        <color rgb="FF000000"/>
      </top>
      <bottom style="thin">
        <color rgb="FFF2F2F2"/>
      </bottom>
      <diagonal/>
    </border>
    <border>
      <left/>
      <right style="medium">
        <color rgb="FF000000"/>
      </right>
      <top style="thin">
        <color rgb="FF000000"/>
      </top>
      <bottom style="thin">
        <color rgb="FFF2F2F2"/>
      </bottom>
      <diagonal/>
    </border>
    <border>
      <left style="thin">
        <color rgb="FF000000"/>
      </left>
      <right/>
      <top style="thin">
        <color rgb="FF000000"/>
      </top>
      <bottom style="thin">
        <color rgb="FFF2F2F2"/>
      </bottom>
      <diagonal/>
    </border>
    <border>
      <left style="medium">
        <color rgb="FF000000"/>
      </left>
      <right style="medium">
        <color rgb="FF000000"/>
      </right>
      <top style="thin">
        <color rgb="FF000000"/>
      </top>
      <bottom style="thin">
        <color rgb="FFF2F2F2"/>
      </bottom>
      <diagonal/>
    </border>
    <border>
      <left style="medium">
        <color rgb="FF000000"/>
      </left>
      <right style="thin">
        <color rgb="FF000000"/>
      </right>
      <top style="thin">
        <color rgb="FFF3F3F3"/>
      </top>
      <bottom style="medium">
        <color rgb="FF000000"/>
      </bottom>
      <diagonal/>
    </border>
    <border>
      <left style="thin">
        <color rgb="FF000000"/>
      </left>
      <right style="thin">
        <color rgb="FF000000"/>
      </right>
      <top style="thin">
        <color rgb="FFF3F3F3"/>
      </top>
      <bottom style="medium">
        <color rgb="FF000000"/>
      </bottom>
      <diagonal/>
    </border>
    <border>
      <left style="thin">
        <color rgb="FF000000"/>
      </left>
      <right style="medium">
        <color rgb="FF000000"/>
      </right>
      <top style="thin">
        <color rgb="FFF3F3F3"/>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F2F2F2"/>
      </top>
      <bottom style="medium">
        <color rgb="FF000000"/>
      </bottom>
      <diagonal/>
    </border>
    <border>
      <left/>
      <right/>
      <top style="thin">
        <color rgb="FFF2F2F2"/>
      </top>
      <bottom style="medium">
        <color rgb="FF000000"/>
      </bottom>
      <diagonal/>
    </border>
    <border>
      <left/>
      <right style="medium">
        <color rgb="FF000000"/>
      </right>
      <top style="thin">
        <color rgb="FFF2F2F2"/>
      </top>
      <bottom style="medium">
        <color rgb="FF000000"/>
      </bottom>
      <diagonal/>
    </border>
    <border>
      <left/>
      <right style="thin">
        <color rgb="FF000000"/>
      </right>
      <top style="thin">
        <color rgb="FFF2F2F2"/>
      </top>
      <bottom style="medium">
        <color rgb="FF000000"/>
      </bottom>
      <diagonal/>
    </border>
    <border>
      <left style="medium">
        <color rgb="FF000000"/>
      </left>
      <right style="medium">
        <color rgb="FF000000"/>
      </right>
      <top style="thin">
        <color rgb="FFF2F2F2"/>
      </top>
      <bottom style="medium">
        <color rgb="FF000000"/>
      </bottom>
      <diagonal/>
    </border>
    <border>
      <left style="medium">
        <color rgb="FF000000"/>
      </left>
      <right/>
      <top style="thin">
        <color rgb="FFF2F2F2"/>
      </top>
      <bottom style="medium">
        <color rgb="FF000000"/>
      </bottom>
      <diagonal/>
    </border>
    <border>
      <left style="thin">
        <color rgb="FF000000"/>
      </left>
      <right style="medium">
        <color rgb="FF000000"/>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s>
  <cellStyleXfs count="2">
    <xf numFmtId="0" fontId="0" fillId="0" borderId="0"/>
    <xf numFmtId="0" fontId="64" fillId="0" borderId="0" applyNumberFormat="0" applyFill="0" applyBorder="0" applyAlignment="0" applyProtection="0"/>
  </cellStyleXfs>
  <cellXfs count="575">
    <xf numFmtId="0" fontId="0" fillId="0" borderId="0" xfId="0"/>
    <xf numFmtId="0" fontId="0" fillId="2" borderId="5" xfId="0" applyFill="1" applyBorder="1" applyAlignment="1">
      <alignment horizontal="center" vertical="center" wrapText="1"/>
    </xf>
    <xf numFmtId="0" fontId="3" fillId="4" borderId="5" xfId="0" applyFont="1" applyFill="1" applyBorder="1"/>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3" fontId="9"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xf>
    <xf numFmtId="0" fontId="8" fillId="3" borderId="10"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21" xfId="0" applyFont="1" applyFill="1" applyBorder="1" applyAlignment="1">
      <alignment horizontal="center" vertical="center"/>
    </xf>
    <xf numFmtId="0" fontId="12" fillId="2" borderId="25" xfId="0" applyFont="1" applyFill="1" applyBorder="1" applyAlignment="1">
      <alignment horizontal="right" vertical="center"/>
    </xf>
    <xf numFmtId="0" fontId="12" fillId="2" borderId="26" xfId="0" applyFont="1" applyFill="1" applyBorder="1" applyAlignment="1">
      <alignment horizontal="center" vertical="center"/>
    </xf>
    <xf numFmtId="0" fontId="12" fillId="2" borderId="21" xfId="0" applyFont="1" applyFill="1" applyBorder="1" applyAlignment="1">
      <alignment horizontal="left" vertical="center"/>
    </xf>
    <xf numFmtId="0" fontId="49" fillId="2" borderId="10" xfId="0" applyFont="1" applyFill="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Alignment="1">
      <alignment horizontal="left" vertical="center" wrapText="1"/>
    </xf>
    <xf numFmtId="0" fontId="11" fillId="0" borderId="2" xfId="0" applyFont="1" applyBorder="1" applyAlignment="1">
      <alignment horizontal="center" vertical="center" shrinkToFit="1"/>
    </xf>
    <xf numFmtId="0" fontId="8" fillId="3" borderId="12" xfId="0" applyFont="1" applyFill="1" applyBorder="1" applyAlignment="1">
      <alignment horizontal="center" vertical="center"/>
    </xf>
    <xf numFmtId="0" fontId="12" fillId="2" borderId="27" xfId="0" applyFont="1" applyFill="1" applyBorder="1" applyAlignment="1">
      <alignment horizontal="right"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left" vertical="center"/>
    </xf>
    <xf numFmtId="0" fontId="49" fillId="2" borderId="12" xfId="0" applyFont="1" applyFill="1" applyBorder="1" applyAlignment="1">
      <alignment horizontal="center" vertical="center"/>
    </xf>
    <xf numFmtId="0" fontId="15" fillId="3" borderId="25" xfId="0" applyFont="1" applyFill="1" applyBorder="1" applyAlignment="1">
      <alignment horizontal="right" vertical="center"/>
    </xf>
    <xf numFmtId="0" fontId="15" fillId="3" borderId="21" xfId="0" applyFont="1" applyFill="1" applyBorder="1" applyAlignment="1">
      <alignment vertical="center"/>
    </xf>
    <xf numFmtId="0" fontId="15" fillId="3" borderId="21" xfId="0" applyFont="1" applyFill="1" applyBorder="1" applyAlignment="1">
      <alignment horizontal="left" vertical="center"/>
    </xf>
    <xf numFmtId="0" fontId="15" fillId="3" borderId="35" xfId="0" applyFont="1" applyFill="1" applyBorder="1" applyAlignment="1">
      <alignment horizontal="right" vertical="center"/>
    </xf>
    <xf numFmtId="0" fontId="15" fillId="3" borderId="38" xfId="0" applyFont="1" applyFill="1" applyBorder="1" applyAlignment="1">
      <alignment vertical="center"/>
    </xf>
    <xf numFmtId="0" fontId="11" fillId="2" borderId="26" xfId="0" applyFont="1" applyFill="1" applyBorder="1" applyAlignment="1">
      <alignment horizontal="left" vertical="center"/>
    </xf>
    <xf numFmtId="0" fontId="11" fillId="2" borderId="21" xfId="0" applyFont="1" applyFill="1" applyBorder="1" applyAlignment="1">
      <alignment horizontal="left" vertical="center"/>
    </xf>
    <xf numFmtId="0" fontId="9" fillId="0" borderId="0" xfId="0" applyFont="1" applyAlignment="1">
      <alignment vertical="center"/>
    </xf>
    <xf numFmtId="0" fontId="18" fillId="2" borderId="44" xfId="0" applyFont="1" applyFill="1" applyBorder="1" applyAlignment="1">
      <alignment vertical="center"/>
    </xf>
    <xf numFmtId="0" fontId="19" fillId="3" borderId="10" xfId="0" applyFont="1" applyFill="1" applyBorder="1" applyAlignment="1">
      <alignment horizontal="center" vertical="center" wrapText="1"/>
    </xf>
    <xf numFmtId="0" fontId="0" fillId="0" borderId="10" xfId="0" applyBorder="1" applyAlignment="1">
      <alignment horizontal="center" vertical="center"/>
    </xf>
    <xf numFmtId="0" fontId="18" fillId="0" borderId="0" xfId="0" applyFont="1" applyAlignment="1">
      <alignment vertical="center"/>
    </xf>
    <xf numFmtId="3" fontId="9" fillId="0" borderId="0" xfId="0" applyNumberFormat="1" applyFont="1" applyAlignment="1">
      <alignment vertical="center"/>
    </xf>
    <xf numFmtId="0" fontId="8" fillId="0" borderId="0" xfId="0" applyFont="1" applyAlignment="1">
      <alignment vertical="center" wrapText="1"/>
    </xf>
    <xf numFmtId="0" fontId="11" fillId="0" borderId="0" xfId="0" applyFont="1" applyAlignment="1">
      <alignment vertical="center"/>
    </xf>
    <xf numFmtId="3" fontId="11" fillId="0" borderId="0" xfId="0" applyNumberFormat="1" applyFont="1" applyAlignment="1">
      <alignment vertical="center" wrapText="1"/>
    </xf>
    <xf numFmtId="0" fontId="11" fillId="0" borderId="0" xfId="0" applyFont="1" applyAlignment="1">
      <alignment horizontal="center" vertical="center"/>
    </xf>
    <xf numFmtId="3" fontId="11" fillId="0" borderId="0" xfId="0" applyNumberFormat="1" applyFont="1" applyAlignment="1">
      <alignment vertical="center"/>
    </xf>
    <xf numFmtId="0" fontId="10" fillId="0" borderId="0" xfId="0" applyFont="1" applyAlignment="1">
      <alignment vertical="center"/>
    </xf>
    <xf numFmtId="0" fontId="0" fillId="0" borderId="0" xfId="0" applyAlignment="1">
      <alignment horizontal="center"/>
    </xf>
    <xf numFmtId="0" fontId="20" fillId="0" borderId="0" xfId="0" applyFont="1"/>
    <xf numFmtId="0" fontId="10" fillId="0" borderId="0" xfId="0" applyFont="1" applyAlignment="1">
      <alignment horizontal="center" vertical="center" wrapText="1"/>
    </xf>
    <xf numFmtId="3" fontId="21" fillId="0" borderId="0" xfId="0" applyNumberFormat="1" applyFont="1" applyAlignment="1">
      <alignment horizontal="center" vertical="center"/>
    </xf>
    <xf numFmtId="3" fontId="22" fillId="0" borderId="0" xfId="0" applyNumberFormat="1" applyFont="1" applyAlignment="1">
      <alignment horizontal="right" vertical="center"/>
    </xf>
    <xf numFmtId="3" fontId="22" fillId="0" borderId="0" xfId="0" applyNumberFormat="1" applyFont="1" applyAlignment="1">
      <alignment horizontal="center" vertical="center"/>
    </xf>
    <xf numFmtId="49" fontId="9" fillId="0" borderId="0" xfId="0" applyNumberFormat="1" applyFont="1" applyAlignment="1">
      <alignment horizontal="center" vertical="center"/>
    </xf>
    <xf numFmtId="0" fontId="13" fillId="0" borderId="0" xfId="0" applyFont="1"/>
    <xf numFmtId="0" fontId="23" fillId="0" borderId="0" xfId="0" applyFont="1" applyAlignment="1">
      <alignment vertical="center"/>
    </xf>
    <xf numFmtId="0" fontId="9" fillId="0" borderId="0" xfId="0" applyFont="1" applyAlignment="1">
      <alignment horizontal="center" vertical="center" wrapText="1"/>
    </xf>
    <xf numFmtId="0" fontId="11" fillId="0" borderId="10" xfId="0" applyFont="1" applyBorder="1" applyAlignment="1" applyProtection="1">
      <alignment horizontal="center" vertical="center" shrinkToFit="1"/>
      <protection locked="0"/>
    </xf>
    <xf numFmtId="0" fontId="49" fillId="2" borderId="21" xfId="0" applyFont="1" applyFill="1" applyBorder="1" applyAlignment="1" applyProtection="1">
      <alignment horizontal="center" vertical="center" wrapText="1"/>
      <protection locked="0"/>
    </xf>
    <xf numFmtId="0" fontId="49" fillId="2" borderId="10" xfId="0" applyFont="1" applyFill="1" applyBorder="1" applyAlignment="1" applyProtection="1">
      <alignment horizontal="center" vertical="center" wrapText="1"/>
      <protection locked="0"/>
    </xf>
    <xf numFmtId="0" fontId="49" fillId="2" borderId="10" xfId="0" applyFont="1" applyFill="1" applyBorder="1" applyAlignment="1" applyProtection="1">
      <alignment horizontal="center" vertical="center" shrinkToFit="1"/>
      <protection locked="0"/>
    </xf>
    <xf numFmtId="0" fontId="48" fillId="2" borderId="10" xfId="0" applyFont="1" applyFill="1" applyBorder="1" applyAlignment="1" applyProtection="1">
      <alignment horizontal="center" vertical="center" shrinkToFit="1"/>
      <protection locked="0"/>
    </xf>
    <xf numFmtId="0" fontId="11" fillId="0" borderId="10"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3" fontId="11" fillId="0" borderId="10" xfId="0" applyNumberFormat="1" applyFont="1" applyBorder="1" applyAlignment="1" applyProtection="1">
      <alignment horizontal="center" vertical="center" shrinkToFit="1"/>
      <protection locked="0"/>
    </xf>
    <xf numFmtId="0" fontId="0" fillId="0" borderId="21" xfId="0" applyBorder="1" applyAlignment="1" applyProtection="1">
      <alignment horizontal="center" vertical="center"/>
      <protection locked="0"/>
    </xf>
    <xf numFmtId="0" fontId="24" fillId="3" borderId="48" xfId="0" applyFont="1" applyFill="1" applyBorder="1" applyAlignment="1">
      <alignment horizontal="center" vertical="center"/>
    </xf>
    <xf numFmtId="0" fontId="25" fillId="3" borderId="49" xfId="0" applyFont="1" applyFill="1" applyBorder="1" applyAlignment="1">
      <alignment horizontal="center" vertical="center"/>
    </xf>
    <xf numFmtId="0" fontId="26" fillId="3" borderId="50" xfId="0" applyFont="1" applyFill="1" applyBorder="1" applyAlignment="1">
      <alignment horizontal="center" vertical="center"/>
    </xf>
    <xf numFmtId="0" fontId="6" fillId="5" borderId="59" xfId="0" applyFont="1" applyFill="1" applyBorder="1" applyAlignment="1">
      <alignment horizontal="center" shrinkToFit="1"/>
    </xf>
    <xf numFmtId="0" fontId="6" fillId="5" borderId="15" xfId="0" applyFont="1" applyFill="1" applyBorder="1" applyAlignment="1">
      <alignment horizontal="center" shrinkToFit="1"/>
    </xf>
    <xf numFmtId="0" fontId="6" fillId="5" borderId="60" xfId="0" applyFont="1" applyFill="1" applyBorder="1" applyAlignment="1">
      <alignment horizontal="center" shrinkToFit="1"/>
    </xf>
    <xf numFmtId="0" fontId="13" fillId="5" borderId="63" xfId="0" applyFont="1" applyFill="1" applyBorder="1" applyAlignment="1">
      <alignment horizontal="center" shrinkToFit="1"/>
    </xf>
    <xf numFmtId="0" fontId="13" fillId="5" borderId="64" xfId="0" applyFont="1" applyFill="1" applyBorder="1" applyAlignment="1">
      <alignment horizontal="center"/>
    </xf>
    <xf numFmtId="0" fontId="13" fillId="5" borderId="65" xfId="0" applyFont="1" applyFill="1" applyBorder="1" applyAlignment="1">
      <alignment horizontal="center" shrinkToFit="1"/>
    </xf>
    <xf numFmtId="0" fontId="13" fillId="5" borderId="64" xfId="0" applyFont="1" applyFill="1" applyBorder="1" applyAlignment="1">
      <alignment horizontal="center" shrinkToFit="1"/>
    </xf>
    <xf numFmtId="0" fontId="13" fillId="5" borderId="66" xfId="0" applyFont="1" applyFill="1" applyBorder="1" applyAlignment="1">
      <alignment horizontal="center" shrinkToFit="1"/>
    </xf>
    <xf numFmtId="0" fontId="13" fillId="5" borderId="67" xfId="0" applyFont="1" applyFill="1" applyBorder="1" applyAlignment="1">
      <alignment horizontal="center" vertical="center" shrinkToFit="1"/>
    </xf>
    <xf numFmtId="3" fontId="13" fillId="5" borderId="67" xfId="0" applyNumberFormat="1" applyFont="1" applyFill="1" applyBorder="1" applyAlignment="1">
      <alignment horizontal="center" vertical="center" shrinkToFit="1"/>
    </xf>
    <xf numFmtId="9" fontId="22" fillId="5" borderId="68" xfId="0" applyNumberFormat="1" applyFont="1" applyFill="1" applyBorder="1" applyAlignment="1">
      <alignment horizontal="center" vertical="top" shrinkToFit="1"/>
    </xf>
    <xf numFmtId="9" fontId="22" fillId="5" borderId="69" xfId="0" applyNumberFormat="1" applyFont="1" applyFill="1" applyBorder="1" applyAlignment="1">
      <alignment horizontal="center" vertical="top" shrinkToFit="1"/>
    </xf>
    <xf numFmtId="9" fontId="22" fillId="5" borderId="70" xfId="0" applyNumberFormat="1" applyFont="1" applyFill="1" applyBorder="1" applyAlignment="1">
      <alignment horizontal="center" vertical="top" shrinkToFit="1"/>
    </xf>
    <xf numFmtId="164" fontId="13" fillId="5" borderId="73" xfId="0" applyNumberFormat="1" applyFont="1" applyFill="1" applyBorder="1" applyAlignment="1">
      <alignment horizontal="center" vertical="top" shrinkToFit="1"/>
    </xf>
    <xf numFmtId="0" fontId="13" fillId="5" borderId="74" xfId="0" applyFont="1" applyFill="1" applyBorder="1" applyAlignment="1">
      <alignment horizontal="center"/>
    </xf>
    <xf numFmtId="164" fontId="13" fillId="5" borderId="75" xfId="0" applyNumberFormat="1" applyFont="1" applyFill="1" applyBorder="1" applyAlignment="1">
      <alignment horizontal="center" vertical="top" shrinkToFit="1"/>
    </xf>
    <xf numFmtId="164" fontId="13" fillId="5" borderId="74" xfId="0" applyNumberFormat="1" applyFont="1" applyFill="1" applyBorder="1" applyAlignment="1">
      <alignment horizontal="center" vertical="top" shrinkToFit="1"/>
    </xf>
    <xf numFmtId="164" fontId="13" fillId="5" borderId="76" xfId="0" applyNumberFormat="1" applyFont="1" applyFill="1" applyBorder="1" applyAlignment="1">
      <alignment horizontal="center" vertical="top" shrinkToFit="1"/>
    </xf>
    <xf numFmtId="2" fontId="13" fillId="5" borderId="77" xfId="0" applyNumberFormat="1" applyFont="1" applyFill="1" applyBorder="1" applyAlignment="1">
      <alignment horizontal="center" vertical="center" shrinkToFit="1"/>
    </xf>
    <xf numFmtId="3" fontId="13" fillId="5" borderId="77" xfId="0" applyNumberFormat="1" applyFont="1" applyFill="1" applyBorder="1" applyAlignment="1">
      <alignment horizontal="center" vertical="center" shrinkToFit="1"/>
    </xf>
    <xf numFmtId="2" fontId="13" fillId="5" borderId="78" xfId="0" applyNumberFormat="1" applyFont="1" applyFill="1" applyBorder="1" applyAlignment="1">
      <alignment horizontal="center" vertical="center" shrinkToFit="1"/>
    </xf>
    <xf numFmtId="0" fontId="28" fillId="0" borderId="0" xfId="0" applyFont="1"/>
    <xf numFmtId="0" fontId="28" fillId="0" borderId="10" xfId="0" applyFont="1" applyBorder="1" applyAlignment="1">
      <alignment horizontal="center" vertical="center"/>
    </xf>
    <xf numFmtId="0" fontId="29" fillId="5" borderId="84" xfId="0" applyFont="1" applyFill="1" applyBorder="1" applyAlignment="1">
      <alignment horizontal="center" vertical="center" wrapText="1"/>
    </xf>
    <xf numFmtId="0" fontId="0" fillId="7" borderId="26" xfId="0" applyFill="1" applyBorder="1" applyAlignment="1">
      <alignment horizontal="center" vertical="center"/>
    </xf>
    <xf numFmtId="0" fontId="0" fillId="5" borderId="26" xfId="0" applyFill="1" applyBorder="1" applyAlignment="1">
      <alignment horizontal="center" vertical="center" wrapText="1"/>
    </xf>
    <xf numFmtId="0" fontId="0" fillId="5" borderId="26" xfId="0" applyFill="1" applyBorder="1" applyAlignment="1">
      <alignment horizontal="center" vertical="center"/>
    </xf>
    <xf numFmtId="0" fontId="0" fillId="5" borderId="87" xfId="0" applyFill="1" applyBorder="1" applyAlignment="1">
      <alignment horizontal="center" vertical="center" wrapText="1"/>
    </xf>
    <xf numFmtId="0" fontId="29" fillId="5" borderId="88" xfId="0" applyFont="1" applyFill="1" applyBorder="1" applyAlignment="1">
      <alignment horizontal="center" vertical="center" wrapText="1"/>
    </xf>
    <xf numFmtId="0" fontId="0" fillId="7" borderId="44" xfId="0" applyFill="1" applyBorder="1" applyAlignment="1">
      <alignment horizontal="center" vertical="center"/>
    </xf>
    <xf numFmtId="0" fontId="0" fillId="5" borderId="44" xfId="0" applyFill="1" applyBorder="1" applyAlignment="1">
      <alignment horizontal="center" vertical="center"/>
    </xf>
    <xf numFmtId="0" fontId="0" fillId="7" borderId="13" xfId="0" applyFill="1" applyBorder="1" applyAlignment="1">
      <alignment horizontal="center" vertical="center"/>
    </xf>
    <xf numFmtId="0" fontId="0" fillId="5" borderId="13" xfId="0" applyFill="1" applyBorder="1" applyAlignment="1">
      <alignment horizontal="center" vertical="center" wrapText="1"/>
    </xf>
    <xf numFmtId="0" fontId="0" fillId="5" borderId="13" xfId="0" applyFill="1" applyBorder="1" applyAlignment="1">
      <alignment horizontal="center" vertical="center"/>
    </xf>
    <xf numFmtId="0" fontId="0" fillId="5" borderId="93" xfId="0" applyFill="1" applyBorder="1" applyAlignment="1">
      <alignment horizontal="center" vertical="center" wrapText="1"/>
    </xf>
    <xf numFmtId="0" fontId="30" fillId="0" borderId="0" xfId="0" applyFont="1" applyAlignment="1">
      <alignment horizontal="center" vertical="center" wrapText="1"/>
    </xf>
    <xf numFmtId="0" fontId="6" fillId="0" borderId="0" xfId="0" applyFont="1" applyAlignment="1">
      <alignment vertical="center" shrinkToFit="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right" vertical="center" wrapText="1"/>
    </xf>
    <xf numFmtId="0" fontId="22" fillId="0" borderId="0" xfId="0" applyFont="1" applyAlignment="1">
      <alignment horizontal="right" vertical="center" wrapText="1"/>
    </xf>
    <xf numFmtId="0" fontId="22" fillId="0" borderId="0" xfId="0" applyFont="1" applyAlignment="1">
      <alignment horizontal="left" vertical="center" wrapText="1"/>
    </xf>
    <xf numFmtId="0" fontId="22" fillId="0" borderId="0" xfId="0" applyFont="1" applyAlignment="1">
      <alignment vertical="center" wrapText="1"/>
    </xf>
    <xf numFmtId="0" fontId="30" fillId="0" borderId="0" xfId="0" applyFont="1"/>
    <xf numFmtId="0" fontId="0" fillId="0" borderId="0" xfId="0" applyAlignment="1">
      <alignment shrinkToFit="1"/>
    </xf>
    <xf numFmtId="0" fontId="0" fillId="0" borderId="0" xfId="0" applyAlignment="1">
      <alignment horizontal="right" vertical="center"/>
    </xf>
    <xf numFmtId="0" fontId="13" fillId="0" borderId="0" xfId="0" applyFont="1" applyAlignment="1">
      <alignment horizontal="center"/>
    </xf>
    <xf numFmtId="0" fontId="22" fillId="0" borderId="0" xfId="0" applyFont="1"/>
    <xf numFmtId="0" fontId="30" fillId="0" borderId="30" xfId="0" applyFont="1" applyBorder="1"/>
    <xf numFmtId="0" fontId="22" fillId="4" borderId="5" xfId="0" applyFont="1" applyFill="1" applyBorder="1"/>
    <xf numFmtId="0" fontId="0" fillId="2" borderId="87" xfId="0" applyFill="1" applyBorder="1" applyAlignment="1" applyProtection="1">
      <alignment horizontal="center" vertical="center" wrapText="1"/>
      <protection locked="0"/>
    </xf>
    <xf numFmtId="3" fontId="0" fillId="2" borderId="87" xfId="0" applyNumberFormat="1" applyFill="1" applyBorder="1" applyAlignment="1" applyProtection="1">
      <alignment horizontal="center" vertical="center" wrapText="1"/>
      <protection locked="0"/>
    </xf>
    <xf numFmtId="0" fontId="0" fillId="2" borderId="90" xfId="0" applyFill="1" applyBorder="1" applyAlignment="1" applyProtection="1">
      <alignment horizontal="center" vertical="center" wrapText="1"/>
      <protection locked="0"/>
    </xf>
    <xf numFmtId="3" fontId="0" fillId="2" borderId="90" xfId="0" applyNumberFormat="1" applyFill="1" applyBorder="1" applyAlignment="1" applyProtection="1">
      <alignment horizontal="center" vertical="center" wrapText="1"/>
      <protection locked="0"/>
    </xf>
    <xf numFmtId="0" fontId="0" fillId="2" borderId="93" xfId="0" applyFill="1" applyBorder="1" applyAlignment="1" applyProtection="1">
      <alignment horizontal="center" vertical="center" wrapText="1"/>
      <protection locked="0"/>
    </xf>
    <xf numFmtId="3" fontId="0" fillId="2" borderId="93" xfId="0" applyNumberFormat="1"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84" xfId="0"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0" fillId="2" borderId="88"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92"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6" fillId="2" borderId="86" xfId="0" applyFont="1" applyFill="1" applyBorder="1" applyAlignment="1" applyProtection="1">
      <alignment horizontal="center" vertical="center" shrinkToFit="1"/>
      <protection locked="0"/>
    </xf>
    <xf numFmtId="0" fontId="6" fillId="2" borderId="84" xfId="0" applyFont="1" applyFill="1" applyBorder="1" applyAlignment="1" applyProtection="1">
      <alignment horizontal="center" vertical="center" shrinkToFit="1"/>
      <protection locked="0"/>
    </xf>
    <xf numFmtId="0" fontId="6" fillId="2" borderId="89" xfId="0" applyFont="1" applyFill="1" applyBorder="1" applyAlignment="1" applyProtection="1">
      <alignment horizontal="center" vertical="center" shrinkToFit="1"/>
      <protection locked="0"/>
    </xf>
    <xf numFmtId="0" fontId="6" fillId="2" borderId="91"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shrinkToFit="1"/>
      <protection locked="0"/>
    </xf>
    <xf numFmtId="0" fontId="0" fillId="8" borderId="5" xfId="0" applyFill="1" applyBorder="1"/>
    <xf numFmtId="0" fontId="31" fillId="8" borderId="5" xfId="0" applyFont="1" applyFill="1" applyBorder="1" applyAlignment="1">
      <alignment horizontal="center" vertical="center" shrinkToFit="1"/>
    </xf>
    <xf numFmtId="0" fontId="33" fillId="8" borderId="5" xfId="0" applyFont="1" applyFill="1" applyBorder="1" applyAlignment="1">
      <alignment horizontal="center" vertical="center" shrinkToFit="1"/>
    </xf>
    <xf numFmtId="0" fontId="33" fillId="8" borderId="5" xfId="0" applyFont="1" applyFill="1" applyBorder="1" applyAlignment="1">
      <alignment vertical="center"/>
    </xf>
    <xf numFmtId="0" fontId="33" fillId="8" borderId="5" xfId="0" applyFont="1" applyFill="1" applyBorder="1" applyAlignment="1">
      <alignment horizontal="center" vertical="center"/>
    </xf>
    <xf numFmtId="0" fontId="34" fillId="8" borderId="5" xfId="0" applyFont="1" applyFill="1" applyBorder="1" applyAlignment="1">
      <alignment horizontal="center" vertical="center"/>
    </xf>
    <xf numFmtId="0" fontId="34" fillId="9" borderId="5" xfId="0" applyFont="1" applyFill="1" applyBorder="1" applyAlignment="1">
      <alignment horizontal="center" vertical="center"/>
    </xf>
    <xf numFmtId="1" fontId="34" fillId="8" borderId="5" xfId="0" applyNumberFormat="1" applyFont="1" applyFill="1" applyBorder="1" applyAlignment="1">
      <alignment horizontal="center" vertical="center"/>
    </xf>
    <xf numFmtId="0" fontId="35" fillId="8" borderId="5" xfId="0" applyFont="1" applyFill="1" applyBorder="1" applyAlignment="1">
      <alignment horizontal="center" vertical="center"/>
    </xf>
    <xf numFmtId="0" fontId="36" fillId="8" borderId="5" xfId="0" applyFont="1" applyFill="1" applyBorder="1"/>
    <xf numFmtId="0" fontId="37" fillId="8" borderId="5" xfId="0" applyFont="1" applyFill="1" applyBorder="1" applyAlignment="1">
      <alignment horizontal="center" vertical="center"/>
    </xf>
    <xf numFmtId="0" fontId="13" fillId="8" borderId="5" xfId="0" applyFont="1" applyFill="1" applyBorder="1" applyAlignment="1">
      <alignment vertical="top" shrinkToFit="1"/>
    </xf>
    <xf numFmtId="0" fontId="35" fillId="2" borderId="5" xfId="0" applyFont="1" applyFill="1" applyBorder="1" applyAlignment="1">
      <alignment horizontal="center" vertical="center"/>
    </xf>
    <xf numFmtId="0" fontId="38" fillId="2" borderId="5" xfId="0" applyFont="1" applyFill="1" applyBorder="1" applyAlignment="1">
      <alignment horizontal="center" vertical="center"/>
    </xf>
    <xf numFmtId="0" fontId="0" fillId="8" borderId="5" xfId="0" applyFill="1" applyBorder="1" applyAlignment="1">
      <alignment horizontal="center" vertical="center"/>
    </xf>
    <xf numFmtId="0" fontId="13" fillId="8" borderId="5" xfId="0" applyFont="1" applyFill="1" applyBorder="1" applyAlignment="1">
      <alignment vertical="center" shrinkToFit="1"/>
    </xf>
    <xf numFmtId="0" fontId="13" fillId="8" borderId="5" xfId="0" applyFont="1" applyFill="1" applyBorder="1" applyAlignment="1">
      <alignment vertical="top" wrapText="1"/>
    </xf>
    <xf numFmtId="3" fontId="39" fillId="8" borderId="5" xfId="0" applyNumberFormat="1" applyFont="1" applyFill="1" applyBorder="1" applyAlignment="1">
      <alignment horizontal="center" vertical="center"/>
    </xf>
    <xf numFmtId="3" fontId="39" fillId="9" borderId="5" xfId="0" applyNumberFormat="1" applyFont="1" applyFill="1" applyBorder="1" applyAlignment="1">
      <alignment horizontal="center" vertical="center" shrinkToFit="1"/>
    </xf>
    <xf numFmtId="3" fontId="33" fillId="8" borderId="5" xfId="0" applyNumberFormat="1" applyFont="1" applyFill="1" applyBorder="1" applyAlignment="1">
      <alignment horizontal="center" vertical="center"/>
    </xf>
    <xf numFmtId="0" fontId="31" fillId="8" borderId="5" xfId="0" applyFont="1" applyFill="1" applyBorder="1" applyAlignment="1">
      <alignment vertical="center"/>
    </xf>
    <xf numFmtId="0" fontId="5" fillId="4" borderId="13" xfId="0" applyFont="1" applyFill="1" applyBorder="1"/>
    <xf numFmtId="0" fontId="5" fillId="4" borderId="14" xfId="0" applyFont="1" applyFill="1" applyBorder="1"/>
    <xf numFmtId="0" fontId="5" fillId="4" borderId="103" xfId="0" applyFont="1" applyFill="1" applyBorder="1"/>
    <xf numFmtId="0" fontId="40" fillId="4" borderId="103" xfId="0" applyFont="1" applyFill="1" applyBorder="1" applyAlignment="1">
      <alignment horizontal="center" vertical="center" shrinkToFit="1"/>
    </xf>
    <xf numFmtId="0" fontId="42" fillId="4" borderId="5" xfId="0" applyFont="1" applyFill="1" applyBorder="1" applyAlignment="1">
      <alignment horizontal="center" vertical="center" shrinkToFit="1"/>
    </xf>
    <xf numFmtId="0" fontId="42" fillId="4" borderId="5" xfId="0" applyFont="1" applyFill="1" applyBorder="1" applyAlignment="1">
      <alignment vertical="center"/>
    </xf>
    <xf numFmtId="0" fontId="42" fillId="4" borderId="104" xfId="0" applyFont="1" applyFill="1" applyBorder="1" applyAlignment="1">
      <alignment horizontal="center" vertical="center"/>
    </xf>
    <xf numFmtId="0" fontId="42" fillId="4" borderId="5" xfId="0" applyFont="1" applyFill="1" applyBorder="1" applyAlignment="1">
      <alignment horizontal="center" vertical="center"/>
    </xf>
    <xf numFmtId="0" fontId="43" fillId="4" borderId="5" xfId="0" applyFont="1" applyFill="1" applyBorder="1" applyAlignment="1">
      <alignment horizontal="center" vertical="center"/>
    </xf>
    <xf numFmtId="0" fontId="43" fillId="4" borderId="10" xfId="0" applyFont="1" applyFill="1" applyBorder="1" applyAlignment="1">
      <alignment horizontal="center" vertical="center"/>
    </xf>
    <xf numFmtId="1" fontId="43" fillId="4" borderId="5" xfId="0" applyNumberFormat="1" applyFont="1" applyFill="1" applyBorder="1" applyAlignment="1">
      <alignment horizontal="center" vertical="center"/>
    </xf>
    <xf numFmtId="0" fontId="44" fillId="4" borderId="103" xfId="0" applyFont="1" applyFill="1" applyBorder="1"/>
    <xf numFmtId="0" fontId="45" fillId="4" borderId="5" xfId="0" applyFont="1" applyFill="1" applyBorder="1" applyAlignment="1">
      <alignment horizontal="center" vertical="center"/>
    </xf>
    <xf numFmtId="0" fontId="41" fillId="4" borderId="103" xfId="0" applyFont="1" applyFill="1" applyBorder="1" applyAlignment="1">
      <alignment vertical="top" shrinkToFit="1"/>
    </xf>
    <xf numFmtId="0" fontId="5" fillId="4" borderId="5" xfId="0" applyFont="1" applyFill="1" applyBorder="1"/>
    <xf numFmtId="0" fontId="41" fillId="4" borderId="103" xfId="0" applyFont="1" applyFill="1" applyBorder="1" applyAlignment="1">
      <alignment vertical="center" shrinkToFit="1"/>
    </xf>
    <xf numFmtId="0" fontId="44" fillId="4" borderId="5" xfId="0" applyFont="1" applyFill="1" applyBorder="1"/>
    <xf numFmtId="0" fontId="41" fillId="4" borderId="5" xfId="0" applyFont="1" applyFill="1" applyBorder="1" applyAlignment="1">
      <alignment vertical="top" wrapText="1"/>
    </xf>
    <xf numFmtId="0" fontId="41" fillId="4" borderId="103" xfId="0" applyFont="1" applyFill="1" applyBorder="1" applyAlignment="1">
      <alignment vertical="top" wrapText="1"/>
    </xf>
    <xf numFmtId="3" fontId="46" fillId="4" borderId="5" xfId="0" applyNumberFormat="1" applyFont="1" applyFill="1" applyBorder="1" applyAlignment="1">
      <alignment horizontal="center" vertical="center"/>
    </xf>
    <xf numFmtId="3" fontId="46" fillId="4" borderId="10" xfId="0" applyNumberFormat="1" applyFont="1" applyFill="1" applyBorder="1" applyAlignment="1">
      <alignment horizontal="center" vertical="center" shrinkToFit="1"/>
    </xf>
    <xf numFmtId="3" fontId="42" fillId="4" borderId="5" xfId="0" applyNumberFormat="1" applyFont="1" applyFill="1" applyBorder="1" applyAlignment="1">
      <alignment horizontal="center" vertical="center"/>
    </xf>
    <xf numFmtId="0" fontId="41" fillId="4" borderId="38" xfId="0" applyFont="1" applyFill="1" applyBorder="1" applyAlignment="1">
      <alignment vertical="top" wrapText="1"/>
    </xf>
    <xf numFmtId="0" fontId="0" fillId="4" borderId="5" xfId="0" applyFill="1" applyBorder="1"/>
    <xf numFmtId="0" fontId="34" fillId="11" borderId="5" xfId="0" applyFont="1" applyFill="1" applyBorder="1" applyAlignment="1">
      <alignment horizontal="center" vertical="center"/>
    </xf>
    <xf numFmtId="0" fontId="33" fillId="11" borderId="5" xfId="0" applyFont="1" applyFill="1" applyBorder="1" applyAlignment="1">
      <alignment horizontal="center" vertical="center"/>
    </xf>
    <xf numFmtId="3" fontId="33" fillId="11" borderId="5" xfId="0" applyNumberFormat="1" applyFont="1" applyFill="1" applyBorder="1" applyAlignment="1">
      <alignment horizontal="center" vertical="center"/>
    </xf>
    <xf numFmtId="0" fontId="0" fillId="11" borderId="5" xfId="0" applyFill="1" applyBorder="1"/>
    <xf numFmtId="0" fontId="1" fillId="10" borderId="99" xfId="0" applyFont="1" applyFill="1" applyBorder="1"/>
    <xf numFmtId="0" fontId="1" fillId="10" borderId="100" xfId="0" applyFont="1" applyFill="1" applyBorder="1"/>
    <xf numFmtId="0" fontId="57" fillId="0" borderId="0" xfId="0" applyFont="1" applyAlignment="1">
      <alignment horizontal="center" vertical="center"/>
    </xf>
    <xf numFmtId="0" fontId="58" fillId="3" borderId="10" xfId="0" applyFont="1" applyFill="1" applyBorder="1" applyAlignment="1">
      <alignment horizontal="center" vertical="center"/>
    </xf>
    <xf numFmtId="0" fontId="10" fillId="0" borderId="102" xfId="0" applyFont="1" applyBorder="1" applyAlignment="1">
      <alignment vertical="center" wrapText="1"/>
    </xf>
    <xf numFmtId="0" fontId="10" fillId="0" borderId="0" xfId="0" applyFont="1" applyAlignment="1">
      <alignment vertical="center" wrapText="1"/>
    </xf>
    <xf numFmtId="0" fontId="59" fillId="0" borderId="0" xfId="0" applyFont="1" applyAlignment="1">
      <alignment horizontal="center" vertical="center" wrapText="1"/>
    </xf>
    <xf numFmtId="0" fontId="59" fillId="0" borderId="0" xfId="0" applyFont="1" applyAlignment="1">
      <alignment horizontal="center" vertical="center"/>
    </xf>
    <xf numFmtId="3" fontId="60" fillId="0" borderId="0" xfId="0" applyNumberFormat="1" applyFont="1" applyAlignment="1">
      <alignment horizontal="right" vertical="center"/>
    </xf>
    <xf numFmtId="0" fontId="61" fillId="2" borderId="5" xfId="0" applyFont="1" applyFill="1" applyBorder="1" applyAlignment="1">
      <alignment horizontal="center" vertical="center"/>
    </xf>
    <xf numFmtId="0" fontId="62" fillId="2" borderId="5" xfId="0" applyFont="1" applyFill="1" applyBorder="1" applyAlignment="1">
      <alignment horizontal="center" vertical="center"/>
    </xf>
    <xf numFmtId="0" fontId="37" fillId="0" borderId="5" xfId="0" applyFont="1" applyBorder="1" applyAlignment="1">
      <alignment horizontal="center" vertical="center"/>
    </xf>
    <xf numFmtId="0" fontId="34" fillId="0" borderId="5" xfId="0" applyFont="1" applyBorder="1" applyAlignment="1">
      <alignment horizontal="center" vertical="center"/>
    </xf>
    <xf numFmtId="0" fontId="0" fillId="0" borderId="5" xfId="0" applyBorder="1" applyAlignment="1">
      <alignment horizontal="center" vertical="center"/>
    </xf>
    <xf numFmtId="0" fontId="33" fillId="0" borderId="5" xfId="0" applyFont="1" applyBorder="1" applyAlignment="1">
      <alignment horizontal="center" vertical="center"/>
    </xf>
    <xf numFmtId="0" fontId="13" fillId="0" borderId="5" xfId="0" applyFont="1" applyBorder="1" applyAlignment="1">
      <alignment vertical="top" shrinkToFit="1"/>
    </xf>
    <xf numFmtId="0" fontId="35" fillId="0" borderId="125" xfId="0" applyFont="1" applyBorder="1" applyAlignment="1">
      <alignment horizontal="center" vertical="center"/>
    </xf>
    <xf numFmtId="0" fontId="38" fillId="0" borderId="126" xfId="0" applyFont="1" applyBorder="1" applyAlignment="1">
      <alignment horizontal="center" vertical="center"/>
    </xf>
    <xf numFmtId="0" fontId="62" fillId="0" borderId="125" xfId="0" applyFont="1" applyBorder="1" applyAlignment="1">
      <alignment horizontal="center" vertical="center"/>
    </xf>
    <xf numFmtId="0" fontId="61" fillId="0" borderId="125" xfId="0" applyFont="1" applyBorder="1" applyAlignment="1">
      <alignment horizontal="center" vertical="center"/>
    </xf>
    <xf numFmtId="0" fontId="57" fillId="0" borderId="0" xfId="0" applyFont="1" applyAlignment="1">
      <alignment horizontal="left" vertical="center"/>
    </xf>
    <xf numFmtId="3" fontId="57" fillId="0" borderId="0" xfId="0" applyNumberFormat="1" applyFont="1" applyAlignment="1">
      <alignment horizontal="center" vertical="center"/>
    </xf>
    <xf numFmtId="0" fontId="48" fillId="2" borderId="5" xfId="0" applyFont="1" applyFill="1" applyBorder="1" applyAlignment="1">
      <alignment horizontal="center" vertical="center" wrapText="1"/>
    </xf>
    <xf numFmtId="0" fontId="0" fillId="2" borderId="102" xfId="0" applyFill="1" applyBorder="1" applyAlignment="1">
      <alignment horizontal="center" vertical="center" wrapText="1"/>
    </xf>
    <xf numFmtId="0" fontId="48" fillId="0" borderId="0" xfId="0" applyFont="1" applyAlignment="1">
      <alignment horizontal="center" vertical="center" wrapText="1"/>
    </xf>
    <xf numFmtId="0" fontId="48" fillId="2" borderId="102" xfId="0" applyFont="1" applyFill="1" applyBorder="1" applyAlignment="1">
      <alignment horizontal="center" vertical="center" wrapText="1"/>
    </xf>
    <xf numFmtId="0" fontId="3" fillId="4" borderId="102" xfId="0" applyFont="1" applyFill="1" applyBorder="1"/>
    <xf numFmtId="0" fontId="10" fillId="0" borderId="102" xfId="0" applyFont="1" applyBorder="1" applyAlignment="1">
      <alignment horizontal="center" vertical="center" wrapText="1"/>
    </xf>
    <xf numFmtId="0" fontId="20" fillId="0" borderId="0" xfId="0" applyFont="1" applyAlignment="1">
      <alignment horizontal="center" vertical="center"/>
    </xf>
    <xf numFmtId="0" fontId="8" fillId="0" borderId="102" xfId="0" applyFont="1" applyBorder="1" applyAlignment="1">
      <alignment vertical="center"/>
    </xf>
    <xf numFmtId="0" fontId="8" fillId="0" borderId="102" xfId="0" applyFont="1" applyBorder="1" applyAlignment="1">
      <alignment horizontal="left" vertical="center"/>
    </xf>
    <xf numFmtId="3" fontId="66" fillId="0" borderId="0" xfId="0" applyNumberFormat="1" applyFont="1" applyAlignment="1">
      <alignment horizontal="center" vertical="center"/>
    </xf>
    <xf numFmtId="3" fontId="57" fillId="0" borderId="0" xfId="0" applyNumberFormat="1" applyFont="1" applyAlignment="1">
      <alignment horizontal="center"/>
    </xf>
    <xf numFmtId="0" fontId="0" fillId="0" borderId="117" xfId="0" applyBorder="1" applyAlignment="1">
      <alignment horizontal="left" vertical="center"/>
    </xf>
    <xf numFmtId="0" fontId="0" fillId="0" borderId="119" xfId="0" applyBorder="1" applyAlignment="1">
      <alignment horizontal="left" vertical="center"/>
    </xf>
    <xf numFmtId="0" fontId="0" fillId="0" borderId="0" xfId="0" applyAlignment="1">
      <alignment horizontal="left" vertical="center"/>
    </xf>
    <xf numFmtId="0" fontId="0" fillId="0" borderId="118" xfId="0" applyBorder="1" applyAlignment="1">
      <alignment horizontal="left" vertical="center"/>
    </xf>
    <xf numFmtId="0" fontId="0" fillId="0" borderId="120" xfId="0" applyBorder="1" applyAlignment="1">
      <alignment horizontal="left" vertical="center"/>
    </xf>
    <xf numFmtId="0" fontId="0" fillId="0" borderId="121" xfId="0" applyBorder="1" applyAlignment="1">
      <alignment horizontal="center" vertical="center"/>
    </xf>
    <xf numFmtId="0" fontId="0" fillId="0" borderId="122" xfId="0" applyBorder="1" applyAlignment="1">
      <alignment horizontal="left" vertical="center"/>
    </xf>
    <xf numFmtId="0" fontId="0" fillId="0" borderId="123" xfId="0" applyBorder="1" applyAlignment="1">
      <alignment horizontal="left" vertical="center"/>
    </xf>
    <xf numFmtId="0" fontId="0" fillId="0" borderId="124" xfId="0" applyBorder="1" applyAlignment="1">
      <alignment horizontal="left" vertical="center"/>
    </xf>
    <xf numFmtId="0" fontId="0" fillId="0" borderId="120" xfId="0" applyBorder="1" applyAlignment="1">
      <alignment horizontal="center" vertical="center"/>
    </xf>
    <xf numFmtId="0" fontId="0" fillId="0" borderId="102" xfId="0" applyBorder="1" applyAlignment="1">
      <alignment horizontal="center" vertical="center"/>
    </xf>
    <xf numFmtId="0" fontId="0" fillId="0" borderId="118" xfId="0" applyBorder="1" applyAlignment="1">
      <alignment horizontal="center" vertical="center"/>
    </xf>
    <xf numFmtId="0" fontId="0" fillId="0" borderId="102" xfId="0" applyBorder="1" applyAlignment="1">
      <alignment horizontal="left"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66" fillId="0" borderId="0" xfId="0" applyFont="1" applyAlignment="1">
      <alignment horizontal="center"/>
    </xf>
    <xf numFmtId="0" fontId="0" fillId="0" borderId="102" xfId="0" applyBorder="1"/>
    <xf numFmtId="0" fontId="0" fillId="0" borderId="121" xfId="0" applyBorder="1"/>
    <xf numFmtId="0" fontId="0" fillId="0" borderId="102" xfId="0" applyBorder="1" applyAlignment="1">
      <alignment horizontal="center"/>
    </xf>
    <xf numFmtId="0" fontId="48" fillId="0" borderId="120" xfId="0" applyFont="1" applyBorder="1" applyAlignment="1">
      <alignment horizontal="left" vertical="center"/>
    </xf>
    <xf numFmtId="0" fontId="0" fillId="0" borderId="116" xfId="0" applyBorder="1" applyAlignment="1" applyProtection="1">
      <alignment horizontal="center" vertical="center"/>
      <protection locked="0"/>
    </xf>
    <xf numFmtId="0" fontId="11" fillId="0" borderId="2"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8" fillId="3" borderId="83" xfId="0" applyFont="1" applyFill="1" applyBorder="1" applyAlignment="1">
      <alignment horizontal="center" vertical="center" shrinkToFit="1"/>
    </xf>
    <xf numFmtId="0" fontId="68" fillId="3" borderId="48" xfId="0" applyFont="1" applyFill="1" applyBorder="1" applyAlignment="1">
      <alignment horizontal="center" vertical="center" shrinkToFit="1"/>
    </xf>
    <xf numFmtId="0" fontId="69" fillId="3" borderId="58" xfId="0" applyFont="1" applyFill="1" applyBorder="1" applyAlignment="1">
      <alignment horizontal="center" vertical="center" wrapText="1"/>
    </xf>
    <xf numFmtId="0" fontId="70" fillId="3" borderId="58" xfId="0" applyFont="1" applyFill="1" applyBorder="1" applyAlignment="1">
      <alignment horizontal="center" vertical="center"/>
    </xf>
    <xf numFmtId="0" fontId="0" fillId="0" borderId="119" xfId="0" applyBorder="1" applyAlignment="1">
      <alignment horizontal="center" vertical="center"/>
    </xf>
    <xf numFmtId="0" fontId="57" fillId="0" borderId="0" xfId="0" applyFont="1" applyAlignment="1">
      <alignment horizontal="center"/>
    </xf>
    <xf numFmtId="0" fontId="72" fillId="0" borderId="0" xfId="0" applyFont="1"/>
    <xf numFmtId="0" fontId="48" fillId="0" borderId="0" xfId="0" applyFont="1"/>
    <xf numFmtId="0" fontId="57" fillId="0" borderId="0" xfId="0" applyFont="1" applyAlignment="1">
      <alignment vertical="center"/>
    </xf>
    <xf numFmtId="0" fontId="12" fillId="2" borderId="105" xfId="0" applyFont="1" applyFill="1" applyBorder="1" applyAlignment="1">
      <alignment horizontal="right" vertical="center"/>
    </xf>
    <xf numFmtId="0" fontId="12" fillId="2" borderId="43" xfId="0" applyFont="1" applyFill="1" applyBorder="1" applyAlignment="1">
      <alignment horizontal="center" vertical="center"/>
    </xf>
    <xf numFmtId="0" fontId="12" fillId="2" borderId="106" xfId="0" applyFont="1" applyFill="1" applyBorder="1" applyAlignment="1">
      <alignment horizontal="left" vertical="center"/>
    </xf>
    <xf numFmtId="165" fontId="13" fillId="2" borderId="79" xfId="0" applyNumberFormat="1" applyFont="1" applyFill="1" applyBorder="1" applyAlignment="1" applyProtection="1">
      <alignment horizontal="center" vertical="center" shrinkToFit="1"/>
      <protection locked="0"/>
    </xf>
    <xf numFmtId="0" fontId="70" fillId="3" borderId="53" xfId="0" applyFont="1" applyFill="1" applyBorder="1" applyAlignment="1">
      <alignment horizontal="center" vertical="center"/>
    </xf>
    <xf numFmtId="0" fontId="0" fillId="0" borderId="0" xfId="0" applyAlignment="1">
      <alignment vertical="center"/>
    </xf>
    <xf numFmtId="0" fontId="57" fillId="0" borderId="0" xfId="0" applyFont="1" applyAlignment="1">
      <alignment horizontal="center" vertical="center" wrapText="1"/>
    </xf>
    <xf numFmtId="0" fontId="57" fillId="0" borderId="0" xfId="0" applyFont="1" applyAlignment="1">
      <alignment horizontal="center" vertical="center" shrinkToFit="1"/>
    </xf>
    <xf numFmtId="0" fontId="59" fillId="0" borderId="0" xfId="0" applyFont="1" applyAlignment="1">
      <alignment horizontal="left" vertical="center"/>
    </xf>
    <xf numFmtId="0" fontId="57" fillId="0" borderId="0" xfId="0" quotePrefix="1" applyFont="1" applyAlignment="1">
      <alignment horizontal="center"/>
    </xf>
    <xf numFmtId="0" fontId="66" fillId="0" borderId="0" xfId="0" applyFont="1" applyAlignment="1">
      <alignment horizontal="center" vertical="center"/>
    </xf>
    <xf numFmtId="3" fontId="72" fillId="0" borderId="0" xfId="0" applyNumberFormat="1" applyFont="1"/>
    <xf numFmtId="0" fontId="0" fillId="0" borderId="10" xfId="0" applyBorder="1" applyAlignment="1">
      <alignment horizontal="center"/>
    </xf>
    <xf numFmtId="3" fontId="60" fillId="0" borderId="0" xfId="0" applyNumberFormat="1" applyFont="1" applyAlignment="1">
      <alignment horizontal="center" vertical="center"/>
    </xf>
    <xf numFmtId="0" fontId="8" fillId="3" borderId="116" xfId="0" applyFont="1" applyFill="1" applyBorder="1" applyAlignment="1">
      <alignment horizontal="center" vertical="center"/>
    </xf>
    <xf numFmtId="0" fontId="0" fillId="0" borderId="116" xfId="0" applyBorder="1" applyAlignment="1">
      <alignment horizontal="center" vertical="center"/>
    </xf>
    <xf numFmtId="0" fontId="0" fillId="12" borderId="116" xfId="0" applyFill="1" applyBorder="1" applyAlignment="1">
      <alignment horizontal="center" vertical="center"/>
    </xf>
    <xf numFmtId="0" fontId="8" fillId="3" borderId="17" xfId="0" applyFont="1" applyFill="1" applyBorder="1" applyAlignment="1">
      <alignment horizontal="center" vertical="center"/>
    </xf>
    <xf numFmtId="0" fontId="19" fillId="3" borderId="113" xfId="0" applyFont="1" applyFill="1" applyBorder="1" applyAlignment="1">
      <alignment horizontal="center" vertical="center" wrapText="1"/>
    </xf>
    <xf numFmtId="0" fontId="8" fillId="3" borderId="126" xfId="0" applyFont="1" applyFill="1" applyBorder="1" applyAlignment="1">
      <alignment horizontal="center" vertical="center"/>
    </xf>
    <xf numFmtId="0" fontId="8" fillId="3" borderId="15" xfId="0" applyFont="1" applyFill="1" applyBorder="1" applyAlignment="1">
      <alignment horizontal="center" vertical="center"/>
    </xf>
    <xf numFmtId="0" fontId="8" fillId="13" borderId="102" xfId="0" applyFont="1" applyFill="1" applyBorder="1" applyAlignment="1">
      <alignment horizontal="center" vertical="center"/>
    </xf>
    <xf numFmtId="0" fontId="0" fillId="13" borderId="102" xfId="0" applyFill="1" applyBorder="1" applyAlignment="1">
      <alignment horizontal="center" vertical="center"/>
    </xf>
    <xf numFmtId="0" fontId="9" fillId="0" borderId="0" xfId="0" applyFont="1" applyAlignment="1">
      <alignment horizontal="center" vertical="center" shrinkToFit="1"/>
    </xf>
    <xf numFmtId="3" fontId="9" fillId="0" borderId="0" xfId="0" applyNumberFormat="1" applyFont="1" applyAlignment="1">
      <alignment horizontal="center" vertical="center" shrinkToFit="1"/>
    </xf>
    <xf numFmtId="0" fontId="0" fillId="2" borderId="1" xfId="0" applyFill="1" applyBorder="1" applyAlignment="1">
      <alignment horizontal="center" vertical="center" wrapText="1"/>
    </xf>
    <xf numFmtId="0" fontId="1" fillId="0" borderId="6" xfId="0" applyFont="1" applyBorder="1"/>
    <xf numFmtId="0" fontId="1" fillId="0" borderId="102" xfId="0" applyFont="1" applyBorder="1"/>
    <xf numFmtId="0" fontId="0" fillId="0" borderId="127" xfId="0" applyBorder="1" applyAlignment="1">
      <alignment horizontal="center" vertical="center" wrapText="1"/>
    </xf>
    <xf numFmtId="0" fontId="0" fillId="0" borderId="128" xfId="0" applyBorder="1" applyAlignment="1">
      <alignment horizontal="center" vertical="center" wrapText="1"/>
    </xf>
    <xf numFmtId="0" fontId="0" fillId="0" borderId="129" xfId="0" applyBorder="1" applyAlignment="1">
      <alignment horizontal="center" vertical="center" wrapText="1"/>
    </xf>
    <xf numFmtId="0" fontId="48" fillId="2" borderId="123" xfId="0" applyFont="1" applyFill="1" applyBorder="1" applyAlignment="1">
      <alignment horizontal="center" vertical="center" wrapText="1"/>
    </xf>
    <xf numFmtId="0" fontId="0" fillId="2" borderId="123" xfId="0" applyFill="1" applyBorder="1" applyAlignment="1">
      <alignment horizontal="center" vertical="center" wrapText="1"/>
    </xf>
    <xf numFmtId="0" fontId="65" fillId="2" borderId="102" xfId="1" applyFont="1" applyFill="1" applyBorder="1" applyAlignment="1">
      <alignment horizontal="center" vertical="center" wrapText="1"/>
    </xf>
    <xf numFmtId="0" fontId="0" fillId="2" borderId="102" xfId="0" applyFill="1" applyBorder="1" applyAlignment="1">
      <alignment horizontal="center" vertical="center" wrapText="1"/>
    </xf>
    <xf numFmtId="0" fontId="63" fillId="3" borderId="2" xfId="0" applyFont="1" applyFill="1" applyBorder="1" applyAlignment="1">
      <alignment horizontal="center" vertical="center" wrapText="1"/>
    </xf>
    <xf numFmtId="0" fontId="1" fillId="0" borderId="3" xfId="0" applyFont="1" applyBorder="1"/>
    <xf numFmtId="0" fontId="1" fillId="0" borderId="4" xfId="0" applyFont="1" applyBorder="1"/>
    <xf numFmtId="0" fontId="0" fillId="2" borderId="7" xfId="0" applyFill="1" applyBorder="1" applyAlignment="1">
      <alignment horizontal="center" wrapText="1"/>
    </xf>
    <xf numFmtId="0" fontId="1" fillId="0" borderId="8" xfId="0" applyFont="1" applyBorder="1"/>
    <xf numFmtId="0" fontId="1" fillId="0" borderId="9" xfId="0" applyFont="1" applyBorder="1"/>
    <xf numFmtId="0" fontId="2" fillId="2" borderId="7" xfId="0" applyFont="1" applyFill="1" applyBorder="1" applyAlignment="1">
      <alignment horizontal="center" wrapText="1"/>
    </xf>
    <xf numFmtId="0" fontId="0" fillId="2" borderId="7" xfId="0" applyFill="1" applyBorder="1" applyAlignment="1">
      <alignment horizontal="center" vertical="center" wrapText="1"/>
    </xf>
    <xf numFmtId="0" fontId="4" fillId="3" borderId="127" xfId="0" applyFont="1" applyFill="1" applyBorder="1" applyAlignment="1">
      <alignment horizontal="center" vertical="center" wrapText="1"/>
    </xf>
    <xf numFmtId="0" fontId="4" fillId="3" borderId="128" xfId="0" applyFont="1" applyFill="1" applyBorder="1" applyAlignment="1">
      <alignment horizontal="center" vertical="center" wrapText="1"/>
    </xf>
    <xf numFmtId="0" fontId="4" fillId="3" borderId="129" xfId="0" applyFont="1" applyFill="1" applyBorder="1" applyAlignment="1">
      <alignment horizontal="center" vertical="center" wrapText="1"/>
    </xf>
    <xf numFmtId="3" fontId="11" fillId="2" borderId="131" xfId="0" applyNumberFormat="1" applyFont="1" applyFill="1" applyBorder="1" applyAlignment="1">
      <alignment horizontal="center" vertical="center"/>
    </xf>
    <xf numFmtId="3" fontId="11" fillId="2" borderId="29" xfId="0" applyNumberFormat="1" applyFont="1" applyFill="1" applyBorder="1" applyAlignment="1">
      <alignment horizontal="center" vertical="center"/>
    </xf>
    <xf numFmtId="3" fontId="11" fillId="2" borderId="21" xfId="0" applyNumberFormat="1" applyFont="1" applyFill="1" applyBorder="1" applyAlignment="1">
      <alignment horizontal="center" vertical="center"/>
    </xf>
    <xf numFmtId="0" fontId="76" fillId="0" borderId="25" xfId="0" applyFont="1" applyBorder="1" applyAlignment="1">
      <alignment horizontal="center" vertical="center" shrinkToFit="1"/>
    </xf>
    <xf numFmtId="0" fontId="77" fillId="0" borderId="21" xfId="0" applyFont="1" applyBorder="1"/>
    <xf numFmtId="0" fontId="11" fillId="0" borderId="25"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25" xfId="0" applyFont="1" applyBorder="1" applyAlignment="1">
      <alignment horizontal="center" vertical="center" shrinkToFit="1"/>
    </xf>
    <xf numFmtId="0" fontId="11" fillId="0" borderId="21" xfId="0" applyFont="1" applyBorder="1" applyAlignment="1">
      <alignment horizontal="center" vertical="center" shrinkToFit="1"/>
    </xf>
    <xf numFmtId="0" fontId="48" fillId="0" borderId="2" xfId="0" applyFont="1" applyBorder="1" applyAlignment="1" applyProtection="1">
      <alignment horizontal="center" vertical="center" shrinkToFit="1"/>
      <protection locked="0"/>
    </xf>
    <xf numFmtId="0" fontId="50" fillId="0" borderId="3" xfId="0" applyFont="1" applyBorder="1" applyProtection="1">
      <protection locked="0"/>
    </xf>
    <xf numFmtId="0" fontId="50" fillId="0" borderId="4" xfId="0" applyFont="1" applyBorder="1" applyProtection="1">
      <protection locked="0"/>
    </xf>
    <xf numFmtId="0" fontId="19" fillId="3" borderId="15" xfId="0" applyFont="1" applyFill="1" applyBorder="1" applyAlignment="1">
      <alignment horizontal="center" vertical="center"/>
    </xf>
    <xf numFmtId="0" fontId="19" fillId="3" borderId="19" xfId="0" applyFont="1" applyFill="1" applyBorder="1" applyAlignment="1">
      <alignment horizontal="center" vertical="center"/>
    </xf>
    <xf numFmtId="0" fontId="9" fillId="2" borderId="105"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protection locked="0"/>
    </xf>
    <xf numFmtId="0" fontId="9" fillId="2" borderId="113" xfId="0" applyFont="1" applyFill="1" applyBorder="1" applyAlignment="1" applyProtection="1">
      <alignment horizontal="center" vertical="center"/>
      <protection locked="0"/>
    </xf>
    <xf numFmtId="0" fontId="9" fillId="2" borderId="102"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protection locked="0"/>
    </xf>
    <xf numFmtId="0" fontId="9" fillId="2" borderId="41" xfId="0" applyFont="1" applyFill="1" applyBorder="1" applyAlignment="1">
      <alignment horizontal="left"/>
    </xf>
    <xf numFmtId="0" fontId="1" fillId="0" borderId="42" xfId="0" applyFont="1" applyBorder="1"/>
    <xf numFmtId="0" fontId="1" fillId="0" borderId="43" xfId="0" applyFont="1" applyBorder="1"/>
    <xf numFmtId="0" fontId="17" fillId="2" borderId="36" xfId="0" applyFont="1" applyFill="1" applyBorder="1" applyAlignment="1">
      <alignment horizontal="left" vertical="top" wrapText="1"/>
    </xf>
    <xf numFmtId="0" fontId="1" fillId="0" borderId="33" xfId="0" applyFont="1" applyBorder="1"/>
    <xf numFmtId="0" fontId="1" fillId="0" borderId="47" xfId="0" applyFont="1" applyBorder="1"/>
    <xf numFmtId="0" fontId="1" fillId="0" borderId="37" xfId="0" applyFont="1" applyBorder="1"/>
    <xf numFmtId="0" fontId="1" fillId="0" borderId="19" xfId="0" applyFont="1" applyBorder="1"/>
    <xf numFmtId="0" fontId="19" fillId="3" borderId="22" xfId="0" applyFont="1" applyFill="1" applyBorder="1" applyAlignment="1">
      <alignment horizontal="center" vertical="center" wrapText="1"/>
    </xf>
    <xf numFmtId="0" fontId="1" fillId="0" borderId="24" xfId="0" applyFont="1" applyBorder="1"/>
    <xf numFmtId="0" fontId="1" fillId="0" borderId="39" xfId="0" applyFont="1" applyBorder="1"/>
    <xf numFmtId="0" fontId="1" fillId="0" borderId="40" xfId="0" applyFont="1" applyBorder="1"/>
    <xf numFmtId="0" fontId="11" fillId="0" borderId="29" xfId="0" applyFont="1" applyBorder="1" applyAlignment="1" applyProtection="1">
      <alignment horizontal="center" vertical="center" shrinkToFit="1"/>
      <protection locked="0"/>
    </xf>
    <xf numFmtId="0" fontId="15" fillId="3" borderId="116" xfId="0" applyFont="1" applyFill="1" applyBorder="1" applyAlignment="1">
      <alignment horizontal="center" vertical="center" shrinkToFit="1"/>
    </xf>
    <xf numFmtId="0" fontId="1" fillId="0" borderId="116" xfId="0" applyFont="1" applyBorder="1"/>
    <xf numFmtId="0" fontId="9" fillId="14" borderId="102" xfId="0" applyFont="1" applyFill="1" applyBorder="1" applyAlignment="1">
      <alignment horizontal="center" vertical="center"/>
    </xf>
    <xf numFmtId="3" fontId="9" fillId="14" borderId="102" xfId="0" applyNumberFormat="1" applyFont="1" applyFill="1" applyBorder="1" applyAlignment="1">
      <alignment horizontal="center" vertical="center"/>
    </xf>
    <xf numFmtId="0" fontId="13" fillId="0" borderId="25"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3" fontId="11" fillId="5" borderId="25" xfId="0" applyNumberFormat="1" applyFont="1" applyFill="1" applyBorder="1" applyAlignment="1">
      <alignment horizontal="center" vertical="center" shrinkToFit="1"/>
    </xf>
    <xf numFmtId="3" fontId="11" fillId="5" borderId="130" xfId="0" applyNumberFormat="1" applyFont="1" applyFill="1" applyBorder="1" applyAlignment="1">
      <alignment horizontal="center" vertical="center" shrinkToFit="1"/>
    </xf>
    <xf numFmtId="0" fontId="9"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8" fillId="3" borderId="25" xfId="0" applyFont="1" applyFill="1" applyBorder="1" applyAlignment="1">
      <alignment horizontal="center" vertical="center"/>
    </xf>
    <xf numFmtId="0" fontId="8" fillId="3" borderId="21" xfId="0" applyFont="1" applyFill="1" applyBorder="1" applyAlignment="1">
      <alignment horizontal="center" vertical="center"/>
    </xf>
    <xf numFmtId="0" fontId="49" fillId="2" borderId="2" xfId="0" applyFont="1" applyFill="1" applyBorder="1" applyAlignment="1">
      <alignment horizontal="center" vertical="center" wrapText="1"/>
    </xf>
    <xf numFmtId="0" fontId="50" fillId="0" borderId="3" xfId="0" applyFont="1" applyBorder="1"/>
    <xf numFmtId="0" fontId="50" fillId="0" borderId="4" xfId="0" applyFont="1" applyBorder="1"/>
    <xf numFmtId="3" fontId="49" fillId="2"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0" fontId="0" fillId="0" borderId="25"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2" borderId="29" xfId="0" applyFill="1" applyBorder="1" applyAlignment="1" applyProtection="1">
      <alignment horizontal="center" vertical="center"/>
      <protection locked="0"/>
    </xf>
    <xf numFmtId="0" fontId="1" fillId="0" borderId="3" xfId="0" applyFont="1" applyBorder="1" applyProtection="1">
      <protection locked="0"/>
    </xf>
    <xf numFmtId="0" fontId="1" fillId="0" borderId="4" xfId="0" applyFont="1" applyBorder="1" applyProtection="1">
      <protection locked="0"/>
    </xf>
    <xf numFmtId="0" fontId="74" fillId="0" borderId="29" xfId="0" applyFont="1" applyBorder="1" applyAlignment="1" applyProtection="1">
      <alignment horizontal="center" vertical="center"/>
      <protection locked="0"/>
    </xf>
    <xf numFmtId="0" fontId="75" fillId="0" borderId="3" xfId="0" applyFont="1" applyBorder="1" applyProtection="1">
      <protection locked="0"/>
    </xf>
    <xf numFmtId="0" fontId="75" fillId="0" borderId="4" xfId="0" applyFont="1" applyBorder="1" applyProtection="1">
      <protection locked="0"/>
    </xf>
    <xf numFmtId="3" fontId="15" fillId="3" borderId="28" xfId="0" applyNumberFormat="1" applyFont="1" applyFill="1" applyBorder="1" applyAlignment="1">
      <alignment horizontal="center" vertical="center"/>
    </xf>
    <xf numFmtId="0" fontId="1" fillId="0" borderId="29" xfId="0" applyFont="1" applyBorder="1"/>
    <xf numFmtId="3" fontId="11" fillId="5" borderId="2" xfId="0" applyNumberFormat="1" applyFont="1" applyFill="1" applyBorder="1" applyAlignment="1">
      <alignment horizontal="center" vertical="center"/>
    </xf>
    <xf numFmtId="0" fontId="15" fillId="3" borderId="28"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3" fontId="11" fillId="2" borderId="29" xfId="0" applyNumberFormat="1" applyFont="1" applyFill="1" applyBorder="1" applyAlignment="1">
      <alignment horizontal="right" vertical="center"/>
    </xf>
    <xf numFmtId="3" fontId="11" fillId="2" borderId="2" xfId="0" applyNumberFormat="1" applyFont="1" applyFill="1" applyBorder="1" applyAlignment="1" applyProtection="1">
      <alignment horizontal="center" vertical="center" shrinkToFit="1"/>
      <protection locked="0"/>
    </xf>
    <xf numFmtId="0" fontId="10" fillId="0" borderId="22" xfId="0" applyFont="1" applyBorder="1" applyAlignment="1">
      <alignment horizontal="center" vertical="center"/>
    </xf>
    <xf numFmtId="0" fontId="1" fillId="0" borderId="23" xfId="0" applyFont="1" applyBorder="1"/>
    <xf numFmtId="3" fontId="11" fillId="2" borderId="28" xfId="0" applyNumberFormat="1" applyFont="1" applyFill="1" applyBorder="1" applyAlignment="1" applyProtection="1">
      <alignment horizontal="center" vertical="center" shrinkToFit="1"/>
      <protection locked="0"/>
    </xf>
    <xf numFmtId="0" fontId="15" fillId="3" borderId="32" xfId="0" applyFont="1" applyFill="1" applyBorder="1" applyAlignment="1">
      <alignment horizontal="center" vertical="center" shrinkToFit="1"/>
    </xf>
    <xf numFmtId="0" fontId="1" fillId="0" borderId="34" xfId="0" applyFont="1" applyBorder="1"/>
    <xf numFmtId="3" fontId="15" fillId="3" borderId="36" xfId="0" applyNumberFormat="1" applyFont="1" applyFill="1" applyBorder="1" applyAlignment="1">
      <alignment horizontal="center" vertical="center"/>
    </xf>
    <xf numFmtId="0" fontId="11" fillId="2" borderId="28" xfId="0" applyFont="1" applyFill="1" applyBorder="1" applyAlignment="1">
      <alignment horizontal="left" vertical="center"/>
    </xf>
    <xf numFmtId="0" fontId="59" fillId="0" borderId="0" xfId="0" applyFont="1" applyAlignment="1">
      <alignment horizontal="center" vertical="center"/>
    </xf>
    <xf numFmtId="0" fontId="0" fillId="0" borderId="0" xfId="0"/>
    <xf numFmtId="0" fontId="19" fillId="3" borderId="45" xfId="0" applyFont="1" applyFill="1" applyBorder="1" applyAlignment="1">
      <alignment horizontal="center" vertical="center" wrapText="1"/>
    </xf>
    <xf numFmtId="0" fontId="1" fillId="0" borderId="46" xfId="0" applyFont="1" applyBorder="1"/>
    <xf numFmtId="0" fontId="19" fillId="3" borderId="2" xfId="0" applyFont="1" applyFill="1" applyBorder="1" applyAlignment="1">
      <alignment horizontal="center" vertical="center" wrapText="1"/>
    </xf>
    <xf numFmtId="0" fontId="11" fillId="0" borderId="2"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protection locked="0"/>
    </xf>
    <xf numFmtId="0" fontId="8" fillId="3" borderId="2" xfId="0" applyFont="1" applyFill="1" applyBorder="1" applyAlignment="1">
      <alignment horizontal="center" vertical="center" wrapText="1"/>
    </xf>
    <xf numFmtId="0" fontId="49" fillId="2" borderId="2" xfId="0" applyFont="1" applyFill="1" applyBorder="1" applyAlignment="1">
      <alignment horizontal="center" vertical="center" wrapText="1" shrinkToFit="1"/>
    </xf>
    <xf numFmtId="0" fontId="50" fillId="0" borderId="3" xfId="0" applyFont="1" applyBorder="1" applyAlignment="1">
      <alignment wrapText="1"/>
    </xf>
    <xf numFmtId="0" fontId="50" fillId="0" borderId="4" xfId="0" applyFont="1" applyBorder="1" applyAlignment="1">
      <alignment wrapText="1"/>
    </xf>
    <xf numFmtId="0" fontId="0" fillId="0" borderId="29" xfId="0" applyBorder="1" applyAlignment="1" applyProtection="1">
      <alignment horizontal="center" vertical="center"/>
      <protection locked="0"/>
    </xf>
    <xf numFmtId="0" fontId="9" fillId="0" borderId="0" xfId="0" applyFont="1" applyAlignment="1">
      <alignment horizontal="center" vertical="center"/>
    </xf>
    <xf numFmtId="0" fontId="10" fillId="0" borderId="0" xfId="0" applyFont="1" applyAlignment="1">
      <alignment horizontal="center" vertical="center"/>
    </xf>
    <xf numFmtId="0" fontId="0" fillId="0" borderId="2"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3" fontId="15" fillId="3" borderId="2" xfId="0" applyNumberFormat="1" applyFont="1" applyFill="1" applyBorder="1" applyAlignment="1">
      <alignment horizontal="center" vertical="center"/>
    </xf>
    <xf numFmtId="0" fontId="13" fillId="0" borderId="0" xfId="0" applyFont="1" applyAlignment="1">
      <alignment horizontal="center" vertical="center"/>
    </xf>
    <xf numFmtId="0" fontId="16" fillId="2" borderId="102" xfId="0" applyFont="1" applyFill="1" applyBorder="1" applyAlignment="1">
      <alignment horizontal="center" vertical="center"/>
    </xf>
    <xf numFmtId="0" fontId="18" fillId="2" borderId="36" xfId="0" applyFont="1" applyFill="1" applyBorder="1" applyAlignment="1">
      <alignment horizontal="center" vertical="center"/>
    </xf>
    <xf numFmtId="0" fontId="7" fillId="2" borderId="2" xfId="0" applyFont="1" applyFill="1" applyBorder="1" applyAlignment="1">
      <alignment horizontal="right" vertical="center" wrapText="1"/>
    </xf>
    <xf numFmtId="0" fontId="7" fillId="2" borderId="28" xfId="0" applyFont="1" applyFill="1" applyBorder="1" applyAlignment="1">
      <alignment horizontal="center" vertical="center" wrapText="1"/>
    </xf>
    <xf numFmtId="0" fontId="9" fillId="0" borderId="3" xfId="0" applyFont="1" applyBorder="1" applyAlignment="1">
      <alignment horizontal="center" vertical="center"/>
    </xf>
    <xf numFmtId="0" fontId="66" fillId="0" borderId="0" xfId="0" applyFont="1" applyAlignment="1">
      <alignment horizontal="center" vertical="center"/>
    </xf>
    <xf numFmtId="0" fontId="11" fillId="0" borderId="29" xfId="0" applyFont="1" applyBorder="1" applyAlignment="1" applyProtection="1">
      <alignment horizontal="center" vertical="center"/>
      <protection locked="0"/>
    </xf>
    <xf numFmtId="0" fontId="11" fillId="6" borderId="2" xfId="0" applyFont="1" applyFill="1" applyBorder="1" applyAlignment="1">
      <alignment horizontal="center" vertical="center"/>
    </xf>
    <xf numFmtId="0" fontId="74" fillId="2" borderId="29" xfId="0" applyFont="1" applyFill="1" applyBorder="1" applyAlignment="1">
      <alignment horizontal="center" vertical="center"/>
    </xf>
    <xf numFmtId="0" fontId="75" fillId="0" borderId="3" xfId="0" applyFont="1" applyBorder="1"/>
    <xf numFmtId="0" fontId="75" fillId="0" borderId="4" xfId="0" applyFont="1" applyBorder="1"/>
    <xf numFmtId="0" fontId="6" fillId="2" borderId="3" xfId="0" applyFont="1" applyFill="1" applyBorder="1" applyAlignment="1" applyProtection="1">
      <alignment horizontal="left" vertical="center" wrapText="1"/>
      <protection locked="0"/>
    </xf>
    <xf numFmtId="0" fontId="1" fillId="0" borderId="85" xfId="0" applyFont="1" applyBorder="1" applyProtection="1">
      <protection locked="0"/>
    </xf>
    <xf numFmtId="0" fontId="71" fillId="3" borderId="51" xfId="0" applyFont="1" applyFill="1" applyBorder="1" applyAlignment="1">
      <alignment horizontal="center" vertical="center" shrinkToFit="1"/>
    </xf>
    <xf numFmtId="0" fontId="67" fillId="0" borderId="52" xfId="0" applyFont="1" applyBorder="1"/>
    <xf numFmtId="0" fontId="67" fillId="0" borderId="61" xfId="0" applyFont="1" applyBorder="1"/>
    <xf numFmtId="0" fontId="67" fillId="0" borderId="62" xfId="0" applyFont="1" applyBorder="1"/>
    <xf numFmtId="0" fontId="67" fillId="0" borderId="71" xfId="0" applyFont="1" applyBorder="1"/>
    <xf numFmtId="0" fontId="67" fillId="0" borderId="72" xfId="0" applyFont="1" applyBorder="1"/>
    <xf numFmtId="0" fontId="69" fillId="3" borderId="53" xfId="0" applyFont="1" applyFill="1" applyBorder="1" applyAlignment="1">
      <alignment horizontal="center" vertical="center"/>
    </xf>
    <xf numFmtId="0" fontId="67" fillId="0" borderId="54" xfId="0" applyFont="1" applyBorder="1"/>
    <xf numFmtId="0" fontId="67" fillId="0" borderId="55" xfId="0" applyFont="1" applyBorder="1"/>
    <xf numFmtId="0" fontId="14" fillId="5" borderId="28" xfId="0" applyFont="1" applyFill="1" applyBorder="1" applyAlignment="1">
      <alignment horizontal="center" vertical="center" wrapText="1"/>
    </xf>
    <xf numFmtId="0" fontId="1" fillId="0" borderId="85" xfId="0" applyFont="1" applyBorder="1"/>
    <xf numFmtId="0" fontId="6" fillId="2" borderId="94" xfId="0" applyFont="1" applyFill="1" applyBorder="1" applyAlignment="1" applyProtection="1">
      <alignment horizontal="left" vertical="center" shrinkToFit="1"/>
      <protection locked="0"/>
    </xf>
    <xf numFmtId="0" fontId="1" fillId="0" borderId="81" xfId="0" applyFont="1" applyBorder="1" applyProtection="1">
      <protection locked="0"/>
    </xf>
    <xf numFmtId="0" fontId="1" fillId="0" borderId="82" xfId="0" applyFont="1" applyBorder="1" applyProtection="1">
      <protection locked="0"/>
    </xf>
    <xf numFmtId="0" fontId="1" fillId="0" borderId="95" xfId="0" applyFont="1" applyBorder="1" applyProtection="1">
      <protection locked="0"/>
    </xf>
    <xf numFmtId="0" fontId="30" fillId="2" borderId="7" xfId="0" applyFont="1" applyFill="1" applyBorder="1" applyAlignment="1">
      <alignment horizontal="center" vertical="center" wrapText="1"/>
    </xf>
    <xf numFmtId="0" fontId="29" fillId="5" borderId="94" xfId="0" applyFont="1" applyFill="1" applyBorder="1" applyAlignment="1">
      <alignment horizontal="left" vertical="center" wrapText="1"/>
    </xf>
    <xf numFmtId="0" fontId="1" fillId="0" borderId="81" xfId="0" applyFont="1" applyBorder="1"/>
    <xf numFmtId="0" fontId="1" fillId="0" borderId="95" xfId="0" applyFont="1" applyBorder="1"/>
    <xf numFmtId="0" fontId="22" fillId="15" borderId="102" xfId="0" applyFont="1" applyFill="1" applyBorder="1" applyAlignment="1">
      <alignment horizontal="center" vertical="center"/>
    </xf>
    <xf numFmtId="0" fontId="70" fillId="3" borderId="53" xfId="0" applyFont="1" applyFill="1" applyBorder="1" applyAlignment="1">
      <alignment horizontal="center" vertical="center"/>
    </xf>
    <xf numFmtId="0" fontId="70" fillId="0" borderId="54" xfId="0" applyFont="1" applyBorder="1"/>
    <xf numFmtId="0" fontId="70" fillId="0" borderId="56" xfId="0" applyFont="1" applyBorder="1"/>
    <xf numFmtId="0" fontId="70" fillId="3" borderId="57" xfId="0" applyFont="1" applyFill="1" applyBorder="1" applyAlignment="1">
      <alignment horizontal="center" vertical="center"/>
    </xf>
    <xf numFmtId="0" fontId="70" fillId="0" borderId="55" xfId="0" applyFont="1" applyBorder="1"/>
    <xf numFmtId="9" fontId="22" fillId="4" borderId="80" xfId="0" applyNumberFormat="1" applyFont="1" applyFill="1" applyBorder="1" applyAlignment="1">
      <alignment horizontal="center" vertical="center"/>
    </xf>
    <xf numFmtId="0" fontId="1" fillId="0" borderId="82" xfId="0" applyFont="1" applyBorder="1"/>
    <xf numFmtId="0" fontId="68" fillId="3" borderId="53" xfId="0" applyFont="1" applyFill="1" applyBorder="1" applyAlignment="1">
      <alignment horizontal="center" vertical="center"/>
    </xf>
    <xf numFmtId="0" fontId="67" fillId="0" borderId="56" xfId="0" applyFont="1" applyBorder="1"/>
    <xf numFmtId="0" fontId="69" fillId="3" borderId="53" xfId="0" applyFont="1" applyFill="1" applyBorder="1" applyAlignment="1">
      <alignment horizontal="center" vertical="center" wrapText="1"/>
    </xf>
    <xf numFmtId="0" fontId="27" fillId="3" borderId="53" xfId="0" applyFont="1" applyFill="1" applyBorder="1" applyAlignment="1">
      <alignment horizontal="center" vertical="center"/>
    </xf>
    <xf numFmtId="0" fontId="1" fillId="0" borderId="54" xfId="0" applyFont="1" applyBorder="1"/>
    <xf numFmtId="0" fontId="1" fillId="0" borderId="55" xfId="0" applyFont="1" applyBorder="1"/>
    <xf numFmtId="0" fontId="6" fillId="0" borderId="0" xfId="0" applyFont="1" applyAlignment="1">
      <alignment horizontal="center" vertical="center" wrapText="1"/>
    </xf>
    <xf numFmtId="0" fontId="9" fillId="2" borderId="2" xfId="0" applyFont="1" applyFill="1" applyBorder="1" applyAlignment="1" applyProtection="1">
      <alignment horizontal="center" vertical="center" shrinkToFit="1"/>
      <protection locked="0"/>
    </xf>
    <xf numFmtId="3" fontId="7" fillId="2" borderId="2" xfId="0" applyNumberFormat="1" applyFont="1" applyFill="1" applyBorder="1" applyAlignment="1" applyProtection="1">
      <alignment horizontal="center" vertical="center"/>
      <protection locked="0"/>
    </xf>
    <xf numFmtId="3" fontId="9" fillId="2" borderId="1" xfId="0" applyNumberFormat="1" applyFont="1" applyFill="1" applyBorder="1" applyAlignment="1">
      <alignment horizontal="center" vertical="center"/>
    </xf>
    <xf numFmtId="0" fontId="1" fillId="0" borderId="20" xfId="0" applyFont="1" applyBorder="1"/>
    <xf numFmtId="3" fontId="6" fillId="2" borderId="2" xfId="0" applyNumberFormat="1" applyFont="1" applyFill="1" applyBorder="1" applyAlignment="1" applyProtection="1">
      <alignment horizontal="center" vertical="center"/>
      <protection locked="0"/>
    </xf>
    <xf numFmtId="0" fontId="9" fillId="2" borderId="7" xfId="0" applyFont="1" applyFill="1" applyBorder="1" applyAlignment="1">
      <alignment horizontal="center" vertical="center"/>
    </xf>
    <xf numFmtId="0" fontId="0" fillId="13" borderId="102" xfId="0" applyFill="1" applyBorder="1" applyAlignment="1">
      <alignment horizontal="center"/>
    </xf>
    <xf numFmtId="0" fontId="18" fillId="2" borderId="128" xfId="0" applyFont="1" applyFill="1" applyBorder="1" applyAlignment="1">
      <alignment horizontal="center" vertical="center"/>
    </xf>
    <xf numFmtId="0" fontId="0" fillId="0" borderId="117" xfId="0" applyBorder="1" applyAlignment="1">
      <alignment horizontal="center"/>
    </xf>
    <xf numFmtId="0" fontId="0" fillId="0" borderId="118" xfId="0" applyBorder="1" applyAlignment="1">
      <alignment horizontal="center"/>
    </xf>
    <xf numFmtId="0" fontId="0" fillId="0" borderId="119" xfId="0" applyBorder="1" applyAlignment="1">
      <alignment horizontal="center"/>
    </xf>
    <xf numFmtId="0" fontId="0" fillId="0" borderId="127"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18" fillId="2" borderId="123" xfId="0" applyFont="1" applyFill="1" applyBorder="1" applyAlignment="1">
      <alignment horizontal="center" vertical="center"/>
    </xf>
    <xf numFmtId="0" fontId="19" fillId="3" borderId="127" xfId="0" applyFont="1" applyFill="1" applyBorder="1" applyAlignment="1">
      <alignment horizontal="center" vertical="center" wrapText="1"/>
    </xf>
    <xf numFmtId="0" fontId="19" fillId="3" borderId="129" xfId="0" applyFont="1" applyFill="1" applyBorder="1" applyAlignment="1">
      <alignment horizontal="center" vertical="center" wrapText="1"/>
    </xf>
    <xf numFmtId="0" fontId="8" fillId="3" borderId="127" xfId="0" applyFont="1" applyFill="1" applyBorder="1" applyAlignment="1">
      <alignment horizontal="center" vertical="center"/>
    </xf>
    <xf numFmtId="0" fontId="8" fillId="3" borderId="128" xfId="0" applyFont="1" applyFill="1" applyBorder="1" applyAlignment="1">
      <alignment horizontal="center" vertical="center"/>
    </xf>
    <xf numFmtId="0" fontId="8" fillId="3" borderId="129" xfId="0" applyFont="1" applyFill="1" applyBorder="1" applyAlignment="1">
      <alignment horizontal="center" vertical="center"/>
    </xf>
    <xf numFmtId="0" fontId="0" fillId="0" borderId="127" xfId="0"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0" fontId="0" fillId="0" borderId="129" xfId="0" applyBorder="1" applyAlignment="1" applyProtection="1">
      <alignment horizontal="center" vertical="center" wrapText="1"/>
      <protection locked="0"/>
    </xf>
    <xf numFmtId="0" fontId="0" fillId="0" borderId="117" xfId="0" applyBorder="1" applyAlignment="1">
      <alignment horizontal="center" vertical="center"/>
    </xf>
    <xf numFmtId="0" fontId="0" fillId="0" borderId="119" xfId="0" applyBorder="1" applyAlignment="1">
      <alignment horizontal="center" vertical="center"/>
    </xf>
    <xf numFmtId="0" fontId="56" fillId="2" borderId="102" xfId="0" applyFont="1" applyFill="1" applyBorder="1" applyAlignment="1">
      <alignment horizontal="center" vertical="center" wrapText="1" shrinkToFit="1"/>
    </xf>
    <xf numFmtId="0" fontId="34" fillId="9" borderId="1" xfId="0" applyFont="1" applyFill="1" applyBorder="1" applyAlignment="1">
      <alignment horizontal="center" vertical="center"/>
    </xf>
    <xf numFmtId="0" fontId="36" fillId="2" borderId="7" xfId="0" applyFont="1" applyFill="1" applyBorder="1" applyAlignment="1">
      <alignment horizontal="left"/>
    </xf>
    <xf numFmtId="0" fontId="56" fillId="2" borderId="102" xfId="0" applyFont="1" applyFill="1" applyBorder="1" applyAlignment="1">
      <alignment horizontal="center" vertical="center" wrapText="1"/>
    </xf>
    <xf numFmtId="0" fontId="31" fillId="9" borderId="1" xfId="0" applyFont="1" applyFill="1" applyBorder="1" applyAlignment="1">
      <alignment horizontal="center" vertical="center"/>
    </xf>
    <xf numFmtId="1" fontId="34" fillId="9" borderId="7" xfId="0" applyNumberFormat="1" applyFont="1" applyFill="1" applyBorder="1" applyAlignment="1">
      <alignment horizontal="center" vertical="center"/>
    </xf>
    <xf numFmtId="3" fontId="34" fillId="9" borderId="7" xfId="0" applyNumberFormat="1" applyFont="1" applyFill="1" applyBorder="1" applyAlignment="1">
      <alignment horizontal="center" vertical="center"/>
    </xf>
    <xf numFmtId="0" fontId="31" fillId="8" borderId="7" xfId="0" applyFont="1" applyFill="1" applyBorder="1" applyAlignment="1">
      <alignment horizontal="center"/>
    </xf>
    <xf numFmtId="0" fontId="32" fillId="8" borderId="7" xfId="0" applyFont="1" applyFill="1" applyBorder="1" applyAlignment="1">
      <alignment horizontal="center" vertical="center" shrinkToFit="1"/>
    </xf>
    <xf numFmtId="0" fontId="13" fillId="2" borderId="96" xfId="0" applyFont="1" applyFill="1" applyBorder="1" applyAlignment="1">
      <alignment horizontal="left" vertical="center" wrapText="1"/>
    </xf>
    <xf numFmtId="0" fontId="1" fillId="0" borderId="97" xfId="0" applyFont="1" applyBorder="1" applyAlignment="1">
      <alignment vertical="center"/>
    </xf>
    <xf numFmtId="0" fontId="1" fillId="0" borderId="98" xfId="0" applyFont="1" applyBorder="1" applyAlignment="1">
      <alignment vertical="center"/>
    </xf>
    <xf numFmtId="0" fontId="1" fillId="0" borderId="99" xfId="0" applyFont="1" applyBorder="1" applyAlignment="1">
      <alignment vertical="center"/>
    </xf>
    <xf numFmtId="0" fontId="0" fillId="0" borderId="0" xfId="0" applyAlignment="1">
      <alignment vertical="center"/>
    </xf>
    <xf numFmtId="0" fontId="1" fillId="0" borderId="62" xfId="0" applyFont="1" applyBorder="1" applyAlignment="1">
      <alignment vertical="center"/>
    </xf>
    <xf numFmtId="0" fontId="1" fillId="0" borderId="100" xfId="0" applyFont="1" applyBorder="1" applyAlignment="1">
      <alignment vertical="center"/>
    </xf>
    <xf numFmtId="0" fontId="1" fillId="0" borderId="101" xfId="0" applyFont="1" applyBorder="1" applyAlignment="1">
      <alignment vertical="center"/>
    </xf>
    <xf numFmtId="0" fontId="1" fillId="0" borderId="102" xfId="0" applyFont="1" applyBorder="1" applyAlignment="1">
      <alignment vertical="center"/>
    </xf>
    <xf numFmtId="3" fontId="32" fillId="8" borderId="7" xfId="0" applyNumberFormat="1" applyFont="1" applyFill="1" applyBorder="1" applyAlignment="1">
      <alignment horizontal="center" vertical="center" shrinkToFit="1"/>
    </xf>
    <xf numFmtId="0" fontId="1" fillId="0" borderId="97" xfId="0" applyFont="1" applyBorder="1" applyAlignment="1" applyProtection="1">
      <alignment horizontal="center"/>
      <protection locked="0"/>
    </xf>
    <xf numFmtId="0" fontId="31" fillId="8" borderId="1" xfId="0" applyFont="1" applyFill="1" applyBorder="1" applyAlignment="1">
      <alignment horizontal="center" vertical="center"/>
    </xf>
    <xf numFmtId="0" fontId="34" fillId="8" borderId="1" xfId="0" applyFont="1" applyFill="1" applyBorder="1" applyAlignment="1">
      <alignment horizontal="center" vertical="center" textRotation="90"/>
    </xf>
    <xf numFmtId="1" fontId="34" fillId="9" borderId="96" xfId="0" applyNumberFormat="1" applyFont="1" applyFill="1" applyBorder="1" applyAlignment="1">
      <alignment horizontal="center" vertical="center"/>
    </xf>
    <xf numFmtId="0" fontId="1" fillId="0" borderId="97" xfId="0" applyFont="1" applyBorder="1"/>
    <xf numFmtId="0" fontId="1" fillId="0" borderId="98" xfId="0" applyFont="1" applyBorder="1"/>
    <xf numFmtId="0" fontId="1" fillId="0" borderId="99" xfId="0" applyFont="1" applyBorder="1"/>
    <xf numFmtId="0" fontId="1" fillId="0" borderId="62" xfId="0" applyFont="1" applyBorder="1"/>
    <xf numFmtId="0" fontId="1" fillId="0" borderId="100" xfId="0" applyFont="1" applyBorder="1"/>
    <xf numFmtId="0" fontId="1" fillId="0" borderId="101" xfId="0" applyFont="1" applyBorder="1"/>
    <xf numFmtId="0" fontId="0" fillId="8" borderId="7" xfId="0" applyFill="1" applyBorder="1" applyAlignment="1">
      <alignment horizontal="center"/>
    </xf>
    <xf numFmtId="0" fontId="53" fillId="10" borderId="102" xfId="0" applyFont="1" applyFill="1" applyBorder="1" applyAlignment="1">
      <alignment horizontal="center" vertical="center" wrapText="1"/>
    </xf>
    <xf numFmtId="0" fontId="0" fillId="9" borderId="1" xfId="0" applyFill="1" applyBorder="1" applyAlignment="1">
      <alignment horizontal="center"/>
    </xf>
    <xf numFmtId="0" fontId="51" fillId="8" borderId="7" xfId="0" applyFont="1" applyFill="1" applyBorder="1" applyAlignment="1">
      <alignment horizontal="center" vertical="center" shrinkToFit="1"/>
    </xf>
    <xf numFmtId="0" fontId="52" fillId="0" borderId="8" xfId="0" applyFont="1" applyBorder="1"/>
    <xf numFmtId="0" fontId="52" fillId="0" borderId="9" xfId="0" applyFont="1" applyBorder="1"/>
    <xf numFmtId="0" fontId="53" fillId="8" borderId="102" xfId="0" applyFont="1" applyFill="1" applyBorder="1" applyAlignment="1">
      <alignment horizontal="center" vertical="center" wrapText="1"/>
    </xf>
    <xf numFmtId="0" fontId="45" fillId="4" borderId="28" xfId="0" applyFont="1" applyFill="1" applyBorder="1" applyAlignment="1">
      <alignment horizontal="left" vertical="top" wrapText="1"/>
    </xf>
    <xf numFmtId="0" fontId="42" fillId="4" borderId="1" xfId="0" applyFont="1" applyFill="1" applyBorder="1" applyAlignment="1">
      <alignment horizontal="center" vertical="center"/>
    </xf>
    <xf numFmtId="0" fontId="5" fillId="4" borderId="109" xfId="0" applyFont="1" applyFill="1" applyBorder="1"/>
    <xf numFmtId="0" fontId="1" fillId="0" borderId="110" xfId="0" applyFont="1" applyBorder="1"/>
    <xf numFmtId="0" fontId="1" fillId="0" borderId="115" xfId="0" applyFont="1" applyBorder="1"/>
    <xf numFmtId="0" fontId="40" fillId="4" borderId="45" xfId="0" applyFont="1" applyFill="1" applyBorder="1" applyAlignment="1">
      <alignment horizontal="center" vertical="center"/>
    </xf>
    <xf numFmtId="0" fontId="1" fillId="0" borderId="16" xfId="0" applyFont="1" applyBorder="1"/>
    <xf numFmtId="0" fontId="1" fillId="0" borderId="18" xfId="0" applyFont="1" applyBorder="1"/>
    <xf numFmtId="0" fontId="41" fillId="4" borderId="7" xfId="0" applyFont="1" applyFill="1" applyBorder="1" applyAlignment="1">
      <alignment horizontal="center" vertical="center" shrinkToFit="1"/>
    </xf>
    <xf numFmtId="0" fontId="47" fillId="4" borderId="96" xfId="0" applyFont="1" applyFill="1" applyBorder="1" applyAlignment="1">
      <alignment horizontal="center" vertical="center" wrapText="1"/>
    </xf>
    <xf numFmtId="0" fontId="44" fillId="4" borderId="105" xfId="0" applyFont="1" applyFill="1" applyBorder="1" applyAlignment="1">
      <alignment horizontal="left"/>
    </xf>
    <xf numFmtId="0" fontId="1" fillId="0" borderId="106" xfId="0" applyFont="1" applyBorder="1"/>
    <xf numFmtId="0" fontId="54" fillId="4" borderId="107" xfId="0" applyFont="1" applyFill="1" applyBorder="1" applyAlignment="1">
      <alignment horizontal="center" vertical="center" wrapText="1"/>
    </xf>
    <xf numFmtId="0" fontId="55" fillId="0" borderId="97" xfId="0" applyFont="1" applyBorder="1"/>
    <xf numFmtId="0" fontId="55" fillId="0" borderId="108" xfId="0" applyFont="1" applyBorder="1"/>
    <xf numFmtId="0" fontId="55" fillId="0" borderId="30" xfId="0" applyFont="1" applyBorder="1"/>
    <xf numFmtId="0" fontId="56" fillId="0" borderId="0" xfId="0" applyFont="1"/>
    <xf numFmtId="0" fontId="55" fillId="0" borderId="31" xfId="0" applyFont="1" applyBorder="1"/>
    <xf numFmtId="0" fontId="55" fillId="0" borderId="111" xfId="0" applyFont="1" applyBorder="1"/>
    <xf numFmtId="0" fontId="55" fillId="0" borderId="101" xfId="0" applyFont="1" applyBorder="1"/>
    <xf numFmtId="0" fontId="55" fillId="0" borderId="112" xfId="0" applyFont="1" applyBorder="1"/>
    <xf numFmtId="0" fontId="43" fillId="4" borderId="15" xfId="0" applyFont="1" applyFill="1" applyBorder="1" applyAlignment="1">
      <alignment horizontal="center" vertical="center"/>
    </xf>
    <xf numFmtId="0" fontId="1" fillId="0" borderId="17" xfId="0" applyFont="1" applyBorder="1"/>
    <xf numFmtId="0" fontId="44" fillId="4" borderId="113" xfId="0" applyFont="1" applyFill="1" applyBorder="1" applyAlignment="1">
      <alignment horizontal="left"/>
    </xf>
    <xf numFmtId="0" fontId="1" fillId="0" borderId="114" xfId="0" applyFont="1" applyBorder="1"/>
    <xf numFmtId="0" fontId="55" fillId="0" borderId="39" xfId="0" applyFont="1" applyBorder="1"/>
    <xf numFmtId="0" fontId="55" fillId="0" borderId="47" xfId="0" applyFont="1" applyBorder="1"/>
    <xf numFmtId="0" fontId="55" fillId="0" borderId="40" xfId="0" applyFont="1" applyBorder="1"/>
    <xf numFmtId="0" fontId="40" fillId="4" borderId="7" xfId="0" applyFont="1" applyFill="1" applyBorder="1" applyAlignment="1">
      <alignment horizontal="center"/>
    </xf>
    <xf numFmtId="0" fontId="42" fillId="4" borderId="22" xfId="0" applyFont="1" applyFill="1" applyBorder="1" applyAlignment="1" applyProtection="1">
      <alignment horizontal="center" vertical="center"/>
      <protection locked="0"/>
    </xf>
    <xf numFmtId="0" fontId="1" fillId="0" borderId="23" xfId="0" applyFont="1" applyBorder="1" applyProtection="1">
      <protection locked="0"/>
    </xf>
    <xf numFmtId="0" fontId="1" fillId="0" borderId="24" xfId="0" applyFont="1" applyBorder="1" applyProtection="1">
      <protection locked="0"/>
    </xf>
    <xf numFmtId="0" fontId="1" fillId="0" borderId="30" xfId="0" applyFont="1" applyBorder="1" applyProtection="1">
      <protection locked="0"/>
    </xf>
    <xf numFmtId="0" fontId="0" fillId="0" borderId="0" xfId="0" applyProtection="1">
      <protection locked="0"/>
    </xf>
    <xf numFmtId="0" fontId="1" fillId="0" borderId="31" xfId="0" applyFont="1" applyBorder="1" applyProtection="1">
      <protection locked="0"/>
    </xf>
    <xf numFmtId="0" fontId="1" fillId="0" borderId="39" xfId="0" applyFont="1" applyBorder="1" applyProtection="1">
      <protection locked="0"/>
    </xf>
    <xf numFmtId="0" fontId="1" fillId="0" borderId="47" xfId="0" applyFont="1" applyBorder="1" applyProtection="1">
      <protection locked="0"/>
    </xf>
    <xf numFmtId="0" fontId="1" fillId="0" borderId="40" xfId="0" applyFont="1" applyBorder="1" applyProtection="1">
      <protection locked="0"/>
    </xf>
    <xf numFmtId="0" fontId="42" fillId="4" borderId="105" xfId="0" applyFont="1" applyFill="1" applyBorder="1" applyAlignment="1" applyProtection="1">
      <alignment horizontal="center" vertical="center"/>
      <protection locked="0"/>
    </xf>
    <xf numFmtId="0" fontId="42" fillId="4" borderId="43" xfId="0" applyFont="1" applyFill="1" applyBorder="1" applyAlignment="1" applyProtection="1">
      <alignment horizontal="center" vertical="center"/>
      <protection locked="0"/>
    </xf>
    <xf numFmtId="0" fontId="42" fillId="4" borderId="106" xfId="0" applyFont="1" applyFill="1" applyBorder="1" applyAlignment="1" applyProtection="1">
      <alignment horizontal="center" vertical="center"/>
      <protection locked="0"/>
    </xf>
    <xf numFmtId="0" fontId="42" fillId="4" borderId="113" xfId="0" applyFont="1" applyFill="1" applyBorder="1" applyAlignment="1" applyProtection="1">
      <alignment horizontal="center" vertical="center"/>
      <protection locked="0"/>
    </xf>
    <xf numFmtId="0" fontId="42" fillId="4" borderId="102" xfId="0" applyFont="1" applyFill="1" applyBorder="1" applyAlignment="1" applyProtection="1">
      <alignment horizontal="center" vertical="center"/>
      <protection locked="0"/>
    </xf>
    <xf numFmtId="0" fontId="42" fillId="4" borderId="115" xfId="0" applyFont="1" applyFill="1" applyBorder="1" applyAlignment="1" applyProtection="1">
      <alignment horizontal="center" vertical="center"/>
      <protection locked="0"/>
    </xf>
    <xf numFmtId="0" fontId="42" fillId="4" borderId="46" xfId="0" applyFont="1" applyFill="1" applyBorder="1" applyAlignment="1" applyProtection="1">
      <alignment horizontal="center" vertical="center"/>
      <protection locked="0"/>
    </xf>
    <xf numFmtId="0" fontId="42" fillId="4" borderId="47" xfId="0" applyFont="1" applyFill="1" applyBorder="1" applyAlignment="1" applyProtection="1">
      <alignment horizontal="center" vertical="center"/>
      <protection locked="0"/>
    </xf>
    <xf numFmtId="0" fontId="42" fillId="4" borderId="40" xfId="0" applyFont="1" applyFill="1" applyBorder="1" applyAlignment="1" applyProtection="1">
      <alignment horizontal="center" vertical="center"/>
      <protection locked="0"/>
    </xf>
    <xf numFmtId="1" fontId="43" fillId="4" borderId="22" xfId="0" applyNumberFormat="1" applyFont="1" applyFill="1" applyBorder="1" applyAlignment="1">
      <alignment horizontal="center" vertical="center"/>
    </xf>
    <xf numFmtId="0" fontId="1" fillId="0" borderId="30" xfId="0" applyFont="1" applyBorder="1"/>
    <xf numFmtId="0" fontId="1" fillId="0" borderId="31" xfId="0" applyFont="1" applyBorder="1"/>
    <xf numFmtId="3" fontId="41" fillId="4" borderId="7" xfId="0" applyNumberFormat="1" applyFont="1" applyFill="1" applyBorder="1" applyAlignment="1">
      <alignment horizontal="center" vertical="center" shrinkToFit="1"/>
    </xf>
    <xf numFmtId="1" fontId="43" fillId="4" borderId="2" xfId="0" applyNumberFormat="1" applyFont="1" applyFill="1" applyBorder="1" applyAlignment="1">
      <alignment horizontal="center" vertical="center"/>
    </xf>
    <xf numFmtId="0" fontId="43" fillId="4" borderId="11" xfId="0" applyFont="1" applyFill="1" applyBorder="1" applyAlignment="1">
      <alignment horizontal="center" vertical="center" textRotation="90"/>
    </xf>
    <xf numFmtId="0" fontId="44" fillId="4" borderId="117" xfId="0" applyFont="1" applyFill="1" applyBorder="1" applyAlignment="1">
      <alignment horizontal="left"/>
    </xf>
    <xf numFmtId="0" fontId="1" fillId="0" borderId="118" xfId="0" applyFont="1" applyBorder="1"/>
    <xf numFmtId="0" fontId="1" fillId="0" borderId="119" xfId="0" applyFont="1" applyBorder="1"/>
    <xf numFmtId="0" fontId="13" fillId="2" borderId="120" xfId="0" applyFont="1" applyFill="1" applyBorder="1" applyAlignment="1">
      <alignment horizontal="left" vertical="center" wrapText="1"/>
    </xf>
    <xf numFmtId="0" fontId="1" fillId="0" borderId="121" xfId="0" applyFont="1" applyBorder="1" applyAlignment="1">
      <alignment vertical="center"/>
    </xf>
    <xf numFmtId="0" fontId="1" fillId="0" borderId="120" xfId="0" applyFont="1" applyBorder="1" applyAlignment="1">
      <alignment vertical="center"/>
    </xf>
    <xf numFmtId="0" fontId="0" fillId="0" borderId="102" xfId="0" applyBorder="1" applyAlignment="1">
      <alignment vertical="center"/>
    </xf>
    <xf numFmtId="0" fontId="1" fillId="0" borderId="122" xfId="0" applyFont="1" applyBorder="1" applyAlignment="1">
      <alignment vertical="center"/>
    </xf>
    <xf numFmtId="0" fontId="1" fillId="0" borderId="123" xfId="0" applyFont="1" applyBorder="1" applyAlignment="1">
      <alignment vertical="center"/>
    </xf>
    <xf numFmtId="0" fontId="1" fillId="0" borderId="124" xfId="0" applyFont="1" applyBorder="1" applyAlignment="1">
      <alignment vertical="center"/>
    </xf>
    <xf numFmtId="0" fontId="5" fillId="4" borderId="32" xfId="0" applyFont="1" applyFill="1" applyBorder="1" applyAlignment="1">
      <alignment horizontal="center"/>
    </xf>
    <xf numFmtId="3" fontId="43" fillId="4" borderId="2" xfId="0" applyNumberFormat="1" applyFont="1" applyFill="1" applyBorder="1" applyAlignment="1">
      <alignment horizontal="center" vertical="center"/>
    </xf>
    <xf numFmtId="0" fontId="0" fillId="4" borderId="32" xfId="0" applyFill="1" applyBorder="1"/>
  </cellXfs>
  <cellStyles count="2">
    <cellStyle name="Collegamento ipertestuale" xfId="1" builtinId="8"/>
    <cellStyle name="Normale" xfId="0" builtinId="0"/>
  </cellStyles>
  <dxfs count="129">
    <dxf>
      <fill>
        <patternFill patternType="solid">
          <fgColor rgb="FFD99594"/>
          <bgColor rgb="FFD99594"/>
        </patternFill>
      </fill>
    </dxf>
    <dxf>
      <font>
        <b/>
        <color rgb="FFFF0000"/>
      </font>
      <fill>
        <patternFill patternType="none"/>
      </fill>
    </dxf>
    <dxf>
      <font>
        <color theme="0"/>
      </font>
      <fill>
        <patternFill patternType="none"/>
      </fill>
    </dxf>
    <dxf>
      <fill>
        <patternFill patternType="solid">
          <fgColor rgb="FFC2D69B"/>
          <bgColor rgb="FFC2D69B"/>
        </patternFill>
      </fill>
    </dxf>
    <dxf>
      <fill>
        <patternFill patternType="solid">
          <fgColor rgb="FFFABF8F"/>
          <bgColor rgb="FFFABF8F"/>
        </patternFill>
      </fill>
    </dxf>
    <dxf>
      <font>
        <color theme="0"/>
      </font>
      <fill>
        <patternFill patternType="none"/>
      </fill>
    </dxf>
    <dxf>
      <fill>
        <patternFill patternType="solid">
          <fgColor rgb="FFC2D69B"/>
          <bgColor rgb="FFC2D69B"/>
        </patternFill>
      </fill>
    </dxf>
    <dxf>
      <fill>
        <patternFill patternType="solid">
          <fgColor rgb="FFFABF8F"/>
          <bgColor rgb="FFFABF8F"/>
        </patternFill>
      </fill>
    </dxf>
    <dxf>
      <fill>
        <patternFill patternType="solid">
          <fgColor rgb="FFD99594"/>
          <bgColor rgb="FFD99594"/>
        </patternFill>
      </fill>
    </dxf>
    <dxf>
      <font>
        <color theme="0"/>
      </font>
      <fill>
        <patternFill patternType="none"/>
      </fill>
    </dxf>
    <dxf>
      <fill>
        <patternFill patternType="solid">
          <fgColor rgb="FFC2D69B"/>
          <bgColor rgb="FFC2D69B"/>
        </patternFill>
      </fill>
    </dxf>
    <dxf>
      <fill>
        <patternFill patternType="solid">
          <fgColor rgb="FFFABF8F"/>
          <bgColor rgb="FFFABF8F"/>
        </patternFill>
      </fill>
    </dxf>
    <dxf>
      <font>
        <color theme="0"/>
      </font>
      <fill>
        <patternFill patternType="none"/>
      </fill>
    </dxf>
    <dxf>
      <font>
        <color theme="0"/>
      </font>
      <fill>
        <patternFill patternType="solid">
          <fgColor theme="5"/>
          <bgColor theme="5"/>
        </patternFill>
      </fill>
    </dxf>
    <dxf>
      <font>
        <color rgb="FF00FFFF"/>
      </font>
      <fill>
        <patternFill patternType="none"/>
      </fill>
    </dxf>
    <dxf>
      <font>
        <color rgb="FFFF0000"/>
      </font>
      <fill>
        <patternFill patternType="none"/>
      </fill>
    </dxf>
    <dxf>
      <font>
        <color rgb="FF00FF00"/>
      </font>
      <fill>
        <patternFill patternType="none"/>
      </fill>
    </dxf>
    <dxf>
      <font>
        <color rgb="FF00FF00"/>
      </font>
      <fill>
        <patternFill patternType="none"/>
      </fill>
    </dxf>
    <dxf>
      <font>
        <color rgb="FF00FFFF"/>
      </font>
      <fill>
        <patternFill patternType="none"/>
      </fill>
    </dxf>
    <dxf>
      <font>
        <color rgb="FFFF0000"/>
      </font>
      <fill>
        <patternFill patternType="none"/>
      </fill>
    </dxf>
    <dxf>
      <font>
        <color rgb="FF00FFFF"/>
      </font>
      <fill>
        <patternFill patternType="solid">
          <bgColor theme="0" tint="-0.14996795556505021"/>
        </patternFill>
      </fill>
    </dxf>
    <dxf>
      <font>
        <color rgb="FFFF0000"/>
      </font>
      <fill>
        <patternFill patternType="solid">
          <bgColor theme="0" tint="-0.14996795556505021"/>
        </patternFill>
      </fill>
    </dxf>
    <dxf>
      <font>
        <color rgb="FF00FF00"/>
      </font>
      <fill>
        <patternFill patternType="solid">
          <bgColor theme="0" tint="-0.14996795556505021"/>
        </patternFill>
      </fill>
    </dxf>
    <dxf>
      <font>
        <color rgb="FF00FF00"/>
      </font>
      <fill>
        <patternFill patternType="solid">
          <bgColor theme="0" tint="-0.14996795556505021"/>
        </patternFill>
      </fill>
    </dxf>
    <dxf>
      <font>
        <color rgb="FF00FFFF"/>
      </font>
      <fill>
        <patternFill patternType="solid">
          <bgColor theme="0" tint="-0.14996795556505021"/>
        </patternFill>
      </fill>
    </dxf>
    <dxf>
      <font>
        <color rgb="FFFF0000"/>
      </font>
      <fill>
        <patternFill patternType="solid">
          <bgColor theme="0" tint="-0.14996795556505021"/>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theme="0"/>
      </font>
      <fill>
        <patternFill patternType="none"/>
      </fill>
    </dxf>
    <dxf>
      <font>
        <color rgb="FF7F7F7F"/>
      </font>
      <fill>
        <patternFill patternType="solid">
          <fgColor rgb="FF7F7F7F"/>
          <bgColor rgb="FF7F7F7F"/>
        </patternFill>
      </fill>
    </dxf>
    <dxf>
      <font>
        <color rgb="FF7F7F7F"/>
      </font>
      <fill>
        <patternFill patternType="solid">
          <fgColor rgb="FF7F7F7F"/>
          <bgColor rgb="FF7F7F7F"/>
        </patternFill>
      </fill>
    </dxf>
    <dxf>
      <font>
        <color rgb="FF7F7F7F"/>
      </font>
      <fill>
        <patternFill patternType="solid">
          <fgColor rgb="FF7F7F7F"/>
          <bgColor rgb="FF7F7F7F"/>
        </patternFill>
      </fill>
    </dxf>
    <dxf>
      <font>
        <color rgb="FF7F7F7F"/>
      </font>
      <fill>
        <patternFill patternType="solid">
          <fgColor rgb="FF7F7F7F"/>
          <bgColor rgb="FF7F7F7F"/>
        </patternFill>
      </fill>
    </dxf>
    <dxf>
      <font>
        <color rgb="FF7F7F7F"/>
      </font>
      <fill>
        <patternFill patternType="solid">
          <fgColor rgb="FF7F7F7F"/>
          <bgColor rgb="FF7F7F7F"/>
        </patternFill>
      </fill>
    </dxf>
    <dxf>
      <font>
        <color rgb="FF7F7F7F"/>
      </font>
      <fill>
        <patternFill patternType="solid">
          <fgColor rgb="FF7F7F7F"/>
          <bgColor rgb="FF7F7F7F"/>
        </patternFill>
      </fill>
    </dxf>
    <dxf>
      <font>
        <color theme="0"/>
      </font>
      <fill>
        <patternFill patternType="none"/>
      </fill>
    </dxf>
    <dxf>
      <font>
        <color rgb="FFD8D8D8"/>
      </font>
      <fill>
        <patternFill patternType="solid">
          <fgColor rgb="FFD8D8D8"/>
          <bgColor rgb="FFD8D8D8"/>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rgb="FFFFFFFF"/>
      </font>
      <fill>
        <patternFill patternType="none"/>
      </fill>
    </dxf>
    <dxf>
      <font>
        <color rgb="FF7F7F7F"/>
      </font>
      <fill>
        <patternFill patternType="solid">
          <fgColor rgb="FF7F7F7F"/>
          <bgColor rgb="FF7F7F7F"/>
        </patternFill>
      </fill>
    </dxf>
    <dxf>
      <font>
        <color rgb="FF7F7F7F"/>
      </font>
      <fill>
        <patternFill patternType="solid">
          <fgColor rgb="FF7F7F7F"/>
          <bgColor rgb="FF7F7F7F"/>
        </patternFill>
      </fill>
    </dxf>
    <dxf>
      <font>
        <color theme="0"/>
      </font>
      <fill>
        <patternFill patternType="none"/>
      </fill>
    </dxf>
    <dxf>
      <font>
        <color theme="0"/>
      </font>
      <fill>
        <patternFill patternType="none"/>
      </fill>
    </dxf>
    <dxf>
      <font>
        <color rgb="FFFFFFFF"/>
      </font>
      <fill>
        <patternFill patternType="none"/>
      </fill>
    </dxf>
    <dxf>
      <font>
        <color rgb="FFFFFFFF"/>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color rgb="FFFFFFFF"/>
      </font>
      <fill>
        <patternFill patternType="none"/>
      </fill>
    </dxf>
    <dxf>
      <font>
        <b/>
        <color rgb="FFFF0000"/>
      </font>
      <fill>
        <patternFill patternType="none"/>
      </fill>
    </dxf>
    <dxf>
      <fill>
        <patternFill patternType="solid">
          <fgColor rgb="FFFABF8F"/>
          <bgColor rgb="FFFABF8F"/>
        </patternFill>
      </fill>
    </dxf>
    <dxf>
      <fill>
        <patternFill patternType="solid">
          <fgColor rgb="FFC2D69B"/>
          <bgColor rgb="FFC2D69B"/>
        </patternFill>
      </fill>
    </dxf>
    <dxf>
      <fill>
        <patternFill patternType="solid">
          <fgColor rgb="FFC2D69B"/>
          <bgColor rgb="FFC2D69B"/>
        </patternFill>
      </fill>
    </dxf>
    <dxf>
      <fill>
        <patternFill patternType="solid">
          <fgColor rgb="FFFABF8F"/>
          <bgColor rgb="FFFABF8F"/>
        </patternFill>
      </fill>
    </dxf>
    <dxf>
      <fill>
        <patternFill patternType="solid">
          <fgColor rgb="FFFABF8F"/>
          <bgColor rgb="FFFABF8F"/>
        </patternFill>
      </fill>
    </dxf>
    <dxf>
      <fill>
        <patternFill patternType="solid">
          <fgColor rgb="FFC2D69B"/>
          <bgColor rgb="FFC2D69B"/>
        </patternFill>
      </fill>
    </dxf>
    <dxf>
      <fill>
        <patternFill patternType="solid">
          <fgColor rgb="FFFABF8F"/>
          <bgColor rgb="FFFABF8F"/>
        </patternFill>
      </fill>
    </dxf>
    <dxf>
      <fill>
        <patternFill patternType="solid">
          <fgColor rgb="FFC2D69B"/>
          <bgColor rgb="FFC2D69B"/>
        </patternFill>
      </fill>
    </dxf>
    <dxf>
      <font>
        <color rgb="FFFFFFFF"/>
      </font>
      <fill>
        <patternFill patternType="none"/>
      </fill>
    </dxf>
    <dxf>
      <fill>
        <patternFill patternType="solid">
          <fgColor rgb="FFC2D69B"/>
          <bgColor rgb="FFC2D69B"/>
        </patternFill>
      </fill>
    </dxf>
    <dxf>
      <fill>
        <patternFill patternType="solid">
          <fgColor rgb="FFFABF8F"/>
          <bgColor rgb="FFFABF8F"/>
        </patternFill>
      </fill>
    </dxf>
    <dxf>
      <font>
        <color theme="0"/>
      </font>
      <fill>
        <patternFill patternType="none"/>
      </fill>
    </dxf>
    <dxf>
      <fill>
        <patternFill patternType="solid">
          <fgColor rgb="FFC2D69B"/>
          <bgColor rgb="FFC2D69B"/>
        </patternFill>
      </fill>
    </dxf>
    <dxf>
      <fill>
        <patternFill patternType="solid">
          <fgColor rgb="FFFABF8F"/>
          <bgColor rgb="FFFABF8F"/>
        </patternFill>
      </fill>
    </dxf>
    <dxf>
      <font>
        <color rgb="FFFFFFFF"/>
      </font>
      <fill>
        <patternFill patternType="none"/>
      </fill>
    </dxf>
    <dxf>
      <font>
        <color theme="0"/>
      </font>
      <fill>
        <patternFill patternType="none"/>
      </fill>
    </dxf>
    <dxf>
      <font>
        <color theme="0"/>
      </font>
      <fill>
        <patternFill patternType="none"/>
      </fill>
    </dxf>
    <dxf>
      <fill>
        <patternFill patternType="solid">
          <fgColor rgb="FFC2D69B"/>
          <bgColor rgb="FFC2D69B"/>
        </patternFill>
      </fill>
    </dxf>
    <dxf>
      <fill>
        <patternFill patternType="solid">
          <fgColor rgb="FFFABF8F"/>
          <bgColor rgb="FFFABF8F"/>
        </patternFill>
      </fill>
    </dxf>
    <dxf>
      <fill>
        <patternFill patternType="solid">
          <fgColor rgb="FFC2D69B"/>
          <bgColor rgb="FFC2D69B"/>
        </patternFill>
      </fill>
    </dxf>
    <dxf>
      <fill>
        <patternFill patternType="solid">
          <fgColor rgb="FFFABF8F"/>
          <bgColor rgb="FFFABF8F"/>
        </patternFill>
      </fill>
    </dxf>
    <dxf>
      <font>
        <color theme="0"/>
      </font>
      <fill>
        <patternFill patternType="none"/>
      </fill>
    </dxf>
    <dxf>
      <fill>
        <patternFill patternType="solid">
          <fgColor rgb="FFFABF8F"/>
          <bgColor rgb="FFFABF8F"/>
        </patternFill>
      </fill>
    </dxf>
    <dxf>
      <fill>
        <patternFill patternType="solid">
          <fgColor rgb="FFC2D69B"/>
          <bgColor rgb="FFC2D69B"/>
        </patternFill>
      </fill>
    </dxf>
    <dxf>
      <fill>
        <patternFill patternType="solid">
          <fgColor rgb="FFC2D69B"/>
          <bgColor rgb="FFC2D69B"/>
        </patternFill>
      </fill>
    </dxf>
    <dxf>
      <fill>
        <patternFill patternType="solid">
          <fgColor rgb="FFFABF8F"/>
          <bgColor rgb="FFFABF8F"/>
        </patternFill>
      </fill>
    </dxf>
    <dxf>
      <font>
        <color theme="0"/>
      </font>
    </dxf>
    <dxf>
      <fill>
        <patternFill patternType="solid">
          <fgColor rgb="FFD99594"/>
          <bgColor rgb="FFD99594"/>
        </patternFill>
      </fill>
    </dxf>
    <dxf>
      <font>
        <color rgb="FFFFFFFF"/>
      </font>
      <fill>
        <patternFill patternType="none"/>
      </fill>
    </dxf>
    <dxf>
      <font>
        <color rgb="FFFFFFFF"/>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solid">
          <fgColor theme="5"/>
          <bgColor theme="5"/>
        </patternFill>
      </fill>
    </dxf>
    <dxf>
      <font>
        <color theme="0"/>
      </font>
      <fill>
        <patternFill patternType="solid">
          <fgColor theme="5"/>
          <bgColor theme="5"/>
        </patternFill>
      </fill>
    </dxf>
    <dxf>
      <font>
        <color theme="0"/>
      </font>
      <fill>
        <patternFill patternType="none"/>
      </fill>
    </dxf>
    <dxf>
      <font>
        <color theme="0"/>
      </font>
      <fill>
        <patternFill patternType="solid">
          <fgColor theme="5"/>
          <bgColor theme="5"/>
        </patternFill>
      </fill>
    </dxf>
    <dxf>
      <font>
        <color theme="0"/>
      </font>
      <fill>
        <patternFill patternType="none"/>
      </fill>
    </dxf>
    <dxf>
      <font>
        <color theme="0"/>
      </font>
      <fill>
        <patternFill patternType="solid">
          <fgColor theme="5"/>
          <bgColor theme="5"/>
        </patternFill>
      </fill>
    </dxf>
    <dxf>
      <font>
        <color theme="0"/>
      </font>
      <fill>
        <patternFill patternType="none"/>
      </fill>
    </dxf>
    <dxf>
      <font>
        <color theme="0"/>
      </font>
      <fill>
        <patternFill patternType="none"/>
      </fill>
    </dxf>
    <dxf>
      <font>
        <color theme="0"/>
      </font>
      <fill>
        <patternFill patternType="solid">
          <fgColor theme="5"/>
          <bgColor theme="5"/>
        </patternFill>
      </fill>
    </dxf>
    <dxf>
      <font>
        <color theme="0"/>
      </font>
      <fill>
        <patternFill patternType="none"/>
      </fill>
    </dxf>
    <dxf>
      <font>
        <color theme="0"/>
      </font>
      <fill>
        <patternFill patternType="solid">
          <fgColor theme="5"/>
          <bgColor theme="5"/>
        </patternFill>
      </fill>
    </dxf>
    <dxf>
      <font>
        <color theme="0"/>
      </font>
      <fill>
        <patternFill patternType="solid">
          <fgColor theme="5"/>
          <bgColor theme="5"/>
        </patternFill>
      </fill>
    </dxf>
    <dxf>
      <font>
        <color theme="0"/>
      </font>
      <fill>
        <patternFill patternType="none"/>
      </fill>
    </dxf>
    <dxf>
      <font>
        <color theme="0"/>
      </font>
      <fill>
        <patternFill patternType="solid">
          <fgColor theme="5"/>
          <bgColor theme="5"/>
        </patternFill>
      </fill>
    </dxf>
    <dxf>
      <font>
        <color theme="0"/>
      </font>
      <fill>
        <patternFill patternType="none"/>
      </fill>
    </dxf>
    <dxf>
      <font>
        <color theme="0"/>
      </font>
      <fill>
        <patternFill patternType="solid">
          <fgColor theme="5"/>
          <bgColor theme="5"/>
        </patternFill>
      </fill>
    </dxf>
    <dxf>
      <font>
        <color theme="0"/>
      </font>
      <fill>
        <patternFill patternType="none"/>
      </fill>
    </dxf>
    <dxf>
      <font>
        <color theme="0"/>
      </font>
      <fill>
        <patternFill patternType="none"/>
      </fill>
    </dxf>
    <dxf>
      <font>
        <color theme="0"/>
      </font>
      <fill>
        <patternFill patternType="solid">
          <fgColor theme="5"/>
          <bgColor theme="5"/>
        </patternFill>
      </fill>
    </dxf>
    <dxf>
      <font>
        <color theme="0"/>
      </font>
      <fill>
        <patternFill patternType="none"/>
      </fill>
    </dxf>
    <dxf>
      <font>
        <color theme="0"/>
      </font>
      <fill>
        <patternFill patternType="solid">
          <fgColor theme="5"/>
          <bgColor theme="5"/>
        </patternFill>
      </fill>
    </dxf>
    <dxf>
      <font>
        <color rgb="FFFFFFFF"/>
      </font>
      <fill>
        <patternFill patternType="none"/>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ont>
        <color rgb="FFFFFFFF"/>
      </font>
      <fill>
        <patternFill patternType="none"/>
      </fill>
    </dxf>
    <dxf>
      <fill>
        <patternFill patternType="solid">
          <fgColor rgb="FFD99594"/>
          <bgColor rgb="FFD9959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20</xdr:row>
      <xdr:rowOff>66675</xdr:rowOff>
    </xdr:from>
    <xdr:to>
      <xdr:col>2</xdr:col>
      <xdr:colOff>685800</xdr:colOff>
      <xdr:row>31</xdr:row>
      <xdr:rowOff>171450</xdr:rowOff>
    </xdr:to>
    <xdr:pic>
      <xdr:nvPicPr>
        <xdr:cNvPr id="4" name="Immagine 3">
          <a:extLst>
            <a:ext uri="{FF2B5EF4-FFF2-40B4-BE49-F238E27FC236}">
              <a16:creationId xmlns:a16="http://schemas.microsoft.com/office/drawing/2014/main" id="{AEC8A52C-030B-2E7F-7148-E054A2A225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9782175"/>
          <a:ext cx="2724150" cy="27241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aypal.com/paypalme/BBdados?country.x=ES&amp;locale.x=es_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8"/>
  <sheetViews>
    <sheetView zoomScaleNormal="100" workbookViewId="0">
      <selection sqref="A1:A18"/>
    </sheetView>
  </sheetViews>
  <sheetFormatPr defaultColWidth="0" defaultRowHeight="15" customHeight="1" zeroHeight="1" x14ac:dyDescent="0.2"/>
  <cols>
    <col min="1" max="1" width="2.85546875" customWidth="1"/>
    <col min="2" max="2" width="71.42578125" customWidth="1"/>
    <col min="3" max="3" width="7.140625" customWidth="1"/>
    <col min="4" max="4" width="71.5703125" customWidth="1"/>
    <col min="5" max="5" width="2.85546875" customWidth="1"/>
    <col min="6" max="6" width="26" hidden="1" customWidth="1"/>
    <col min="7" max="7" width="26.85546875" hidden="1" customWidth="1"/>
    <col min="8" max="8" width="2.85546875" hidden="1" customWidth="1"/>
    <col min="9" max="13" width="71.42578125" hidden="1" customWidth="1"/>
    <col min="14" max="31" width="10.7109375" hidden="1" customWidth="1"/>
    <col min="32" max="16384" width="14.42578125" hidden="1"/>
  </cols>
  <sheetData>
    <row r="1" spans="1:31" ht="22.5" customHeight="1" x14ac:dyDescent="0.2">
      <c r="A1" s="289"/>
      <c r="B1" s="299" t="str">
        <f>IF(Roster!$K$25="Italiano","Blood Bowl 2020 Roster Lega",(IF(Roster!$K$25="Español","Blood Bowl 2020 Roster League",(IF(Roster!$K$25="Deutsch","Blood Bowl 2020 Roster Liga",(IF(Roster!$K$25="Français","Blood Bowl 2020 Roster Ligue","Blood Bowl 2020 Roster League")))))))</f>
        <v>Blood Bowl 2020 Roster League</v>
      </c>
      <c r="C1" s="300"/>
      <c r="D1" s="301"/>
      <c r="E1" s="289"/>
      <c r="F1" s="1"/>
      <c r="G1" s="1"/>
      <c r="H1" s="1"/>
      <c r="I1" s="1"/>
      <c r="J1" s="1"/>
      <c r="K1" s="1"/>
      <c r="L1" s="1"/>
      <c r="M1" s="1"/>
      <c r="N1" s="1"/>
      <c r="O1" s="1"/>
      <c r="P1" s="1"/>
      <c r="Q1" s="1"/>
      <c r="R1" s="1"/>
      <c r="S1" s="1"/>
      <c r="T1" s="1"/>
      <c r="U1" s="1"/>
      <c r="V1" s="1"/>
      <c r="W1" s="1"/>
      <c r="X1" s="1"/>
      <c r="Y1" s="1"/>
      <c r="Z1" s="1"/>
      <c r="AA1" s="1"/>
      <c r="AB1" s="1"/>
      <c r="AC1" s="1"/>
      <c r="AD1" s="1"/>
      <c r="AE1" s="1"/>
    </row>
    <row r="2" spans="1:31" ht="15" customHeight="1" x14ac:dyDescent="0.2">
      <c r="A2" s="290"/>
      <c r="B2" s="302" t="str">
        <f>Roster!A33</f>
        <v>v9.0 - Created by dreamscreator</v>
      </c>
      <c r="C2" s="303"/>
      <c r="D2" s="304"/>
      <c r="E2" s="290"/>
      <c r="F2" s="1"/>
      <c r="G2" s="1"/>
      <c r="H2" s="1"/>
      <c r="I2" s="1"/>
      <c r="J2" s="1"/>
      <c r="K2" s="1"/>
      <c r="L2" s="1"/>
      <c r="M2" s="1"/>
      <c r="N2" s="1"/>
      <c r="O2" s="1"/>
      <c r="P2" s="1"/>
      <c r="Q2" s="1"/>
      <c r="R2" s="1"/>
      <c r="S2" s="1"/>
      <c r="T2" s="1"/>
      <c r="U2" s="1"/>
      <c r="V2" s="1"/>
      <c r="W2" s="1"/>
      <c r="X2" s="1"/>
      <c r="Y2" s="1"/>
      <c r="Z2" s="1"/>
      <c r="AA2" s="1"/>
      <c r="AB2" s="1"/>
      <c r="AC2" s="1"/>
      <c r="AD2" s="1"/>
      <c r="AE2" s="1"/>
    </row>
    <row r="3" spans="1:31" ht="15" customHeight="1" x14ac:dyDescent="0.2">
      <c r="A3" s="290"/>
      <c r="B3" s="305" t="str">
        <f>Roster!A34</f>
        <v>https://bloodbowlhelp.wordpress.com</v>
      </c>
      <c r="C3" s="303"/>
      <c r="D3" s="304"/>
      <c r="E3" s="290"/>
      <c r="F3" s="1"/>
      <c r="G3" s="1"/>
      <c r="H3" s="1"/>
      <c r="I3" s="1"/>
      <c r="J3" s="1"/>
      <c r="K3" s="1"/>
      <c r="L3" s="1"/>
      <c r="M3" s="1"/>
      <c r="N3" s="1"/>
      <c r="O3" s="1"/>
      <c r="P3" s="1"/>
      <c r="Q3" s="1"/>
      <c r="R3" s="1"/>
      <c r="S3" s="1"/>
      <c r="T3" s="1"/>
      <c r="U3" s="1"/>
      <c r="V3" s="1"/>
      <c r="W3" s="1"/>
      <c r="X3" s="1"/>
      <c r="Y3" s="1"/>
      <c r="Z3" s="1"/>
      <c r="AA3" s="1"/>
      <c r="AB3" s="1"/>
      <c r="AC3" s="1"/>
      <c r="AD3" s="1"/>
      <c r="AE3" s="1"/>
    </row>
    <row r="4" spans="1:31" ht="15" customHeight="1" x14ac:dyDescent="0.2">
      <c r="A4" s="290"/>
      <c r="B4" s="306"/>
      <c r="C4" s="303"/>
      <c r="D4" s="304"/>
      <c r="E4" s="290"/>
      <c r="F4" s="1"/>
      <c r="G4" s="1"/>
      <c r="H4" s="1"/>
      <c r="I4" s="1"/>
      <c r="J4" s="1"/>
      <c r="K4" s="1"/>
      <c r="L4" s="1"/>
      <c r="M4" s="1"/>
      <c r="N4" s="1"/>
      <c r="O4" s="1"/>
      <c r="P4" s="1"/>
      <c r="Q4" s="1"/>
      <c r="R4" s="1"/>
      <c r="S4" s="1"/>
      <c r="T4" s="1"/>
      <c r="U4" s="1"/>
      <c r="V4" s="1"/>
      <c r="W4" s="1"/>
      <c r="X4" s="1"/>
      <c r="Y4" s="1"/>
      <c r="Z4" s="1"/>
      <c r="AA4" s="1"/>
      <c r="AB4" s="1"/>
      <c r="AC4" s="1"/>
      <c r="AD4" s="1"/>
      <c r="AE4" s="1"/>
    </row>
    <row r="5" spans="1:31" ht="15" customHeight="1" x14ac:dyDescent="0.4">
      <c r="A5" s="290"/>
      <c r="B5" s="306" t="str">
        <f>IF(Roster!$K$25="Italiano",M5,(IF(Roster!$K$25="Español",J5,(IF(Roster!$K$25="Deutsch",K5,(IF(Roster!$K$25="Français",L5,I5)))))))</f>
        <v>Compatible with Excel, Google Sheets (just upload Excel to Google Drive) and Libre Office</v>
      </c>
      <c r="C5" s="303"/>
      <c r="D5" s="304"/>
      <c r="E5" s="290"/>
      <c r="H5" s="1"/>
      <c r="I5" s="217" t="s">
        <v>0</v>
      </c>
      <c r="J5" s="2" t="s">
        <v>1</v>
      </c>
      <c r="K5" s="1" t="s">
        <v>2</v>
      </c>
      <c r="L5" s="217" t="s">
        <v>3</v>
      </c>
      <c r="M5" s="217" t="s">
        <v>1234</v>
      </c>
      <c r="N5" s="1"/>
      <c r="O5" s="1"/>
      <c r="P5" s="1"/>
      <c r="Q5" s="1"/>
      <c r="R5" s="1"/>
      <c r="S5" s="1"/>
      <c r="T5" s="1"/>
      <c r="U5" s="1"/>
      <c r="V5" s="1"/>
      <c r="W5" s="1"/>
      <c r="X5" s="1"/>
      <c r="Y5" s="1"/>
      <c r="Z5" s="1"/>
      <c r="AA5" s="1"/>
      <c r="AB5" s="1"/>
      <c r="AC5" s="1"/>
      <c r="AD5" s="1"/>
      <c r="AE5" s="1"/>
    </row>
    <row r="6" spans="1:31" ht="15" customHeight="1" x14ac:dyDescent="0.4">
      <c r="A6" s="291"/>
      <c r="B6" s="298"/>
      <c r="C6" s="298"/>
      <c r="D6" s="298"/>
      <c r="E6" s="291"/>
      <c r="H6" s="218"/>
      <c r="I6" s="220"/>
      <c r="J6" s="221"/>
      <c r="K6" s="218"/>
      <c r="L6" s="220"/>
      <c r="M6" s="220"/>
      <c r="N6" s="218"/>
      <c r="O6" s="218"/>
      <c r="P6" s="218"/>
      <c r="Q6" s="218"/>
      <c r="R6" s="218"/>
      <c r="S6" s="218"/>
      <c r="T6" s="218"/>
      <c r="U6" s="218"/>
      <c r="V6" s="218"/>
      <c r="W6" s="218"/>
      <c r="X6" s="218"/>
      <c r="Y6" s="218"/>
      <c r="Z6" s="218"/>
      <c r="AA6" s="218"/>
      <c r="AB6" s="218"/>
      <c r="AC6" s="218"/>
      <c r="AD6" s="218"/>
      <c r="AE6" s="218"/>
    </row>
    <row r="7" spans="1:31" ht="15" customHeight="1" x14ac:dyDescent="0.2">
      <c r="A7" s="290"/>
      <c r="B7" s="306" t="str">
        <f>IF(Roster!$K$25="Italiano",M7,(IF(Roster!$K$25="Español",J7,(IF(Roster!$K$25="Deutsch",K7,(IF(Roster!$K$25="Français",L7,I7)))))))</f>
        <v>If you want help so I can carry on updating the excel rosters, you can donate in the following link. Thank you very much!</v>
      </c>
      <c r="C7" s="303"/>
      <c r="D7" s="304"/>
      <c r="E7" s="290"/>
      <c r="F7" s="1"/>
      <c r="G7" s="1"/>
      <c r="H7" s="1"/>
      <c r="I7" s="217" t="s">
        <v>1250</v>
      </c>
      <c r="J7" s="217" t="s">
        <v>1251</v>
      </c>
      <c r="K7" s="217" t="s">
        <v>1253</v>
      </c>
      <c r="L7" s="217" t="s">
        <v>1252</v>
      </c>
      <c r="M7" s="217" t="s">
        <v>1254</v>
      </c>
      <c r="N7" s="1"/>
      <c r="O7" s="1"/>
      <c r="P7" s="1"/>
      <c r="Q7" s="1"/>
      <c r="R7" s="1"/>
      <c r="S7" s="1"/>
      <c r="T7" s="1"/>
      <c r="U7" s="1"/>
      <c r="V7" s="1"/>
      <c r="W7" s="1"/>
      <c r="X7" s="1"/>
      <c r="Y7" s="1"/>
      <c r="Z7" s="1"/>
      <c r="AA7" s="1"/>
      <c r="AB7" s="1"/>
      <c r="AC7" s="1"/>
      <c r="AD7" s="1"/>
      <c r="AE7" s="1"/>
    </row>
    <row r="8" spans="1:31" ht="15" customHeight="1" x14ac:dyDescent="0.2">
      <c r="A8" s="291"/>
      <c r="B8" s="297" t="s">
        <v>1255</v>
      </c>
      <c r="C8" s="297"/>
      <c r="D8" s="297"/>
      <c r="E8" s="291"/>
      <c r="F8" s="218"/>
      <c r="G8" s="218"/>
      <c r="H8" s="218"/>
      <c r="I8" s="220"/>
      <c r="J8" s="220"/>
      <c r="K8" s="220"/>
      <c r="L8" s="220"/>
      <c r="M8" s="220"/>
      <c r="N8" s="218"/>
      <c r="O8" s="218"/>
      <c r="P8" s="218"/>
      <c r="Q8" s="218"/>
      <c r="R8" s="218"/>
      <c r="S8" s="218"/>
      <c r="T8" s="218"/>
      <c r="U8" s="218"/>
      <c r="V8" s="218"/>
      <c r="W8" s="218"/>
      <c r="X8" s="218"/>
      <c r="Y8" s="218"/>
      <c r="Z8" s="218"/>
      <c r="AA8" s="218"/>
      <c r="AB8" s="218"/>
      <c r="AC8" s="218"/>
      <c r="AD8" s="218"/>
      <c r="AE8" s="218"/>
    </row>
    <row r="9" spans="1:31" ht="15" customHeight="1" x14ac:dyDescent="0.2">
      <c r="A9" s="291"/>
      <c r="B9" s="295"/>
      <c r="C9" s="296"/>
      <c r="D9" s="296"/>
      <c r="E9" s="291"/>
      <c r="F9" s="218"/>
      <c r="G9" s="218"/>
      <c r="H9" s="218"/>
      <c r="I9" s="220"/>
      <c r="J9" s="220"/>
      <c r="K9" s="220"/>
      <c r="L9" s="220"/>
      <c r="M9" s="220"/>
      <c r="N9" s="218"/>
      <c r="O9" s="218"/>
      <c r="P9" s="218"/>
      <c r="Q9" s="218"/>
      <c r="R9" s="218"/>
      <c r="S9" s="218"/>
      <c r="T9" s="218"/>
      <c r="U9" s="218"/>
      <c r="V9" s="218"/>
      <c r="W9" s="218"/>
      <c r="X9" s="218"/>
      <c r="Y9" s="218"/>
      <c r="Z9" s="218"/>
      <c r="AA9" s="218"/>
      <c r="AB9" s="218"/>
      <c r="AC9" s="218"/>
      <c r="AD9" s="218"/>
      <c r="AE9" s="218"/>
    </row>
    <row r="10" spans="1:31" ht="22.5" customHeight="1" x14ac:dyDescent="0.2">
      <c r="A10" s="291"/>
      <c r="B10" s="307" t="str">
        <f>IF(Roster!$K$25="Italiano","Comment utiliser cet Excel",(IF(Roster!K25="Español","Cómo usar este Excel",(IF(Roster!K25="Deutsch","Wie Sie dieses Excel verwenden",(IF(Roster!K25="Français","Comment utiliser cet Excel","How to use this Excel")))))))</f>
        <v>How to use this Excel</v>
      </c>
      <c r="C10" s="308"/>
      <c r="D10" s="309"/>
      <c r="E10" s="291"/>
      <c r="F10" s="218"/>
      <c r="G10" s="218"/>
      <c r="H10" s="218"/>
      <c r="I10" s="3" t="s">
        <v>4</v>
      </c>
      <c r="J10" s="4" t="s">
        <v>5</v>
      </c>
      <c r="K10" s="5" t="s">
        <v>6</v>
      </c>
      <c r="L10" s="5" t="s">
        <v>7</v>
      </c>
      <c r="M10" s="5" t="s">
        <v>8</v>
      </c>
      <c r="N10" s="218"/>
      <c r="O10" s="218"/>
      <c r="P10" s="218"/>
      <c r="Q10" s="218"/>
      <c r="R10" s="218"/>
      <c r="S10" s="218"/>
      <c r="T10" s="218"/>
      <c r="U10" s="218"/>
      <c r="V10" s="218"/>
      <c r="W10" s="218"/>
      <c r="X10" s="218"/>
      <c r="Y10" s="218"/>
      <c r="Z10" s="218"/>
      <c r="AA10" s="218"/>
      <c r="AB10" s="218"/>
      <c r="AC10" s="218"/>
      <c r="AD10" s="218"/>
      <c r="AE10" s="218"/>
    </row>
    <row r="11" spans="1:31" ht="22.5" customHeight="1" x14ac:dyDescent="0.2">
      <c r="A11" s="291"/>
      <c r="B11" s="292" t="str">
        <f>IF(Roster!$K$25="Italiano",M11,(IF(Roster!$K$25="Español",J11,(IF(Roster!$K$25="Deutsch",K11,(IF(Roster!$K$25="Français",L11,I11)))))))</f>
        <v>TO PRINT: Select the cells you want to print and in Print options choose the option print selected cells.</v>
      </c>
      <c r="C11" s="293"/>
      <c r="D11" s="294"/>
      <c r="E11" s="291"/>
      <c r="F11" s="218"/>
      <c r="G11" s="218"/>
      <c r="H11" s="218"/>
      <c r="I11" s="217" t="s">
        <v>1235</v>
      </c>
      <c r="J11" s="217" t="s">
        <v>1236</v>
      </c>
      <c r="K11" s="219" t="s">
        <v>1237</v>
      </c>
      <c r="L11" s="219" t="s">
        <v>1238</v>
      </c>
      <c r="M11" s="220" t="s">
        <v>1246</v>
      </c>
      <c r="N11" s="218"/>
      <c r="O11" s="218"/>
      <c r="P11" s="218"/>
      <c r="Q11" s="218"/>
      <c r="R11" s="218"/>
      <c r="S11" s="218"/>
      <c r="T11" s="218"/>
      <c r="U11" s="218"/>
      <c r="V11" s="218"/>
      <c r="W11" s="218"/>
      <c r="X11" s="218"/>
      <c r="Y11" s="218"/>
      <c r="Z11" s="218"/>
      <c r="AA11" s="218"/>
      <c r="AB11" s="218"/>
      <c r="AC11" s="218"/>
      <c r="AD11" s="218"/>
      <c r="AE11" s="218"/>
    </row>
    <row r="12" spans="1:31" ht="22.5" customHeight="1" x14ac:dyDescent="0.2">
      <c r="A12" s="291"/>
      <c r="B12" s="292" t="str">
        <f>IF(Roster!$K$25="Italiano",M12,(IF(Roster!$K$25="Español",J12,(IF(Roster!$K$25="Deutsch",K12,(IF(Roster!$K$25="Français",L12,I12)))))))</f>
        <v>The skill of snotlings Low Cost Linemen is activated by default.</v>
      </c>
      <c r="C12" s="293"/>
      <c r="D12" s="294"/>
      <c r="E12" s="291"/>
      <c r="F12" s="218"/>
      <c r="G12" s="218"/>
      <c r="H12" s="218"/>
      <c r="I12" s="1" t="s">
        <v>9</v>
      </c>
      <c r="J12" s="1" t="s">
        <v>10</v>
      </c>
      <c r="K12" s="1" t="s">
        <v>11</v>
      </c>
      <c r="L12" s="1" t="s">
        <v>12</v>
      </c>
      <c r="M12" s="220" t="s">
        <v>1245</v>
      </c>
      <c r="N12" s="218"/>
      <c r="O12" s="218"/>
      <c r="P12" s="218"/>
      <c r="Q12" s="218"/>
      <c r="R12" s="218"/>
      <c r="S12" s="218"/>
      <c r="T12" s="218"/>
      <c r="U12" s="218"/>
      <c r="V12" s="218"/>
      <c r="W12" s="218"/>
      <c r="X12" s="218"/>
      <c r="Y12" s="218"/>
      <c r="Z12" s="218"/>
      <c r="AA12" s="218"/>
      <c r="AB12" s="218"/>
      <c r="AC12" s="218"/>
      <c r="AD12" s="218"/>
      <c r="AE12" s="218"/>
    </row>
    <row r="13" spans="1:31" ht="68.25" customHeight="1" x14ac:dyDescent="0.2">
      <c r="A13" s="291"/>
      <c r="B13" s="292" t="str">
        <f>IF(Roster!$K$25="Italiano",M13,(IF(Roster!$K$25="Español",J13,(IF(Roster!$K$25="Deutsch",K13,(IF(Roster!$K$25="Français",L13,I13)))))))</f>
        <v>The new skills or attribute raises can be chosen in the table below the roster, in this table you select the skill or attribute and if it was chosen or in a random roll. You can also include custom raises or custom price variations. Excel will automatically calculate the price of the raise and subtract it from the total experience points, showing also the experience points you have not yet spent.</v>
      </c>
      <c r="C13" s="293"/>
      <c r="D13" s="294"/>
      <c r="E13" s="291"/>
      <c r="F13" s="218"/>
      <c r="G13" s="218"/>
      <c r="H13" s="218"/>
      <c r="I13" s="1" t="s">
        <v>13</v>
      </c>
      <c r="J13" s="1" t="s">
        <v>14</v>
      </c>
      <c r="K13" s="1" t="s">
        <v>15</v>
      </c>
      <c r="L13" s="1" t="s">
        <v>16</v>
      </c>
      <c r="M13" s="220" t="s">
        <v>1244</v>
      </c>
      <c r="N13" s="218"/>
      <c r="O13" s="218"/>
      <c r="P13" s="218"/>
      <c r="Q13" s="218"/>
      <c r="R13" s="218"/>
      <c r="S13" s="218"/>
      <c r="T13" s="218"/>
      <c r="U13" s="218"/>
      <c r="V13" s="218"/>
      <c r="W13" s="218"/>
      <c r="X13" s="218"/>
      <c r="Y13" s="218"/>
      <c r="Z13" s="218"/>
      <c r="AA13" s="218"/>
      <c r="AB13" s="218"/>
      <c r="AC13" s="218"/>
      <c r="AD13" s="218"/>
      <c r="AE13" s="218"/>
    </row>
    <row r="14" spans="1:31" ht="52.5" customHeight="1" x14ac:dyDescent="0.2">
      <c r="A14" s="291"/>
      <c r="B14" s="292" t="str">
        <f>IF(Roster!$K$25="Italiano",M14,(IF(Roster!$K$25="Español",J14,(IF(Roster!$K$25="Deutsch",K14,(IF(Roster!$K$25="Français",L14,I14)))))))</f>
        <v>You can also register the injuries suffered, any loss of attributes will be reflected in the roster, in case of permanent injuries it will be marked in the skills box. If the player misses a match or is withdrawn for the rest of the season, you can mark it in the first box next to the player's action record, automatically the Excel will not count that player for the assessment.</v>
      </c>
      <c r="C14" s="293"/>
      <c r="D14" s="294"/>
      <c r="E14" s="291"/>
      <c r="F14" s="218"/>
      <c r="G14" s="218"/>
      <c r="H14" s="218"/>
      <c r="I14" s="1" t="s">
        <v>17</v>
      </c>
      <c r="J14" s="1" t="s">
        <v>18</v>
      </c>
      <c r="K14" s="1" t="s">
        <v>19</v>
      </c>
      <c r="L14" s="1" t="s">
        <v>20</v>
      </c>
      <c r="M14" s="220" t="s">
        <v>1247</v>
      </c>
      <c r="N14" s="218"/>
      <c r="O14" s="218"/>
      <c r="P14" s="218"/>
      <c r="Q14" s="218"/>
      <c r="R14" s="218"/>
      <c r="S14" s="218"/>
      <c r="T14" s="218"/>
      <c r="U14" s="218"/>
      <c r="V14" s="218"/>
      <c r="W14" s="218"/>
      <c r="X14" s="218"/>
      <c r="Y14" s="218"/>
      <c r="Z14" s="218"/>
      <c r="AA14" s="218"/>
      <c r="AB14" s="218"/>
      <c r="AC14" s="218"/>
      <c r="AD14" s="218"/>
      <c r="AE14" s="218"/>
    </row>
    <row r="15" spans="1:31" ht="33.75" customHeight="1" x14ac:dyDescent="0.2">
      <c r="A15" s="291"/>
      <c r="B15" s="292" t="str">
        <f>IF(Roster!$K$25="Italiano",M15,(IF(Roster!$K$25="Español",J15,(IF(Roster!$K$25="Deutsch",K15,(IF(Roster!$K$25="Français",L15,I15)))))))</f>
        <v>In the match tab you can include the winnings and the variation of Dedicated Fans that will be shown with the calculation made automatically in the roster tab.</v>
      </c>
      <c r="C15" s="293"/>
      <c r="D15" s="294"/>
      <c r="E15" s="291"/>
      <c r="F15" s="218"/>
      <c r="G15" s="218"/>
      <c r="H15" s="218"/>
      <c r="I15" s="6" t="s">
        <v>21</v>
      </c>
      <c r="J15" s="219" t="s">
        <v>22</v>
      </c>
      <c r="K15" s="6" t="s">
        <v>23</v>
      </c>
      <c r="L15" s="220" t="s">
        <v>24</v>
      </c>
      <c r="M15" s="220" t="s">
        <v>1248</v>
      </c>
      <c r="N15" s="218"/>
      <c r="O15" s="218"/>
      <c r="P15" s="218"/>
      <c r="Q15" s="218"/>
      <c r="R15" s="218"/>
      <c r="S15" s="218"/>
      <c r="T15" s="218"/>
      <c r="U15" s="218"/>
      <c r="V15" s="218"/>
      <c r="W15" s="218"/>
      <c r="X15" s="218"/>
      <c r="Y15" s="218"/>
      <c r="Z15" s="218"/>
      <c r="AA15" s="218"/>
      <c r="AB15" s="218"/>
      <c r="AC15" s="218"/>
      <c r="AD15" s="218"/>
      <c r="AE15" s="218"/>
    </row>
    <row r="16" spans="1:31" ht="33.75" customHeight="1" x14ac:dyDescent="0.2">
      <c r="A16" s="291"/>
      <c r="B16" s="292" t="str">
        <f>IF(Roster!$K$25="Italiano",M16,(IF(Roster!$K$25="Español",J16,(IF(Roster!$K$25="Deutsch",K16,(IF(Roster!$K$25="Français",L16,I16)))))))</f>
        <v>If a player dies or is withdrawn, he should be included in the dead and withdrawn players tab including the cost so that the roster automatically calculates it.</v>
      </c>
      <c r="C16" s="293"/>
      <c r="D16" s="294"/>
      <c r="E16" s="291"/>
      <c r="F16" s="218"/>
      <c r="G16" s="218"/>
      <c r="H16" s="218"/>
      <c r="I16" s="220" t="s">
        <v>1243</v>
      </c>
      <c r="J16" s="220" t="s">
        <v>1239</v>
      </c>
      <c r="K16" s="220" t="s">
        <v>1241</v>
      </c>
      <c r="L16" s="220" t="s">
        <v>1240</v>
      </c>
      <c r="M16" s="220" t="s">
        <v>1242</v>
      </c>
      <c r="N16" s="218"/>
      <c r="O16" s="218"/>
      <c r="P16" s="218"/>
      <c r="Q16" s="218"/>
      <c r="R16" s="218"/>
      <c r="S16" s="218"/>
      <c r="T16" s="218"/>
      <c r="U16" s="218"/>
      <c r="V16" s="218"/>
      <c r="W16" s="218"/>
      <c r="X16" s="218"/>
      <c r="Y16" s="218"/>
      <c r="Z16" s="218"/>
      <c r="AA16" s="218"/>
      <c r="AB16" s="218"/>
      <c r="AC16" s="218"/>
      <c r="AD16" s="218"/>
      <c r="AE16" s="218"/>
    </row>
    <row r="17" spans="1:31" ht="33" customHeight="1" x14ac:dyDescent="0.2">
      <c r="A17" s="291"/>
      <c r="B17" s="292" t="str">
        <f>IF(Roster!$K$25="Italiano",M17,(IF(Roster!$K$25="Español",J17,(IF(Roster!$K$25="Deutsch",K17,(IF(Roster!$K$25="Français",L17,I17)))))))</f>
        <v>The Team Cards sheet is fully automatic, it is only necessary, if desired, to add images for the players or to change the NAF logo to the team logo.</v>
      </c>
      <c r="C17" s="293"/>
      <c r="D17" s="294"/>
      <c r="E17" s="291"/>
      <c r="F17" s="218"/>
      <c r="G17" s="218"/>
      <c r="H17" s="218"/>
      <c r="I17" s="1" t="s">
        <v>25</v>
      </c>
      <c r="J17" s="217" t="s">
        <v>26</v>
      </c>
      <c r="K17" s="1" t="s">
        <v>27</v>
      </c>
      <c r="L17" s="220" t="s">
        <v>28</v>
      </c>
      <c r="M17" s="220" t="s">
        <v>1249</v>
      </c>
      <c r="N17" s="218"/>
      <c r="O17" s="218"/>
      <c r="P17" s="218"/>
      <c r="Q17" s="218"/>
      <c r="R17" s="218"/>
      <c r="S17" s="218"/>
      <c r="T17" s="218"/>
      <c r="U17" s="218"/>
      <c r="V17" s="218"/>
      <c r="W17" s="218"/>
      <c r="X17" s="218"/>
      <c r="Y17" s="218"/>
      <c r="Z17" s="218"/>
      <c r="AA17" s="218"/>
      <c r="AB17" s="218"/>
      <c r="AC17" s="218"/>
      <c r="AD17" s="218"/>
      <c r="AE17" s="218"/>
    </row>
    <row r="18" spans="1:31" ht="15" customHeight="1" x14ac:dyDescent="0.2">
      <c r="A18" s="291"/>
      <c r="B18" s="218"/>
      <c r="C18" s="218"/>
      <c r="D18" s="218"/>
      <c r="E18" s="291"/>
      <c r="F18" s="218"/>
      <c r="G18" s="218"/>
      <c r="H18" s="218"/>
      <c r="I18" s="218"/>
      <c r="J18" s="218"/>
      <c r="K18" s="218"/>
      <c r="L18" s="218"/>
      <c r="M18" s="220"/>
      <c r="N18" s="218"/>
      <c r="O18" s="218"/>
      <c r="P18" s="218"/>
      <c r="Q18" s="218"/>
      <c r="R18" s="218"/>
      <c r="S18" s="218"/>
      <c r="T18" s="218"/>
      <c r="U18" s="218"/>
      <c r="V18" s="218"/>
      <c r="W18" s="218"/>
      <c r="X18" s="218"/>
      <c r="Y18" s="218"/>
      <c r="Z18" s="218"/>
      <c r="AA18" s="218"/>
      <c r="AB18" s="218"/>
      <c r="AC18" s="218"/>
      <c r="AD18" s="218"/>
      <c r="AE18" s="218"/>
    </row>
  </sheetData>
  <sheetProtection algorithmName="SHA-512" hashValue="0WlksxW7SX/dMKjjYJVu6J4J9XXLqq/BhqRIe5azC7oQQ9jMt5SGtTiO2D3McFydYQi1CfNvKXbVj0VGv+FSmg==" saltValue="yXtY1zn6pWlaZuSTtyLpFg==" spinCount="100000" sheet="1" objects="1" scenarios="1"/>
  <mergeCells count="19">
    <mergeCell ref="A1:A18"/>
    <mergeCell ref="B1:D1"/>
    <mergeCell ref="B2:D2"/>
    <mergeCell ref="B3:D3"/>
    <mergeCell ref="B4:D4"/>
    <mergeCell ref="B5:D5"/>
    <mergeCell ref="B10:D10"/>
    <mergeCell ref="B11:D11"/>
    <mergeCell ref="B12:D12"/>
    <mergeCell ref="B13:D13"/>
    <mergeCell ref="B14:D14"/>
    <mergeCell ref="B15:D15"/>
    <mergeCell ref="B7:D7"/>
    <mergeCell ref="E1:E18"/>
    <mergeCell ref="B17:D17"/>
    <mergeCell ref="B16:D16"/>
    <mergeCell ref="B9:D9"/>
    <mergeCell ref="B8:D8"/>
    <mergeCell ref="B6:D6"/>
  </mergeCells>
  <hyperlinks>
    <hyperlink ref="B8:D8" r:id="rId1" display="DONATE" xr:uid="{00000000-0004-0000-0000-000000000000}"/>
  </hyperlinks>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C371"/>
  <sheetViews>
    <sheetView tabSelected="1" zoomScaleNormal="100" zoomScaleSheetLayoutView="70" workbookViewId="0">
      <pane ySplit="1" topLeftCell="A14" activePane="bottomLeft" state="frozen"/>
      <selection pane="bottomLeft" activeCell="K26" sqref="K26:R26"/>
    </sheetView>
  </sheetViews>
  <sheetFormatPr defaultColWidth="0" defaultRowHeight="15" customHeight="1" zeroHeight="1" x14ac:dyDescent="0.2"/>
  <cols>
    <col min="1" max="1" width="2.85546875" customWidth="1"/>
    <col min="2" max="2" width="28.5703125" customWidth="1"/>
    <col min="3" max="3" width="11.42578125" customWidth="1"/>
    <col min="4" max="7" width="5.7109375" customWidth="1"/>
    <col min="8" max="8" width="2.140625" customWidth="1"/>
    <col min="9" max="9" width="1.42578125" customWidth="1"/>
    <col min="10" max="10" width="2.140625" customWidth="1"/>
    <col min="11" max="42" width="5.7109375" customWidth="1"/>
    <col min="43" max="43" width="2.85546875" customWidth="1"/>
    <col min="44" max="49" width="8" hidden="1" customWidth="1"/>
    <col min="50" max="50" width="8.140625" hidden="1" customWidth="1"/>
    <col min="51" max="61" width="8" hidden="1" customWidth="1"/>
    <col min="62" max="62" width="15.5703125" hidden="1" customWidth="1"/>
    <col min="63" max="63" width="8.5703125" hidden="1" customWidth="1"/>
    <col min="64" max="71" width="8" hidden="1" customWidth="1"/>
    <col min="72" max="72" width="73.42578125" hidden="1" customWidth="1"/>
    <col min="73" max="73" width="36.85546875" hidden="1" customWidth="1"/>
    <col min="74" max="74" width="27" hidden="1" customWidth="1"/>
    <col min="75" max="75" width="22.85546875" hidden="1" customWidth="1"/>
    <col min="76" max="76" width="29.140625" hidden="1" customWidth="1"/>
    <col min="77" max="82" width="8" hidden="1" customWidth="1"/>
    <col min="83" max="83" width="10" hidden="1" customWidth="1"/>
    <col min="84" max="85" width="10" style="13" hidden="1" customWidth="1"/>
    <col min="86" max="86" width="13.7109375" style="13" hidden="1" customWidth="1"/>
    <col min="87" max="87" width="8" style="13" hidden="1" customWidth="1"/>
    <col min="88" max="100" width="8" hidden="1" customWidth="1"/>
    <col min="101" max="101" width="8.140625" hidden="1" customWidth="1"/>
    <col min="102" max="107" width="8" hidden="1" customWidth="1"/>
    <col min="108" max="16384" width="14.42578125" hidden="1"/>
  </cols>
  <sheetData>
    <row r="1" spans="1:106" ht="30" customHeight="1" x14ac:dyDescent="0.2">
      <c r="A1" s="15" t="s">
        <v>29</v>
      </c>
      <c r="B1" s="355" t="str">
        <f>IF($K$25="Italiano","NOME GIOCATORE",(IF($K$25="Español","NOMBRE JUGADOR",(IF($K$25="Deutsch","NAME",(IF($K$25="Français","NOM DU JOUEUR","PLAYER NAME")))))))</f>
        <v>PLAYER NAME</v>
      </c>
      <c r="C1" s="356"/>
      <c r="D1" s="361" t="str">
        <f>IF($K$25="Italiano","TIPO",(IF($K$25="Español","TIPO",(IF($K$25="Deutsch","POSITION",(IF($K$25="Français","POSTE","TYPE")))))))</f>
        <v>TYPE</v>
      </c>
      <c r="E1" s="300"/>
      <c r="F1" s="300"/>
      <c r="G1" s="301"/>
      <c r="H1" s="391" t="str">
        <f>IF($K$25="Italiano","QTA",(IF($K$25="Español","CANT",(IF($K$25="Deutsch","An- zahl",(IF($K$25="Français","QTT","QTY")))))))</f>
        <v>QTY</v>
      </c>
      <c r="I1" s="300"/>
      <c r="J1" s="301"/>
      <c r="K1" s="15" t="str">
        <f>IF($K$25="Español","MO",(IF($K$25="Deutsch","BE",(IF($K$25="Français","M","MA")))))</f>
        <v>MA</v>
      </c>
      <c r="L1" s="15" t="str">
        <f>IF($K$25="Español","FU",(IF($K$25="Français","F","ST")))</f>
        <v>ST</v>
      </c>
      <c r="M1" s="15" t="str">
        <f>IF($K$25="Deutsch","GE","AG")</f>
        <v>AG</v>
      </c>
      <c r="N1" s="15" t="str">
        <f>IF($K$25="Deutsch","WG",(IF($K$25="Français","CP","PA")))</f>
        <v>PA</v>
      </c>
      <c r="O1" s="15" t="str">
        <f>IF($K$25="Español","AR",(IF($K$25="Deutsch","RW",(IF($K$25="Français","AR","AV")))))</f>
        <v>AV</v>
      </c>
      <c r="P1" s="361" t="str">
        <f>IF($K$25="Italiano","ABILITÀ",(IF($K$25="Español","HABILIDADES",(IF($K$25="Deutsch","FERTIGKEITEN",(IF($K$25="Français","COMPÉTENCES","SKILLS")))))))</f>
        <v>SKILLS</v>
      </c>
      <c r="Q1" s="300"/>
      <c r="R1" s="300"/>
      <c r="S1" s="300"/>
      <c r="T1" s="300"/>
      <c r="U1" s="300"/>
      <c r="V1" s="300"/>
      <c r="W1" s="300"/>
      <c r="X1" s="300"/>
      <c r="Y1" s="300"/>
      <c r="Z1" s="301"/>
      <c r="AA1" s="16" t="str">
        <f>IF($K$25="Español","LPP /RT",(IF($K$25="Deutsch","VNS /AD",(IF($K$25="Français","RPM /RT","MNG /TR")))))</f>
        <v>MNG /TR</v>
      </c>
      <c r="AB1" s="17" t="str">
        <f>IF($K$25="Español","ESP","SPE")</f>
        <v>SPE</v>
      </c>
      <c r="AC1" s="15" t="str">
        <f>IF($K$25="Deutsch","GP",(IF($K$25="Français","REU","CP")))</f>
        <v>CP</v>
      </c>
      <c r="AD1" s="198" t="s">
        <v>1196</v>
      </c>
      <c r="AE1" s="15" t="str">
        <f>IF($K$25="Español","DES",(IF($K$25="Deutsch","AB",(IF($K$25="Français","DET","DEF")))))</f>
        <v>DEF</v>
      </c>
      <c r="AF1" s="198" t="s">
        <v>1197</v>
      </c>
      <c r="AG1" s="15" t="str">
        <f>IF($K$25="Español","HL",(IF($K$25="Deutsch","SV",(IF($K$25="Français","COM","BH")))))</f>
        <v>BH</v>
      </c>
      <c r="AH1" s="15" t="str">
        <f>IF($K$25="Español","HG",(IF($K$25="Deutsch","BV",(IF($K$25="Français","BS","SI")))))</f>
        <v>SI</v>
      </c>
      <c r="AI1" s="15" t="str">
        <f>IF($K$25="Español","RIP",(IF($K$25="Deutsch","TOT",(IF($K$25="Français","MORT","KILL")))))</f>
        <v>KILL</v>
      </c>
      <c r="AJ1" s="15" t="str">
        <f>IF($K$25="Deutsch","SDT",(IF($K$25="Français","JdM","MVP")))</f>
        <v>MVP</v>
      </c>
      <c r="AK1" s="391" t="str">
        <f>IF($K$25="Italiano","SPP Totali",(IF($K$25="Español","SPP Totales",(IF($K$25="Deutsch","Gesamte SPP",(IF($K$25="Français","Total PSP","Total SPP")))))))</f>
        <v>Total SPP</v>
      </c>
      <c r="AL1" s="301"/>
      <c r="AM1" s="391" t="str">
        <f>IF($K$25="Italiano","SPP Non Spesi",(IF($K$25="Español","SPP Sin gastar",(IF($K$25="Deutsch","Verfügb. SPP",(IF($K$25="Français","PSP restant","Unspent SPP")))))))</f>
        <v>Unspent SPP</v>
      </c>
      <c r="AN1" s="301"/>
      <c r="AO1" s="361" t="str">
        <f>IF($K$25="Italiano","COSTO",(IF($K$25="Español","PRECIO",(IF($K$25="Deutsch","WERT",(IF($K$25="Français","VALEUR","COST")))))))</f>
        <v>COST</v>
      </c>
      <c r="AP1" s="301"/>
      <c r="AQ1" s="346"/>
      <c r="AR1" s="7" t="s">
        <v>30</v>
      </c>
      <c r="AS1" s="8" t="s">
        <v>31</v>
      </c>
      <c r="AT1" s="8"/>
      <c r="AU1" s="8"/>
      <c r="AV1" s="8"/>
      <c r="AW1" s="8"/>
      <c r="AX1" s="8"/>
      <c r="AY1" s="377" t="s">
        <v>32</v>
      </c>
      <c r="AZ1" s="378"/>
      <c r="BA1" s="378"/>
      <c r="BB1" s="378"/>
      <c r="BC1" s="378"/>
      <c r="BD1" s="378"/>
      <c r="BE1" s="378"/>
      <c r="BF1" s="378"/>
      <c r="BG1" s="339"/>
      <c r="BH1" s="8"/>
      <c r="BI1" s="8"/>
      <c r="BJ1" s="8"/>
      <c r="BK1" s="8"/>
      <c r="BL1" s="8"/>
      <c r="BM1" s="8"/>
      <c r="BN1" s="8"/>
      <c r="BO1" s="8"/>
      <c r="BP1" s="8" t="str">
        <f>INDEX(BZ3:BZ36,(SUM(BZ2:CC2)))</f>
        <v>Ogre</v>
      </c>
      <c r="BQ1" s="8"/>
      <c r="BR1" s="8"/>
      <c r="BS1" s="8"/>
      <c r="BT1" s="8"/>
      <c r="BU1" s="8"/>
      <c r="BV1" s="9"/>
      <c r="BW1" s="9"/>
      <c r="BX1" s="8"/>
      <c r="BY1" s="8"/>
      <c r="BZ1" s="8"/>
      <c r="CA1" s="8"/>
      <c r="CB1" s="9"/>
      <c r="CC1" s="8"/>
      <c r="CD1" s="8"/>
      <c r="CE1" s="8"/>
      <c r="CF1" s="8"/>
      <c r="CG1" s="8"/>
      <c r="CH1" s="8"/>
      <c r="CI1" s="8"/>
      <c r="CJ1" s="8"/>
      <c r="CK1" s="8"/>
      <c r="CL1" s="8"/>
      <c r="CM1" s="8"/>
      <c r="CN1" s="8"/>
      <c r="CO1" s="8"/>
      <c r="CP1" s="8"/>
      <c r="CQ1" s="8"/>
      <c r="CR1" s="8"/>
      <c r="CS1" s="8"/>
      <c r="CT1" s="8"/>
      <c r="CU1" s="8"/>
      <c r="CV1" s="8"/>
      <c r="CW1" s="8"/>
      <c r="CX1" s="8"/>
      <c r="CY1" s="8"/>
      <c r="CZ1" s="8"/>
      <c r="DA1" s="8"/>
      <c r="DB1" s="8"/>
    </row>
    <row r="2" spans="1:106" ht="37.5" customHeight="1" x14ac:dyDescent="0.2">
      <c r="A2" s="15">
        <v>1</v>
      </c>
      <c r="B2" s="315"/>
      <c r="C2" s="316"/>
      <c r="D2" s="398"/>
      <c r="E2" s="365"/>
      <c r="F2" s="365"/>
      <c r="G2" s="365"/>
      <c r="H2" s="18">
        <f>IF(D2="",0,(COUNTIF(D2:G17,D2)))</f>
        <v>0</v>
      </c>
      <c r="I2" s="19" t="s">
        <v>34</v>
      </c>
      <c r="J2" s="20">
        <f>IFERROR((VLOOKUP($BP$1&amp;D2,Teams!D:M,10,0)),0)</f>
        <v>0</v>
      </c>
      <c r="K2" s="21">
        <f t="shared" ref="K2:L2" si="0">IFERROR(L61,0)</f>
        <v>0</v>
      </c>
      <c r="L2" s="21">
        <f t="shared" si="0"/>
        <v>0</v>
      </c>
      <c r="M2" s="21" t="str">
        <f t="shared" ref="M2:O2" si="1">IFERROR(N61&amp;"+",0)</f>
        <v>0+</v>
      </c>
      <c r="N2" s="21" t="str">
        <f t="shared" si="1"/>
        <v>0+</v>
      </c>
      <c r="O2" s="21" t="str">
        <f t="shared" si="1"/>
        <v>0+</v>
      </c>
      <c r="P2" s="392" t="str">
        <f>IFERROR((IF(AW2="YES",(VLOOKUP($BP$1&amp;D2,Teams!D:M,7,0)&amp;BG2),AX2)),"")</f>
        <v>0</v>
      </c>
      <c r="Q2" s="393"/>
      <c r="R2" s="393"/>
      <c r="S2" s="393"/>
      <c r="T2" s="393"/>
      <c r="U2" s="393"/>
      <c r="V2" s="393"/>
      <c r="W2" s="393"/>
      <c r="X2" s="393"/>
      <c r="Y2" s="393"/>
      <c r="Z2" s="394"/>
      <c r="AA2" s="61"/>
      <c r="AB2" s="61"/>
      <c r="AC2" s="62"/>
      <c r="AD2" s="62"/>
      <c r="AE2" s="62"/>
      <c r="AF2" s="63"/>
      <c r="AG2" s="63"/>
      <c r="AH2" s="63"/>
      <c r="AI2" s="63"/>
      <c r="AJ2" s="64"/>
      <c r="AK2" s="360">
        <f t="shared" ref="AK2" si="2">AB2+AC2+(AD2*3)+AE2+(AF2*2)+(AG2*2)+(AH2*2)+(AI2*2)+(AJ2*4)</f>
        <v>0</v>
      </c>
      <c r="AL2" s="359"/>
      <c r="AM2" s="360">
        <f t="shared" ref="AM2:AM16" si="3">AK2-AJ37</f>
        <v>0</v>
      </c>
      <c r="AN2" s="359"/>
      <c r="AO2" s="360">
        <f>IFERROR((VLOOKUP($BP$1&amp;D2,Teams!D:M,8,0)+AH37),0)</f>
        <v>0</v>
      </c>
      <c r="AP2" s="359"/>
      <c r="AQ2" s="346"/>
      <c r="AR2" s="7">
        <f>IFERROR((IF(AA2&lt;&gt;"",0,((VLOOKUP($BP$1&amp;D2,Teams!D:M,9,0)+(AH37/1000)-(AB37/1000))))),0)</f>
        <v>0</v>
      </c>
      <c r="AS2" s="8">
        <f>IFERROR((VLOOKUP($BP$1&amp;D2,Teams!D:N,11,0)),0)</f>
        <v>0</v>
      </c>
      <c r="AT2" s="8" t="str">
        <f t="shared" ref="AT2:AT17" si="4">IF(H2&gt;J2,(IF($K$25="Italiano","Limite del giocatore superato... Stai barando!",(IF($K$25="Español","Límite de jugadores excedido… ¡Estás haciendo trampas!",(IF($K$25="Deutsch","Spieler-Limit überschritten… Du schummelst!",(IF($K$25="Français","Tu as trop de joueurs… Tricheur!","Player limit exceded… You are cheating!")))))))),"")</f>
        <v/>
      </c>
      <c r="AU2" s="8" t="str">
        <f t="shared" ref="AU2:AU17" si="5">IF(AS2&gt;0,(IF($BB$72&gt;$BB$74,(IF($K$25="Italiano","Il limite dei ragazzi grandi è stato superato... State imbrogliando!",(IF($K$25="Español","Límite de tipos grandes excedido... ¡Estás haciendo trampas!",(IF($K$25="Deutsch","Brocken-Limit überschritten… Du schummelst!",(IF($K$25="Français","Tu as trop de Gros Bras… Tricheur!","Big guys limit exceded... You are cheating!")))))))),"")),"")</f>
        <v/>
      </c>
      <c r="AV2" s="8" t="str">
        <f t="shared" ref="AV2:AV17" si="6">IF(AM2&lt;0,(IF($K$25="Italiano","Non abbastanza SPP!",(IF($K$25="Español","¡Te faltan SPP!",(IF($K$25="Deutsch","Nicht genug SPP!",(IF($K$25="Français","Tu n'as pas assez de PSP!","Not Enough SPP!")))))))),"")</f>
        <v/>
      </c>
      <c r="AW2" s="8" t="str">
        <f t="shared" ref="AW2:AW17" si="7">IF(AT2&lt;&gt;"","NO",IF(AU2&lt;&gt;"","NO",IF(AV2&lt;&gt;"","NO","YES")))</f>
        <v>YES</v>
      </c>
      <c r="AX2" s="8" t="str">
        <f t="shared" ref="AX2:AX17" si="8">IFERROR((IF(AT2&lt;&gt;"",AT2,(IF(AU2&lt;&gt;"",AU2,(IF(AV2&lt;&gt;"",AV2,"")))))),"")</f>
        <v/>
      </c>
      <c r="AY2" s="22" t="str">
        <f>IF(C37&lt;&gt;"",(IF(OR(C37="+ MA", C37="+ST", C37="- PA", C37="+ AV", C37="+ MO", C37="+ FU", C37="+ M", C37="+ F", C37="- CP", C37="- AG", C37="+ AR", C37="+ BE", C37="+ ST", C37="- WG", C37="- GE", C37="+ RW"),"",BH2&amp;C37)),"")</f>
        <v/>
      </c>
      <c r="AZ2" s="22" t="str">
        <f>IF(F37&lt;&gt;"",(IF(OR(F37="+ MA", F37="+ST", F37="- PA", F37="+ AV", F37="+ MO", F37="+ FU", F37="+ M", F37="+ F", F37="- CP", F37="- AG", F37="+ AR", F37="+ BE", F37="+ ST", F37="- WG", F37="- GE", F37="+ RW"),"",", "&amp;F37)),"")</f>
        <v/>
      </c>
      <c r="BA2" s="22" t="str">
        <f>IF(L37&lt;&gt;"",(IF(OR(L37="+ MA", L37="+ST", L37="- PA", L37="+ AV", L37="+ MO", L37="+ FU", L37="+ M", L37="+ F", L37="- CP", L37="- AG", L37="+ AR", L37="+ BE", L37="+ ST", L37="- WG", L37="- GE", L37="+ RW"),"",", "&amp;L37)),"")</f>
        <v/>
      </c>
      <c r="BB2" s="22" t="str">
        <f>IF(P37&lt;&gt;"",(IF(OR(P37="+ MA", P37="+ST", P37="- PA", P37="+ AV", P37="+ MO", P37="+ FU", P37="+ M", P37="+ F", P37="- CP", P37="- AG", P37="+ AR", P37="+ BE", P37="+ ST", P37="- WG", P37="- GE", P37="+ RW"),"",", "&amp;P37)),"")</f>
        <v/>
      </c>
      <c r="BC2" s="22" t="str">
        <f>IF(T37&lt;&gt;"",(IF(OR(T37="+ MA", T37="+ST", T37="- PA", T37="+ AV", T37="+ MO", T37="+ FU", T37="+ M", T37="+ F", T37="- CP", T37="- AG", T37="+ AR", T37="+ BE", T37="+ ST", T37="- WG", T37="- GE", T37="+ RW"),"",", "&amp;T37)),"")</f>
        <v/>
      </c>
      <c r="BD2" s="22" t="str">
        <f>IF(X37&lt;&gt;"",(IF(OR(X37="+ MA", X37="+ST", X37="- PA", X37="+ AV", X37="+ MO", X37="+ FU", X37="+ M", X37="+ F", X37="- CP", X37="- AG", X37="+ AR", X37="+ BE", X37="+ ST", X37="- WG", X37="- GE", X37="+ RW"),"",", "&amp;X37)),"")</f>
        <v/>
      </c>
      <c r="BE2" s="22"/>
      <c r="BF2" s="22" t="str">
        <f>((IF(AK37&gt;0," - "&amp;AK37&amp;" NI", "")))</f>
        <v/>
      </c>
      <c r="BG2" s="23" t="str">
        <f t="shared" ref="BG2:BG17" si="9">IF(AM2&lt;0,"",AY2&amp;AZ2&amp;BA2&amp;BB2&amp;BC2&amp;BD2&amp;BE2&amp;BF2)</f>
        <v/>
      </c>
      <c r="BH2" t="str">
        <f>IFERROR((IF((VLOOKUP($BP$1&amp;D2,Teams!D:M,7,0))="","",", ")),"")</f>
        <v xml:space="preserve">, </v>
      </c>
      <c r="BI2" s="8"/>
      <c r="BJ2" s="8" t="str">
        <f>$BP$1&amp;1</f>
        <v>Ogre1</v>
      </c>
      <c r="BK2" t="str">
        <f>IFERROR(IF((VLOOKUP(BJ2,Teams!B:C,2,FALSE))=0,"",(VLOOKUP(BJ2,Teams!B:C,2,FALSE))),"")</f>
        <v/>
      </c>
      <c r="BL2" s="8"/>
      <c r="BN2" s="10"/>
      <c r="BO2" s="10" t="s">
        <v>35</v>
      </c>
      <c r="BP2" s="8" t="str">
        <f>INDEX(BO3:BO36,(SUM(BZ2:CC2)))</f>
        <v>Ogre</v>
      </c>
      <c r="BQ2" s="10" t="s">
        <v>36</v>
      </c>
      <c r="BR2" s="10" t="s">
        <v>37</v>
      </c>
      <c r="BS2" s="10" t="s">
        <v>38</v>
      </c>
      <c r="BT2" s="11" t="s">
        <v>39</v>
      </c>
      <c r="BU2" s="11" t="s">
        <v>40</v>
      </c>
      <c r="BV2" s="9" t="str">
        <f>VLOOKUP(BP1,BM:BU,9,FALSE)</f>
        <v>BadlandsBrawlOldWorldClassic</v>
      </c>
      <c r="BW2" s="9">
        <f>VLOOKUP(BP1,BM1:BV38,10,FALSE)</f>
        <v>0</v>
      </c>
      <c r="BX2" s="9" t="str">
        <f>VLOOKUP(BP1,BM1:BW38,11,FALSE)</f>
        <v>LowCost</v>
      </c>
      <c r="BY2" s="8"/>
      <c r="BZ2" s="10">
        <f>IFERROR(MATCH($K$23,BZ3:BZ50,0),0)</f>
        <v>23</v>
      </c>
      <c r="CA2" s="10">
        <f>IFERROR(MATCH($K$23,CA3:CA50,0),0)</f>
        <v>0</v>
      </c>
      <c r="CB2" s="10">
        <f>IFERROR(MATCH($K$23,CB3:CB50,0),0)</f>
        <v>0</v>
      </c>
      <c r="CC2" s="10">
        <f>IFERROR(MATCH($K$23,CC3:CC50,0),0)</f>
        <v>0</v>
      </c>
      <c r="CD2" s="11"/>
      <c r="CE2" s="10"/>
      <c r="CF2" s="202" t="s">
        <v>1257</v>
      </c>
      <c r="CG2" s="202" t="s">
        <v>1258</v>
      </c>
      <c r="CH2" s="202" t="s">
        <v>1259</v>
      </c>
      <c r="CI2" s="202" t="s">
        <v>1260</v>
      </c>
      <c r="CJ2" s="8"/>
      <c r="CK2" s="8"/>
      <c r="CL2" s="8"/>
      <c r="CM2" s="8"/>
      <c r="CN2" s="8"/>
      <c r="CO2" s="8"/>
      <c r="CP2" s="8"/>
      <c r="CQ2" s="8"/>
      <c r="CR2" s="8"/>
      <c r="CS2" s="8"/>
      <c r="CT2" s="8"/>
      <c r="CU2" s="8"/>
      <c r="CV2" s="8"/>
      <c r="CW2" s="8"/>
      <c r="CX2" s="8"/>
      <c r="CY2" s="8"/>
      <c r="CZ2" s="8"/>
      <c r="DA2" s="8"/>
      <c r="DB2" s="8"/>
    </row>
    <row r="3" spans="1:106" ht="37.5" customHeight="1" x14ac:dyDescent="0.2">
      <c r="A3" s="15">
        <v>2</v>
      </c>
      <c r="B3" s="313" t="s">
        <v>1833</v>
      </c>
      <c r="C3" s="314"/>
      <c r="D3" s="398" t="s">
        <v>655</v>
      </c>
      <c r="E3" s="365"/>
      <c r="F3" s="365"/>
      <c r="G3" s="365"/>
      <c r="H3" s="18">
        <f>IF(D3="",0,(COUNTIF(D2:G17,D3)))</f>
        <v>5</v>
      </c>
      <c r="I3" s="19" t="s">
        <v>34</v>
      </c>
      <c r="J3" s="20">
        <f>IFERROR((VLOOKUP($BP$1&amp;D3,Teams!D:M,10,0)),0)</f>
        <v>5</v>
      </c>
      <c r="K3" s="21">
        <f t="shared" ref="K3:L3" si="10">IFERROR(L62,0)</f>
        <v>5</v>
      </c>
      <c r="L3" s="21">
        <f t="shared" si="10"/>
        <v>5</v>
      </c>
      <c r="M3" s="21" t="str">
        <f t="shared" ref="M3:O3" si="11">IFERROR(N62&amp;"+",0)</f>
        <v>4+</v>
      </c>
      <c r="N3" s="21" t="str">
        <f t="shared" si="11"/>
        <v>5+</v>
      </c>
      <c r="O3" s="21" t="str">
        <f t="shared" si="11"/>
        <v>10+</v>
      </c>
      <c r="P3" s="392" t="str">
        <f>IFERROR((IF(AW3="YES",(VLOOKUP($BP$1&amp;D3,Teams!D:M,7,0)&amp;BG3),AX3)),"")</f>
        <v>Bone Head, Mighty Blow (+1), Thick Skull, Throw Team-mate, Stand Firm</v>
      </c>
      <c r="Q3" s="393"/>
      <c r="R3" s="393"/>
      <c r="S3" s="393"/>
      <c r="T3" s="393"/>
      <c r="U3" s="393"/>
      <c r="V3" s="393"/>
      <c r="W3" s="393"/>
      <c r="X3" s="393"/>
      <c r="Y3" s="393"/>
      <c r="Z3" s="394"/>
      <c r="AA3" s="61"/>
      <c r="AB3" s="61"/>
      <c r="AC3" s="62"/>
      <c r="AD3" s="62"/>
      <c r="AE3" s="62"/>
      <c r="AF3" s="63"/>
      <c r="AG3" s="63"/>
      <c r="AH3" s="63">
        <v>1</v>
      </c>
      <c r="AI3" s="63"/>
      <c r="AJ3" s="63">
        <v>1</v>
      </c>
      <c r="AK3" s="360">
        <f t="shared" ref="AK3:AK16" si="12">AB3+AC3+(AD3*3)+AE3+(AF3*2)+(AG3*2)+(AH3*2)+(AI3*2)+(AJ3*4)</f>
        <v>6</v>
      </c>
      <c r="AL3" s="359"/>
      <c r="AM3" s="360">
        <f t="shared" si="3"/>
        <v>3</v>
      </c>
      <c r="AN3" s="359"/>
      <c r="AO3" s="360">
        <f>IFERROR((VLOOKUP($BP$1&amp;D3,Teams!D:M,8,0)+AH38),0)</f>
        <v>150000</v>
      </c>
      <c r="AP3" s="359"/>
      <c r="AQ3" s="346"/>
      <c r="AR3" s="7">
        <f>IFERROR((IF(AA3&lt;&gt;"",0,((VLOOKUP($BP$1&amp;D3,Teams!D:M,9,0)+(AH38/1000)-(AB38/1000))))),0)</f>
        <v>150</v>
      </c>
      <c r="AS3" s="8">
        <f>IFERROR((VLOOKUP($BP$1&amp;D3,Teams!D:N,11,0)),0)</f>
        <v>1</v>
      </c>
      <c r="AT3" s="8" t="str">
        <f t="shared" si="4"/>
        <v/>
      </c>
      <c r="AU3" s="8" t="str">
        <f t="shared" si="5"/>
        <v/>
      </c>
      <c r="AV3" s="8" t="str">
        <f t="shared" si="6"/>
        <v/>
      </c>
      <c r="AW3" s="8" t="str">
        <f t="shared" si="7"/>
        <v>YES</v>
      </c>
      <c r="AX3" s="8" t="str">
        <f t="shared" si="8"/>
        <v/>
      </c>
      <c r="AY3" s="22" t="str">
        <f t="shared" ref="AY3:AY17" si="13">IF(C38&lt;&gt;"",(IF(OR(C38="+ MA", C38="+ST", C38="- PA", C38="+ AV", C38="+ MO", C38="+ FU", C38="+ M", C38="+ F", C38="- CP", C38="- AG", C38="+ AR", C38="+ BE", C38="+ ST", C38="- WG", C38="- GE", C38="+ RW"),"",BH3&amp;C38)),"")</f>
        <v>, Stand Firm</v>
      </c>
      <c r="AZ3" s="22" t="str">
        <f t="shared" ref="AZ3:AZ17" si="14">IF(F38&lt;&gt;"",(IF(OR(F38="+ MA", F38="+ST", F38="- PA", F38="+ AV", F38="+ MO", F38="+ FU", F38="+ M", F38="+ F", F38="- CP", F38="- AG", F38="+ AR", F38="+ BE", F38="+ ST", F38="- WG", F38="- GE", F38="+ RW"),"",", "&amp;F38)),"")</f>
        <v/>
      </c>
      <c r="BA3" s="22" t="str">
        <f t="shared" ref="BA3:BA17" si="15">IF(L38&lt;&gt;"",(IF(OR(L38="+ MA", L38="+ST", L38="- PA", L38="+ AV", L38="+ MO", L38="+ FU", L38="+ M", L38="+ F", L38="- CP", L38="- AG", L38="+ AR", L38="+ BE", L38="+ ST", L38="- WG", L38="- GE", L38="+ RW"),"",", "&amp;L38)),"")</f>
        <v/>
      </c>
      <c r="BB3" s="22" t="str">
        <f t="shared" ref="BB3:BB17" si="16">IF(P38&lt;&gt;"",(IF(OR(P38="+ MA", P38="+ST", P38="- PA", P38="+ AV", P38="+ MO", P38="+ FU", P38="+ M", P38="+ F", P38="- CP", P38="- AG", P38="+ AR", P38="+ BE", P38="+ ST", P38="- WG", P38="- GE", P38="+ RW"),"",", "&amp;P38)),"")</f>
        <v/>
      </c>
      <c r="BC3" s="22" t="str">
        <f t="shared" ref="BC3:BC17" si="17">IF(T38&lt;&gt;"",(IF(OR(T38="+ MA", T38="+ST", T38="- PA", T38="+ AV", T38="+ MO", T38="+ FU", T38="+ M", T38="+ F", T38="- CP", T38="- AG", T38="+ AR", T38="+ BE", T38="+ ST", T38="- WG", T38="- GE", T38="+ RW"),"",", "&amp;T38)),"")</f>
        <v/>
      </c>
      <c r="BD3" s="22" t="str">
        <f t="shared" ref="BD3:BD17" si="18">IF(X38&lt;&gt;"",(IF(OR(X38="+ MA", X38="+ST", X38="- PA", X38="+ AV", X38="+ MO", X38="+ FU", X38="+ M", X38="+ F", X38="- CP", X38="- AG", X38="+ AR", X38="+ BE", X38="+ ST", X38="- WG", X38="- GE", X38="+ RW"),"",", "&amp;X38)),"")</f>
        <v/>
      </c>
      <c r="BE3" s="22"/>
      <c r="BF3" s="22" t="str">
        <f t="shared" ref="BF3:BF17" si="19">((IF(AK38&gt;0," - "&amp;AK38&amp;" NI", "")))</f>
        <v/>
      </c>
      <c r="BG3" s="23" t="str">
        <f t="shared" si="9"/>
        <v>, Stand Firm</v>
      </c>
      <c r="BH3" t="str">
        <f>IFERROR((IF((VLOOKUP($BP$1&amp;D3,Teams!D:M,7,0))="","",", ")),"")</f>
        <v xml:space="preserve">, </v>
      </c>
      <c r="BJ3" s="8" t="str">
        <f>$BP$1&amp;2</f>
        <v>Ogre2</v>
      </c>
      <c r="BK3" t="str">
        <f>IFERROR(IF((VLOOKUP(BJ3,Teams!B:C,2,FALSE))=0,"",(VLOOKUP(BJ3,Teams!B:C,2,FALSE))),"")</f>
        <v>Gnoblar</v>
      </c>
      <c r="BL3" s="8"/>
      <c r="BM3" s="197" t="s">
        <v>41</v>
      </c>
      <c r="BN3" s="8" t="str">
        <f>IF($K$25="Español",CG3,(IF($K$25="Deutsch",CH3,(IF($K$25="Français",CI3,CF3)))))</f>
        <v>Amazon</v>
      </c>
      <c r="BO3" s="8" t="s">
        <v>41</v>
      </c>
      <c r="BP3" s="8"/>
      <c r="BQ3" s="8">
        <v>50000</v>
      </c>
      <c r="BR3" s="8">
        <v>50000</v>
      </c>
      <c r="BS3" s="8">
        <v>0</v>
      </c>
      <c r="BT3" s="9" t="str">
        <f>IF($K$25="Español","Superliga Lustriana",(IF($K$25="Deutsch","Lustria-Superliga",(IF($K$25="Français","Super-Ligue de Lustrie","Lustrian Superleague")))))</f>
        <v>Lustrian Superleague</v>
      </c>
      <c r="BU3" s="9" t="s">
        <v>42</v>
      </c>
      <c r="BV3" s="9"/>
      <c r="BW3" s="9"/>
      <c r="BX3" s="8"/>
      <c r="BY3" s="9"/>
      <c r="BZ3" s="8" t="s">
        <v>41</v>
      </c>
      <c r="CA3" s="8" t="s">
        <v>43</v>
      </c>
      <c r="CB3" s="24" t="s">
        <v>44</v>
      </c>
      <c r="CC3" s="7" t="s">
        <v>45</v>
      </c>
      <c r="CD3" s="7"/>
      <c r="CE3" s="7"/>
      <c r="CF3" s="7" t="s">
        <v>41</v>
      </c>
      <c r="CG3" s="7" t="s">
        <v>145</v>
      </c>
      <c r="CH3" s="7" t="s">
        <v>44</v>
      </c>
      <c r="CI3" s="7" t="s">
        <v>147</v>
      </c>
      <c r="CJ3" s="8"/>
      <c r="CK3" s="8"/>
      <c r="CL3" s="8"/>
      <c r="CM3" s="8" t="s">
        <v>1744</v>
      </c>
      <c r="CN3" s="8" t="s">
        <v>1757</v>
      </c>
      <c r="CO3" s="24" t="s">
        <v>1758</v>
      </c>
      <c r="CP3" s="7" t="s">
        <v>1759</v>
      </c>
      <c r="CQ3" s="8"/>
      <c r="CR3" s="8"/>
      <c r="CS3" s="8"/>
      <c r="CT3" s="8"/>
      <c r="CU3" s="8"/>
      <c r="CV3" s="8"/>
      <c r="CW3" s="8"/>
      <c r="CX3" s="8"/>
      <c r="CY3" s="8"/>
      <c r="CZ3" s="8"/>
      <c r="DA3" s="8"/>
      <c r="DB3" s="8"/>
    </row>
    <row r="4" spans="1:106" ht="37.5" customHeight="1" x14ac:dyDescent="0.2">
      <c r="A4" s="15">
        <v>3</v>
      </c>
      <c r="B4" s="313" t="s">
        <v>1834</v>
      </c>
      <c r="C4" s="314"/>
      <c r="D4" s="398" t="s">
        <v>655</v>
      </c>
      <c r="E4" s="365"/>
      <c r="F4" s="365"/>
      <c r="G4" s="365"/>
      <c r="H4" s="18">
        <f>IF(D4="",0,(COUNTIF(D2:G17,D4)))</f>
        <v>5</v>
      </c>
      <c r="I4" s="19" t="s">
        <v>34</v>
      </c>
      <c r="J4" s="20">
        <f>IFERROR((VLOOKUP($BP$1&amp;D4,Teams!D:M,10,0)),0)</f>
        <v>5</v>
      </c>
      <c r="K4" s="21">
        <f t="shared" ref="K4:L4" si="20">IFERROR(L63,0)</f>
        <v>5</v>
      </c>
      <c r="L4" s="21">
        <f t="shared" si="20"/>
        <v>5</v>
      </c>
      <c r="M4" s="21" t="str">
        <f t="shared" ref="M4:O4" si="21">IFERROR(N63&amp;"+",0)</f>
        <v>4+</v>
      </c>
      <c r="N4" s="21" t="str">
        <f t="shared" si="21"/>
        <v>5+</v>
      </c>
      <c r="O4" s="21" t="str">
        <f t="shared" si="21"/>
        <v>10+</v>
      </c>
      <c r="P4" s="392" t="str">
        <f>IFERROR((IF(AW4="YES",(VLOOKUP($BP$1&amp;D4,Teams!D:M,7,0)&amp;BG4),AX4)),"")</f>
        <v>Bone Head, Mighty Blow (+1), Thick Skull, Throw Team-mate, Pile Diver, Guard</v>
      </c>
      <c r="Q4" s="393"/>
      <c r="R4" s="393"/>
      <c r="S4" s="393"/>
      <c r="T4" s="393"/>
      <c r="U4" s="393"/>
      <c r="V4" s="393"/>
      <c r="W4" s="393"/>
      <c r="X4" s="393"/>
      <c r="Y4" s="393"/>
      <c r="Z4" s="394"/>
      <c r="AA4" s="61"/>
      <c r="AB4" s="61"/>
      <c r="AC4" s="62"/>
      <c r="AD4" s="62"/>
      <c r="AE4" s="62"/>
      <c r="AF4" s="63"/>
      <c r="AG4" s="63">
        <v>3</v>
      </c>
      <c r="AH4" s="63"/>
      <c r="AI4" s="63"/>
      <c r="AJ4" s="64">
        <v>1</v>
      </c>
      <c r="AK4" s="360">
        <f t="shared" si="12"/>
        <v>10</v>
      </c>
      <c r="AL4" s="359"/>
      <c r="AM4" s="360">
        <f t="shared" si="3"/>
        <v>3</v>
      </c>
      <c r="AN4" s="359"/>
      <c r="AO4" s="360">
        <f>IFERROR((VLOOKUP($BP$1&amp;D4,Teams!D:M,8,0)+AH39),0)</f>
        <v>160000</v>
      </c>
      <c r="AP4" s="359"/>
      <c r="AQ4" s="346"/>
      <c r="AR4" s="7">
        <f>IFERROR((IF(AA4&lt;&gt;"",0,((VLOOKUP($BP$1&amp;D4,Teams!D:M,9,0)+(AH39/1000)-(AB39/1000))))),0)</f>
        <v>160</v>
      </c>
      <c r="AS4" s="8">
        <f>IFERROR((VLOOKUP($BP$1&amp;D4,Teams!D:N,11,0)),0)</f>
        <v>1</v>
      </c>
      <c r="AT4" s="8" t="str">
        <f t="shared" si="4"/>
        <v/>
      </c>
      <c r="AU4" s="8" t="str">
        <f t="shared" si="5"/>
        <v/>
      </c>
      <c r="AV4" s="8" t="str">
        <f t="shared" si="6"/>
        <v/>
      </c>
      <c r="AW4" s="8" t="str">
        <f t="shared" si="7"/>
        <v>YES</v>
      </c>
      <c r="AX4" s="8" t="str">
        <f t="shared" si="8"/>
        <v/>
      </c>
      <c r="AY4" s="22" t="str">
        <f t="shared" si="13"/>
        <v>, Pile Diver</v>
      </c>
      <c r="AZ4" s="22" t="str">
        <f t="shared" si="14"/>
        <v>, Guard</v>
      </c>
      <c r="BA4" s="22" t="str">
        <f t="shared" si="15"/>
        <v/>
      </c>
      <c r="BB4" s="22" t="str">
        <f t="shared" si="16"/>
        <v/>
      </c>
      <c r="BC4" s="22" t="str">
        <f t="shared" si="17"/>
        <v/>
      </c>
      <c r="BD4" s="22" t="str">
        <f t="shared" si="18"/>
        <v/>
      </c>
      <c r="BE4" s="22"/>
      <c r="BF4" s="22" t="str">
        <f t="shared" si="19"/>
        <v/>
      </c>
      <c r="BG4" s="23" t="str">
        <f t="shared" si="9"/>
        <v>, Pile Diver, Guard</v>
      </c>
      <c r="BH4" t="str">
        <f>IFERROR((IF((VLOOKUP($BP$1&amp;D4,Teams!D:M,7,0))="","",", ")),"")</f>
        <v xml:space="preserve">, </v>
      </c>
      <c r="BJ4" s="8" t="str">
        <f>$BP$1&amp;3</f>
        <v>Ogre3</v>
      </c>
      <c r="BK4" t="str">
        <f>IFERROR(IF((VLOOKUP(BJ4,Teams!B:C,2,FALSE))=0,"",(VLOOKUP(BJ4,Teams!B:C,2,FALSE))),"")</f>
        <v xml:space="preserve">Ogre </v>
      </c>
      <c r="BL4" s="8"/>
      <c r="BM4" s="8" t="s">
        <v>1429</v>
      </c>
      <c r="BN4" s="8" t="str">
        <f t="shared" ref="BN4:BN5" si="22">IF($K$25="Español",CG4,(IF($K$25="Deutsch",CH4,(IF($K$25="Français",CI4,CF4)))))</f>
        <v>Amazon GW</v>
      </c>
      <c r="BO4" s="8" t="s">
        <v>1429</v>
      </c>
      <c r="BP4" s="8"/>
      <c r="BQ4" s="8">
        <v>60000</v>
      </c>
      <c r="BR4" s="8">
        <v>50000</v>
      </c>
      <c r="BS4" s="8">
        <v>0</v>
      </c>
      <c r="BT4" s="9" t="str">
        <f>IF($K$25="Español","Superliga Lustriana",(IF($K$25="Deutsch","Lustria-Superliga",(IF($K$25="Français","Super-Ligue de Lustrie","Lustrian Superleague")))))</f>
        <v>Lustrian Superleague</v>
      </c>
      <c r="BU4" s="9" t="s">
        <v>42</v>
      </c>
      <c r="BX4" s="8"/>
      <c r="BY4" s="9"/>
      <c r="BZ4" s="8" t="s">
        <v>1429</v>
      </c>
      <c r="CA4" s="8" t="s">
        <v>1430</v>
      </c>
      <c r="CB4" s="24" t="s">
        <v>1431</v>
      </c>
      <c r="CC4" s="7" t="s">
        <v>1432</v>
      </c>
      <c r="CD4" s="7"/>
      <c r="CE4" s="7"/>
      <c r="CF4" s="7" t="s">
        <v>1429</v>
      </c>
      <c r="CG4" s="7" t="s">
        <v>98</v>
      </c>
      <c r="CH4" s="7" t="s">
        <v>1431</v>
      </c>
      <c r="CI4" s="7" t="s">
        <v>45</v>
      </c>
      <c r="CJ4" s="8"/>
      <c r="CK4" s="8"/>
      <c r="CL4" s="8"/>
      <c r="CM4" s="8"/>
      <c r="CN4" s="8"/>
      <c r="CO4" s="8"/>
      <c r="CP4" s="8"/>
      <c r="CQ4" s="8"/>
      <c r="CR4" s="8"/>
      <c r="CS4" s="8"/>
      <c r="CT4" s="8"/>
      <c r="CU4" s="8"/>
      <c r="CV4" s="8"/>
      <c r="CW4" s="8"/>
      <c r="CX4" s="8"/>
      <c r="CY4" s="8"/>
      <c r="CZ4" s="8"/>
      <c r="DA4" s="8"/>
      <c r="DB4" s="8"/>
    </row>
    <row r="5" spans="1:106" ht="37.5" customHeight="1" x14ac:dyDescent="0.2">
      <c r="A5" s="15">
        <v>4</v>
      </c>
      <c r="B5" s="313" t="s">
        <v>1835</v>
      </c>
      <c r="C5" s="314"/>
      <c r="D5" s="362" t="s">
        <v>655</v>
      </c>
      <c r="E5" s="399"/>
      <c r="F5" s="399"/>
      <c r="G5" s="363"/>
      <c r="H5" s="18">
        <f>IF(D5="",0,(COUNTIF(D2:G17,D5)))</f>
        <v>5</v>
      </c>
      <c r="I5" s="19" t="s">
        <v>34</v>
      </c>
      <c r="J5" s="20">
        <f>IFERROR((VLOOKUP($BP$1&amp;D5,Teams!D:M,10,0)),0)</f>
        <v>5</v>
      </c>
      <c r="K5" s="21">
        <f t="shared" ref="K5:L5" si="23">IFERROR(L64,0)</f>
        <v>5</v>
      </c>
      <c r="L5" s="21">
        <f t="shared" si="23"/>
        <v>5</v>
      </c>
      <c r="M5" s="21" t="str">
        <f t="shared" ref="M5:O5" si="24">IFERROR(N64&amp;"+",0)</f>
        <v>4+</v>
      </c>
      <c r="N5" s="21" t="str">
        <f t="shared" si="24"/>
        <v>5+</v>
      </c>
      <c r="O5" s="21" t="str">
        <f t="shared" si="24"/>
        <v>10+</v>
      </c>
      <c r="P5" s="392" t="str">
        <f>IFERROR((IF(AW5="YES",(VLOOKUP($BP$1&amp;D5,Teams!D:M,7,0)&amp;BG5),AX5)),"")</f>
        <v>Bone Head, Mighty Blow (+1), Thick Skull, Throw Team-mate</v>
      </c>
      <c r="Q5" s="393"/>
      <c r="R5" s="393"/>
      <c r="S5" s="393"/>
      <c r="T5" s="393"/>
      <c r="U5" s="393"/>
      <c r="V5" s="393"/>
      <c r="W5" s="393"/>
      <c r="X5" s="393"/>
      <c r="Y5" s="393"/>
      <c r="Z5" s="394"/>
      <c r="AA5" s="61"/>
      <c r="AB5" s="61">
        <v>1</v>
      </c>
      <c r="AC5" s="62"/>
      <c r="AD5" s="62"/>
      <c r="AE5" s="62"/>
      <c r="AF5" s="63"/>
      <c r="AG5" s="63"/>
      <c r="AH5" s="63"/>
      <c r="AI5" s="63"/>
      <c r="AJ5" s="63"/>
      <c r="AK5" s="360">
        <f t="shared" si="12"/>
        <v>1</v>
      </c>
      <c r="AL5" s="359"/>
      <c r="AM5" s="360">
        <f t="shared" si="3"/>
        <v>1</v>
      </c>
      <c r="AN5" s="359"/>
      <c r="AO5" s="360">
        <f>IFERROR((VLOOKUP($BP$1&amp;D5,Teams!D:M,8,0)+AH40),0)</f>
        <v>140000</v>
      </c>
      <c r="AP5" s="359"/>
      <c r="AQ5" s="346"/>
      <c r="AR5" s="7">
        <f>IFERROR((IF(AA5&lt;&gt;"",0,((VLOOKUP($BP$1&amp;D5,Teams!D:M,9,0)+(AH40/1000)-(AB40/1000))))),0)</f>
        <v>140</v>
      </c>
      <c r="AS5" s="8">
        <f>IFERROR((VLOOKUP($BP$1&amp;D5,Teams!D:N,11,0)),0)</f>
        <v>1</v>
      </c>
      <c r="AT5" s="8" t="str">
        <f t="shared" si="4"/>
        <v/>
      </c>
      <c r="AU5" s="8" t="str">
        <f t="shared" si="5"/>
        <v/>
      </c>
      <c r="AV5" s="8" t="str">
        <f t="shared" si="6"/>
        <v/>
      </c>
      <c r="AW5" s="8" t="str">
        <f t="shared" si="7"/>
        <v>YES</v>
      </c>
      <c r="AX5" s="8" t="str">
        <f t="shared" si="8"/>
        <v/>
      </c>
      <c r="AY5" s="22" t="str">
        <f t="shared" si="13"/>
        <v/>
      </c>
      <c r="AZ5" s="22" t="str">
        <f t="shared" si="14"/>
        <v/>
      </c>
      <c r="BA5" s="22" t="str">
        <f t="shared" si="15"/>
        <v/>
      </c>
      <c r="BB5" s="22" t="str">
        <f t="shared" si="16"/>
        <v/>
      </c>
      <c r="BC5" s="22" t="str">
        <f t="shared" si="17"/>
        <v/>
      </c>
      <c r="BD5" s="22" t="str">
        <f t="shared" si="18"/>
        <v/>
      </c>
      <c r="BE5" s="22"/>
      <c r="BF5" s="22" t="str">
        <f t="shared" si="19"/>
        <v/>
      </c>
      <c r="BG5" s="23" t="str">
        <f t="shared" si="9"/>
        <v/>
      </c>
      <c r="BH5" t="str">
        <f>IFERROR((IF((VLOOKUP($BP$1&amp;D5,Teams!D:M,7,0))="","",", ")),"")</f>
        <v xml:space="preserve">, </v>
      </c>
      <c r="BJ5" s="8" t="str">
        <f>$BP$1&amp;4</f>
        <v>Ogre4</v>
      </c>
      <c r="BK5" t="str">
        <f>IFERROR(IF((VLOOKUP(BJ5,Teams!B:C,2,FALSE))=0,"",(VLOOKUP(BJ5,Teams!B:C,2,FALSE))),"")</f>
        <v>Runt Punter</v>
      </c>
      <c r="BL5" s="8"/>
      <c r="BM5" s="197" t="s">
        <v>46</v>
      </c>
      <c r="BN5" s="8" t="str">
        <f t="shared" si="22"/>
        <v>Black Orc</v>
      </c>
      <c r="BO5" s="8" t="s">
        <v>47</v>
      </c>
      <c r="BP5" s="8"/>
      <c r="BQ5" s="8">
        <v>60000</v>
      </c>
      <c r="BR5" s="8">
        <v>50000</v>
      </c>
      <c r="BS5" s="8">
        <v>1</v>
      </c>
      <c r="BT5" s="9" t="str">
        <f>IF($K$25="Español","Reyerta en las Yermas y Sobornos y Corrupción",(IF($K$25="Deutsch","Düsterland-Rauferei, Bestechung und Korruption",(IF($K$25="Français","Bagarre des Terres Arides et Chantage &amp; Corruption","Badlands Brawl and Bribery and Corruption")))))</f>
        <v>Badlands Brawl and Bribery and Corruption</v>
      </c>
      <c r="BU5" s="215" t="s">
        <v>48</v>
      </c>
      <c r="BV5" s="9" t="s">
        <v>49</v>
      </c>
      <c r="BW5" s="9"/>
      <c r="BX5" s="8"/>
      <c r="BY5" s="9"/>
      <c r="BZ5" s="8" t="s">
        <v>46</v>
      </c>
      <c r="CA5" s="8" t="s">
        <v>50</v>
      </c>
      <c r="CB5" s="24" t="s">
        <v>51</v>
      </c>
      <c r="CC5" s="7" t="s">
        <v>52</v>
      </c>
      <c r="CD5" s="7"/>
      <c r="CE5" s="7"/>
      <c r="CF5" s="7" t="s">
        <v>46</v>
      </c>
      <c r="CG5" s="7" t="s">
        <v>43</v>
      </c>
      <c r="CH5" s="7" t="s">
        <v>51</v>
      </c>
      <c r="CI5" s="7" t="s">
        <v>1432</v>
      </c>
      <c r="CJ5" s="8"/>
      <c r="CK5" s="8"/>
      <c r="CL5" s="8"/>
      <c r="CM5" s="8"/>
      <c r="CN5" s="8"/>
      <c r="CO5" s="8"/>
      <c r="CP5" s="8"/>
      <c r="CQ5" s="8"/>
      <c r="CR5" s="8"/>
      <c r="CS5" s="8"/>
      <c r="CT5" s="8"/>
      <c r="CU5" s="8"/>
      <c r="CV5" s="8"/>
      <c r="CW5" s="8"/>
      <c r="CX5" s="8"/>
      <c r="CY5" s="8"/>
      <c r="CZ5" s="8"/>
      <c r="DA5" s="8"/>
      <c r="DB5" s="8"/>
    </row>
    <row r="6" spans="1:106" ht="37.5" customHeight="1" x14ac:dyDescent="0.2">
      <c r="A6" s="15">
        <v>5</v>
      </c>
      <c r="B6" s="313" t="s">
        <v>1836</v>
      </c>
      <c r="C6" s="314"/>
      <c r="D6" s="362" t="s">
        <v>655</v>
      </c>
      <c r="E6" s="399"/>
      <c r="F6" s="399"/>
      <c r="G6" s="363"/>
      <c r="H6" s="18">
        <f>IF(D6="",0,(COUNTIF(D2:G17,D6)))</f>
        <v>5</v>
      </c>
      <c r="I6" s="19" t="s">
        <v>34</v>
      </c>
      <c r="J6" s="20">
        <f>IFERROR((VLOOKUP($BP$1&amp;D6,Teams!D:M,10,0)),0)</f>
        <v>5</v>
      </c>
      <c r="K6" s="21">
        <f t="shared" ref="K6:L6" si="25">IFERROR(L65,0)</f>
        <v>5</v>
      </c>
      <c r="L6" s="21">
        <f t="shared" si="25"/>
        <v>5</v>
      </c>
      <c r="M6" s="21" t="str">
        <f t="shared" ref="M6:O6" si="26">IFERROR(N65&amp;"+",0)</f>
        <v>4+</v>
      </c>
      <c r="N6" s="21" t="str">
        <f t="shared" si="26"/>
        <v>5+</v>
      </c>
      <c r="O6" s="21" t="str">
        <f t="shared" si="26"/>
        <v>10+</v>
      </c>
      <c r="P6" s="392" t="str">
        <f>IFERROR((IF(AW6="YES",(VLOOKUP($BP$1&amp;D6,Teams!D:M,7,0)&amp;BG6),AX6)),"")</f>
        <v>Bone Head, Mighty Blow (+1), Thick Skull, Throw Team-mate</v>
      </c>
      <c r="Q6" s="393"/>
      <c r="R6" s="393"/>
      <c r="S6" s="393"/>
      <c r="T6" s="393"/>
      <c r="U6" s="393"/>
      <c r="V6" s="393"/>
      <c r="W6" s="393"/>
      <c r="X6" s="393"/>
      <c r="Y6" s="393"/>
      <c r="Z6" s="394"/>
      <c r="AA6" s="61"/>
      <c r="AB6" s="61"/>
      <c r="AC6" s="62"/>
      <c r="AD6" s="62"/>
      <c r="AE6" s="62"/>
      <c r="AF6" s="63"/>
      <c r="AG6" s="63"/>
      <c r="AH6" s="63"/>
      <c r="AI6" s="63"/>
      <c r="AJ6" s="63"/>
      <c r="AK6" s="360">
        <f t="shared" si="12"/>
        <v>0</v>
      </c>
      <c r="AL6" s="359"/>
      <c r="AM6" s="360">
        <f t="shared" si="3"/>
        <v>0</v>
      </c>
      <c r="AN6" s="359"/>
      <c r="AO6" s="360">
        <f>IFERROR((VLOOKUP($BP$1&amp;D6,Teams!D:M,8,0)+AH41),0)</f>
        <v>140000</v>
      </c>
      <c r="AP6" s="359"/>
      <c r="AQ6" s="346"/>
      <c r="AR6" s="7">
        <f>IFERROR((IF(AA6&lt;&gt;"",0,((VLOOKUP($BP$1&amp;D6,Teams!D:M,9,0)+(AH41/1000)-(AB41/1000))))),0)</f>
        <v>140</v>
      </c>
      <c r="AS6" s="8">
        <f>IFERROR((VLOOKUP($BP$1&amp;D6,Teams!D:N,11,0)),0)</f>
        <v>1</v>
      </c>
      <c r="AT6" s="8" t="str">
        <f t="shared" si="4"/>
        <v/>
      </c>
      <c r="AU6" s="8" t="str">
        <f t="shared" si="5"/>
        <v/>
      </c>
      <c r="AV6" s="8" t="str">
        <f t="shared" si="6"/>
        <v/>
      </c>
      <c r="AW6" s="8" t="str">
        <f t="shared" si="7"/>
        <v>YES</v>
      </c>
      <c r="AX6" s="8" t="str">
        <f t="shared" si="8"/>
        <v/>
      </c>
      <c r="AY6" s="22" t="str">
        <f t="shared" si="13"/>
        <v/>
      </c>
      <c r="AZ6" s="22" t="str">
        <f t="shared" si="14"/>
        <v/>
      </c>
      <c r="BA6" s="22" t="str">
        <f t="shared" si="15"/>
        <v/>
      </c>
      <c r="BB6" s="22" t="str">
        <f t="shared" si="16"/>
        <v/>
      </c>
      <c r="BC6" s="22" t="str">
        <f t="shared" si="17"/>
        <v/>
      </c>
      <c r="BD6" s="22" t="str">
        <f t="shared" si="18"/>
        <v/>
      </c>
      <c r="BE6" s="22"/>
      <c r="BF6" s="22" t="str">
        <f t="shared" si="19"/>
        <v/>
      </c>
      <c r="BG6" s="23" t="str">
        <f t="shared" si="9"/>
        <v/>
      </c>
      <c r="BH6" t="str">
        <f>IFERROR((IF((VLOOKUP($BP$1&amp;D6,Teams!D:M,7,0))="","",", ")),"")</f>
        <v xml:space="preserve">, </v>
      </c>
      <c r="BJ6" s="8" t="str">
        <f>$BP$1&amp;5</f>
        <v>Ogre5</v>
      </c>
      <c r="BK6" t="str">
        <f>IFERROR(IF((VLOOKUP(BJ6,Teams!B:C,2,FALSE))=0,"",(VLOOKUP(BJ6,Teams!B:C,2,FALSE))),"")</f>
        <v>Journey Gnoblar</v>
      </c>
      <c r="BL6" s="8"/>
      <c r="BM6" s="8" t="s">
        <v>53</v>
      </c>
      <c r="BN6" s="8" t="str">
        <f>IF($K$25="Español",CG6,(IF($K$25="Deutsch",CH6,(IF($K$25="Français",CI6,CF6)))))</f>
        <v>Chaos Chosen</v>
      </c>
      <c r="BO6" s="8" t="s">
        <v>54</v>
      </c>
      <c r="BP6" s="8"/>
      <c r="BQ6" s="8">
        <v>60000</v>
      </c>
      <c r="BR6" s="8">
        <v>50000</v>
      </c>
      <c r="BS6" s="8">
        <v>1</v>
      </c>
      <c r="BT6" s="9" t="str">
        <f>IF($K$25="Español","Elegido de…",(IF($K$25="Deutsch","Auserwählte des…",(IF($K$25="Français","Favoris de...","Favoured of…")))))</f>
        <v>Favoured of…</v>
      </c>
      <c r="BU6" s="9" t="s">
        <v>55</v>
      </c>
      <c r="BV6" s="9"/>
      <c r="BW6" s="9"/>
      <c r="BX6" s="8"/>
      <c r="BY6" s="9"/>
      <c r="BZ6" s="8" t="s">
        <v>53</v>
      </c>
      <c r="CA6" s="8" t="s">
        <v>56</v>
      </c>
      <c r="CB6" s="24" t="s">
        <v>57</v>
      </c>
      <c r="CC6" s="7" t="s">
        <v>58</v>
      </c>
      <c r="CD6" s="13"/>
      <c r="CE6" s="13"/>
      <c r="CF6" s="7" t="s">
        <v>53</v>
      </c>
      <c r="CG6" s="7" t="s">
        <v>1430</v>
      </c>
      <c r="CH6" s="7" t="s">
        <v>57</v>
      </c>
      <c r="CI6" s="7" t="s">
        <v>184</v>
      </c>
      <c r="CJ6" s="8"/>
      <c r="CK6" s="8"/>
      <c r="CL6" s="8"/>
      <c r="CM6" s="8"/>
      <c r="CN6" s="8"/>
      <c r="CO6" s="8"/>
      <c r="CP6" s="8"/>
      <c r="CQ6" s="8"/>
      <c r="CR6" s="8"/>
      <c r="CS6" s="8"/>
      <c r="CT6" s="8"/>
      <c r="CU6" s="8"/>
      <c r="CV6" s="8"/>
      <c r="CW6" s="8"/>
      <c r="CX6" s="8"/>
      <c r="CY6" s="8"/>
      <c r="CZ6" s="8"/>
      <c r="DA6" s="8"/>
      <c r="DB6" s="8"/>
    </row>
    <row r="7" spans="1:106" ht="37.5" customHeight="1" x14ac:dyDescent="0.2">
      <c r="A7" s="15">
        <v>6</v>
      </c>
      <c r="B7" s="313" t="s">
        <v>1837</v>
      </c>
      <c r="C7" s="314"/>
      <c r="D7" s="362" t="s">
        <v>655</v>
      </c>
      <c r="E7" s="399"/>
      <c r="F7" s="399"/>
      <c r="G7" s="363"/>
      <c r="H7" s="18">
        <f>IF(D7="",0,(COUNTIF(D2:G17,D7)))</f>
        <v>5</v>
      </c>
      <c r="I7" s="19" t="s">
        <v>34</v>
      </c>
      <c r="J7" s="20">
        <f>IFERROR((VLOOKUP($BP$1&amp;D7,Teams!D:M,10,0)),0)</f>
        <v>5</v>
      </c>
      <c r="K7" s="21">
        <f t="shared" ref="K7:L7" si="27">IFERROR(L66,0)</f>
        <v>5</v>
      </c>
      <c r="L7" s="21">
        <f t="shared" si="27"/>
        <v>5</v>
      </c>
      <c r="M7" s="21" t="str">
        <f t="shared" ref="M7:O7" si="28">IFERROR(N66&amp;"+",0)</f>
        <v>4+</v>
      </c>
      <c r="N7" s="21" t="str">
        <f t="shared" si="28"/>
        <v>5+</v>
      </c>
      <c r="O7" s="21" t="str">
        <f t="shared" si="28"/>
        <v>10+</v>
      </c>
      <c r="P7" s="392" t="str">
        <f>IFERROR((IF(AW7="YES",(VLOOKUP($BP$1&amp;D7,Teams!D:M,7,0)&amp;BG7),AX7)),"")</f>
        <v>Bone Head, Mighty Blow (+1), Thick Skull, Throw Team-mate, Juggernaut</v>
      </c>
      <c r="Q7" s="393"/>
      <c r="R7" s="393"/>
      <c r="S7" s="393"/>
      <c r="T7" s="393"/>
      <c r="U7" s="393"/>
      <c r="V7" s="393"/>
      <c r="W7" s="393"/>
      <c r="X7" s="393"/>
      <c r="Y7" s="393"/>
      <c r="Z7" s="394"/>
      <c r="AA7" s="61"/>
      <c r="AB7" s="61"/>
      <c r="AC7" s="62"/>
      <c r="AD7" s="62"/>
      <c r="AE7" s="62"/>
      <c r="AF7" s="63"/>
      <c r="AG7" s="63">
        <v>2</v>
      </c>
      <c r="AH7" s="63"/>
      <c r="AI7" s="63"/>
      <c r="AJ7" s="63"/>
      <c r="AK7" s="360">
        <f t="shared" si="12"/>
        <v>4</v>
      </c>
      <c r="AL7" s="359"/>
      <c r="AM7" s="360">
        <f t="shared" si="3"/>
        <v>1</v>
      </c>
      <c r="AN7" s="359"/>
      <c r="AO7" s="360">
        <f>IFERROR((VLOOKUP($BP$1&amp;D7,Teams!D:M,8,0)+AH42),0)</f>
        <v>150000</v>
      </c>
      <c r="AP7" s="359"/>
      <c r="AQ7" s="346"/>
      <c r="AR7" s="7">
        <f>IFERROR((IF(AA7&lt;&gt;"",0,((VLOOKUP($BP$1&amp;D7,Teams!D:M,9,0)+(AH42/1000)-(AB42/1000))))),0)</f>
        <v>150</v>
      </c>
      <c r="AS7" s="8">
        <f>IFERROR((VLOOKUP($BP$1&amp;D7,Teams!D:N,11,0)),0)</f>
        <v>1</v>
      </c>
      <c r="AT7" s="8" t="str">
        <f t="shared" si="4"/>
        <v/>
      </c>
      <c r="AU7" s="8" t="str">
        <f t="shared" si="5"/>
        <v/>
      </c>
      <c r="AV7" s="8" t="str">
        <f t="shared" si="6"/>
        <v/>
      </c>
      <c r="AW7" s="8" t="str">
        <f t="shared" si="7"/>
        <v>YES</v>
      </c>
      <c r="AX7" s="8" t="str">
        <f t="shared" si="8"/>
        <v/>
      </c>
      <c r="AY7" s="22" t="str">
        <f t="shared" si="13"/>
        <v>, Juggernaut</v>
      </c>
      <c r="AZ7" s="22" t="str">
        <f t="shared" si="14"/>
        <v/>
      </c>
      <c r="BA7" s="22" t="str">
        <f t="shared" si="15"/>
        <v/>
      </c>
      <c r="BB7" s="22" t="str">
        <f t="shared" si="16"/>
        <v/>
      </c>
      <c r="BC7" s="22" t="str">
        <f t="shared" si="17"/>
        <v/>
      </c>
      <c r="BD7" s="22" t="str">
        <f t="shared" si="18"/>
        <v/>
      </c>
      <c r="BE7" s="22"/>
      <c r="BF7" s="22" t="str">
        <f t="shared" si="19"/>
        <v/>
      </c>
      <c r="BG7" s="23" t="str">
        <f t="shared" si="9"/>
        <v>, Juggernaut</v>
      </c>
      <c r="BH7" t="str">
        <f>IFERROR((IF((VLOOKUP($BP$1&amp;D7,Teams!D:M,7,0))="","",", ")),"")</f>
        <v xml:space="preserve">, </v>
      </c>
      <c r="BJ7" s="8" t="str">
        <f>$BP$1&amp;6</f>
        <v>Ogre6</v>
      </c>
      <c r="BK7" t="str">
        <f>IFERROR(IF((VLOOKUP(BJ7,Teams!B:C,2,FALSE))=0,"",(VLOOKUP(BJ7,Teams!B:C,2,FALSE))),"")</f>
        <v/>
      </c>
      <c r="BL7" s="8"/>
      <c r="BM7" s="8" t="s">
        <v>59</v>
      </c>
      <c r="BN7" s="8" t="str">
        <f t="shared" ref="BN7:BN36" si="29">IF($K$25="Español",CG7,(IF($K$25="Deutsch",CH7,(IF($K$25="Français",CI7,CF7)))))</f>
        <v>Chaos Dwarf</v>
      </c>
      <c r="BO7" s="8" t="s">
        <v>60</v>
      </c>
      <c r="BP7" s="8"/>
      <c r="BQ7" s="8">
        <v>70000</v>
      </c>
      <c r="BR7" s="8">
        <v>50000</v>
      </c>
      <c r="BS7" s="8">
        <v>1</v>
      </c>
      <c r="BT7" s="9" t="str">
        <f>IF($K$25="Español","Superliga del Fin del Mundo, Reyerta en las Yermas y Elegido de…",(IF($K$25="Deutsch","Weltrandsuperliga, Düsterland-Rauferei und Auserwählte des…",(IF($K$25="Français","Super-Ligue du Bord du Monde, Baggare des Terres Arides et Favoris de...","Worlds Edge Superleague, Badlands Brawl and Favoured of…")))))</f>
        <v>Worlds Edge Superleague, Badlands Brawl and Favoured of…</v>
      </c>
      <c r="BU7" s="215" t="s">
        <v>61</v>
      </c>
      <c r="BV7" s="9"/>
      <c r="BW7" s="9"/>
      <c r="BX7" s="8"/>
      <c r="BY7" s="9"/>
      <c r="BZ7" s="8" t="s">
        <v>59</v>
      </c>
      <c r="CA7" s="8" t="s">
        <v>62</v>
      </c>
      <c r="CB7" s="24" t="s">
        <v>63</v>
      </c>
      <c r="CC7" s="7" t="s">
        <v>64</v>
      </c>
      <c r="CD7" s="7"/>
      <c r="CE7" s="7"/>
      <c r="CF7" s="7" t="s">
        <v>59</v>
      </c>
      <c r="CG7" s="7" t="s">
        <v>56</v>
      </c>
      <c r="CH7" s="7" t="s">
        <v>68</v>
      </c>
      <c r="CI7" s="7" t="s">
        <v>75</v>
      </c>
      <c r="CJ7" s="8"/>
      <c r="CK7" s="8"/>
      <c r="CL7" s="8"/>
      <c r="CM7" s="8"/>
      <c r="CN7" s="8"/>
      <c r="CO7" s="8"/>
      <c r="CP7" s="8"/>
      <c r="CQ7" s="8"/>
      <c r="CR7" s="8"/>
      <c r="CS7" s="8"/>
      <c r="CT7" s="8"/>
      <c r="CU7" s="8"/>
      <c r="CV7" s="8"/>
      <c r="CW7" s="8"/>
      <c r="CX7" s="8"/>
      <c r="CY7" s="8"/>
      <c r="CZ7" s="8"/>
      <c r="DA7" s="8"/>
      <c r="DB7" s="8"/>
    </row>
    <row r="8" spans="1:106" ht="37.5" customHeight="1" x14ac:dyDescent="0.2">
      <c r="A8" s="15">
        <v>7</v>
      </c>
      <c r="B8" s="313" t="s">
        <v>1838</v>
      </c>
      <c r="C8" s="314"/>
      <c r="D8" s="362" t="s">
        <v>650</v>
      </c>
      <c r="E8" s="399"/>
      <c r="F8" s="399"/>
      <c r="G8" s="363"/>
      <c r="H8" s="18">
        <f>IF(D8="",0,(COUNTIF(D2:G17,D8)))</f>
        <v>5</v>
      </c>
      <c r="I8" s="19" t="s">
        <v>34</v>
      </c>
      <c r="J8" s="20">
        <f>IFERROR((VLOOKUP($BP$1&amp;D8,Teams!D:M,10,0)),0)</f>
        <v>16</v>
      </c>
      <c r="K8" s="21">
        <f t="shared" ref="K8:L8" si="30">IFERROR(L67,0)</f>
        <v>5</v>
      </c>
      <c r="L8" s="21">
        <f t="shared" si="30"/>
        <v>1</v>
      </c>
      <c r="M8" s="21" t="str">
        <f t="shared" ref="M8:O8" si="31">IFERROR(N67&amp;"+",0)</f>
        <v>3+</v>
      </c>
      <c r="N8" s="21" t="str">
        <f t="shared" si="31"/>
        <v>5+</v>
      </c>
      <c r="O8" s="21" t="str">
        <f t="shared" si="31"/>
        <v>6+</v>
      </c>
      <c r="P8" s="392" t="str">
        <f>IFERROR((IF(AW8="YES",(VLOOKUP($BP$1&amp;D8,Teams!D:M,7,0)&amp;BG8),AX8)),"")</f>
        <v>Dodge, Right Stuff, Side Step, Stunty, Titchy</v>
      </c>
      <c r="Q8" s="393"/>
      <c r="R8" s="393"/>
      <c r="S8" s="393"/>
      <c r="T8" s="393"/>
      <c r="U8" s="393"/>
      <c r="V8" s="393"/>
      <c r="W8" s="393"/>
      <c r="X8" s="393"/>
      <c r="Y8" s="393"/>
      <c r="Z8" s="394"/>
      <c r="AA8" s="61"/>
      <c r="AB8" s="61"/>
      <c r="AC8" s="62"/>
      <c r="AD8" s="62"/>
      <c r="AE8" s="62"/>
      <c r="AF8" s="63"/>
      <c r="AG8" s="63"/>
      <c r="AH8" s="63"/>
      <c r="AI8" s="63"/>
      <c r="AJ8" s="63"/>
      <c r="AK8" s="360">
        <f t="shared" si="12"/>
        <v>0</v>
      </c>
      <c r="AL8" s="359"/>
      <c r="AM8" s="360">
        <f t="shared" si="3"/>
        <v>0</v>
      </c>
      <c r="AN8" s="359"/>
      <c r="AO8" s="360">
        <f>IFERROR((VLOOKUP($BP$1&amp;D8,Teams!D:M,8,0)+AH43),0)</f>
        <v>15000</v>
      </c>
      <c r="AP8" s="359"/>
      <c r="AQ8" s="346"/>
      <c r="AR8" s="7">
        <f>IFERROR((IF(AA8&lt;&gt;"",0,((VLOOKUP($BP$1&amp;D8,Teams!D:M,9,0)+(AH43/1000)-(AB43/1000))))),0)</f>
        <v>0</v>
      </c>
      <c r="AS8" s="8">
        <f>IFERROR((VLOOKUP($BP$1&amp;D8,Teams!D:N,11,0)),0)</f>
        <v>0</v>
      </c>
      <c r="AT8" s="8" t="str">
        <f t="shared" si="4"/>
        <v/>
      </c>
      <c r="AU8" s="8" t="str">
        <f t="shared" si="5"/>
        <v/>
      </c>
      <c r="AV8" s="8" t="str">
        <f t="shared" si="6"/>
        <v/>
      </c>
      <c r="AW8" s="8" t="str">
        <f t="shared" si="7"/>
        <v>YES</v>
      </c>
      <c r="AX8" s="8" t="str">
        <f t="shared" si="8"/>
        <v/>
      </c>
      <c r="AY8" s="22" t="str">
        <f t="shared" si="13"/>
        <v/>
      </c>
      <c r="AZ8" s="22" t="str">
        <f t="shared" si="14"/>
        <v/>
      </c>
      <c r="BA8" s="22" t="str">
        <f t="shared" si="15"/>
        <v/>
      </c>
      <c r="BB8" s="22" t="str">
        <f t="shared" si="16"/>
        <v/>
      </c>
      <c r="BC8" s="22" t="str">
        <f t="shared" si="17"/>
        <v/>
      </c>
      <c r="BD8" s="22" t="str">
        <f t="shared" si="18"/>
        <v/>
      </c>
      <c r="BE8" s="22"/>
      <c r="BF8" s="22" t="str">
        <f t="shared" si="19"/>
        <v/>
      </c>
      <c r="BG8" s="23" t="str">
        <f t="shared" si="9"/>
        <v/>
      </c>
      <c r="BH8" t="str">
        <f>IFERROR((IF((VLOOKUP($BP$1&amp;D8,Teams!D:M,7,0))="","",", ")),"")</f>
        <v xml:space="preserve">, </v>
      </c>
      <c r="BJ8" s="8" t="str">
        <f>$BP$1&amp;7</f>
        <v>Ogre7</v>
      </c>
      <c r="BK8" t="str">
        <f>IFERROR(IF((VLOOKUP(BJ8,Teams!B:C,2,FALSE))=0,"",(VLOOKUP(BJ8,Teams!B:C,2,FALSE))),"")</f>
        <v/>
      </c>
      <c r="BL8" s="8"/>
      <c r="BM8" s="8" t="s">
        <v>1765</v>
      </c>
      <c r="BN8" s="8" t="str">
        <f t="shared" si="29"/>
        <v>Chaos Dwarf GW</v>
      </c>
      <c r="BO8" s="8" t="s">
        <v>1829</v>
      </c>
      <c r="BP8" s="8"/>
      <c r="BQ8" s="8">
        <v>70000</v>
      </c>
      <c r="BR8" s="8">
        <v>50000</v>
      </c>
      <c r="BS8" s="8">
        <v>1</v>
      </c>
      <c r="BT8" s="9" t="str">
        <f>IF($K$25="Español","Reyerta en las Yermas y Elegido de Hashut",(IF($K$25="Deutsch","Düsterland-Rauferei und Auserwählte des Hashut",(IF($K$25="Français","Baggare des Terres Arides et Favoris de Hashut","Badlands Brawl and Favoured of Hashut")))))</f>
        <v>Badlands Brawl and Favoured of Hashut</v>
      </c>
      <c r="BU8" s="9" t="s">
        <v>1824</v>
      </c>
      <c r="BY8" s="9"/>
      <c r="BZ8" s="8" t="s">
        <v>1765</v>
      </c>
      <c r="CA8" s="8" t="s">
        <v>1826</v>
      </c>
      <c r="CB8" s="24" t="s">
        <v>1827</v>
      </c>
      <c r="CC8" s="7" t="s">
        <v>1828</v>
      </c>
      <c r="CD8" s="7"/>
      <c r="CE8" s="7"/>
      <c r="CF8" s="8" t="s">
        <v>1765</v>
      </c>
      <c r="CG8" s="7" t="s">
        <v>73</v>
      </c>
      <c r="CH8" s="7" t="s">
        <v>63</v>
      </c>
      <c r="CI8" s="7" t="s">
        <v>194</v>
      </c>
      <c r="CJ8" s="8"/>
      <c r="CK8" s="8"/>
      <c r="CL8" s="8"/>
      <c r="CM8" s="8"/>
      <c r="CN8" s="8"/>
      <c r="CO8" s="8"/>
      <c r="CP8" s="8"/>
      <c r="CQ8" s="8"/>
      <c r="CR8" s="8"/>
      <c r="CS8" s="8"/>
      <c r="CT8" s="8"/>
      <c r="CU8" s="8"/>
      <c r="CV8" s="8"/>
      <c r="CW8" s="8"/>
      <c r="CX8" s="8"/>
      <c r="CY8" s="8"/>
      <c r="CZ8" s="8"/>
      <c r="DA8" s="8"/>
      <c r="DB8" s="8"/>
    </row>
    <row r="9" spans="1:106" ht="37.5" customHeight="1" x14ac:dyDescent="0.2">
      <c r="A9" s="15">
        <v>8</v>
      </c>
      <c r="B9" s="313" t="s">
        <v>1839</v>
      </c>
      <c r="C9" s="314"/>
      <c r="D9" s="315" t="s">
        <v>650</v>
      </c>
      <c r="E9" s="342"/>
      <c r="F9" s="342"/>
      <c r="G9" s="316"/>
      <c r="H9" s="18">
        <f>IF(D9="",0,(COUNTIF(D2:G17,D9)))</f>
        <v>5</v>
      </c>
      <c r="I9" s="19" t="s">
        <v>34</v>
      </c>
      <c r="J9" s="20">
        <f>IFERROR((VLOOKUP($BP$1&amp;D9,Teams!D:M,10,0)),0)</f>
        <v>16</v>
      </c>
      <c r="K9" s="21">
        <f t="shared" ref="K9:L9" si="32">IFERROR(L68,0)</f>
        <v>5</v>
      </c>
      <c r="L9" s="21">
        <f t="shared" si="32"/>
        <v>1</v>
      </c>
      <c r="M9" s="21" t="str">
        <f t="shared" ref="M9:O9" si="33">IFERROR(N68&amp;"+",0)</f>
        <v>3+</v>
      </c>
      <c r="N9" s="21" t="str">
        <f t="shared" si="33"/>
        <v>5+</v>
      </c>
      <c r="O9" s="21" t="str">
        <f t="shared" si="33"/>
        <v>6+</v>
      </c>
      <c r="P9" s="392" t="str">
        <f>IFERROR((IF(AW9="YES",(VLOOKUP($BP$1&amp;D9,Teams!D:M,7,0)&amp;BG9),AX9)),"")</f>
        <v>Dodge, Right Stuff, Side Step, Stunty, Titchy, Catch</v>
      </c>
      <c r="Q9" s="393"/>
      <c r="R9" s="393"/>
      <c r="S9" s="393"/>
      <c r="T9" s="393"/>
      <c r="U9" s="393"/>
      <c r="V9" s="393"/>
      <c r="W9" s="393"/>
      <c r="X9" s="393"/>
      <c r="Y9" s="393"/>
      <c r="Z9" s="394"/>
      <c r="AA9" s="61"/>
      <c r="AB9" s="61"/>
      <c r="AC9" s="62"/>
      <c r="AD9" s="62">
        <v>1</v>
      </c>
      <c r="AE9" s="62"/>
      <c r="AF9" s="63"/>
      <c r="AG9" s="63"/>
      <c r="AH9" s="63"/>
      <c r="AI9" s="63"/>
      <c r="AJ9" s="63"/>
      <c r="AK9" s="360">
        <f t="shared" si="12"/>
        <v>3</v>
      </c>
      <c r="AL9" s="359"/>
      <c r="AM9" s="360">
        <f t="shared" si="3"/>
        <v>0</v>
      </c>
      <c r="AN9" s="359"/>
      <c r="AO9" s="360">
        <f>IFERROR((VLOOKUP($BP$1&amp;D9,Teams!D:M,8,0)+AH44),0)</f>
        <v>25000</v>
      </c>
      <c r="AP9" s="359"/>
      <c r="AQ9" s="346"/>
      <c r="AR9" s="7">
        <f>IFERROR((IF(AA9&lt;&gt;"",0,((VLOOKUP($BP$1&amp;D9,Teams!D:M,9,0)+(AH44/1000)-(AB44/1000))))),0)</f>
        <v>10</v>
      </c>
      <c r="AS9" s="8">
        <f>IFERROR((VLOOKUP($BP$1&amp;D9,Teams!D:N,11,0)),0)</f>
        <v>0</v>
      </c>
      <c r="AT9" s="8" t="str">
        <f t="shared" si="4"/>
        <v/>
      </c>
      <c r="AU9" s="8" t="str">
        <f t="shared" si="5"/>
        <v/>
      </c>
      <c r="AV9" s="8" t="str">
        <f t="shared" si="6"/>
        <v/>
      </c>
      <c r="AW9" s="8" t="str">
        <f t="shared" si="7"/>
        <v>YES</v>
      </c>
      <c r="AX9" s="8" t="str">
        <f t="shared" si="8"/>
        <v/>
      </c>
      <c r="AY9" s="22" t="str">
        <f t="shared" si="13"/>
        <v>, Catch</v>
      </c>
      <c r="AZ9" s="22" t="str">
        <f t="shared" si="14"/>
        <v/>
      </c>
      <c r="BA9" s="22" t="str">
        <f t="shared" si="15"/>
        <v/>
      </c>
      <c r="BB9" s="22" t="str">
        <f t="shared" si="16"/>
        <v/>
      </c>
      <c r="BC9" s="22" t="str">
        <f t="shared" si="17"/>
        <v/>
      </c>
      <c r="BD9" s="22" t="str">
        <f t="shared" si="18"/>
        <v/>
      </c>
      <c r="BE9" s="22"/>
      <c r="BF9" s="22" t="str">
        <f t="shared" si="19"/>
        <v/>
      </c>
      <c r="BG9" s="23" t="str">
        <f t="shared" si="9"/>
        <v>, Catch</v>
      </c>
      <c r="BH9" t="str">
        <f>IFERROR((IF((VLOOKUP($BP$1&amp;D9,Teams!D:M,7,0))="","",", ")),"")</f>
        <v xml:space="preserve">, </v>
      </c>
      <c r="BJ9" s="8" t="str">
        <f>$BP$1&amp;8</f>
        <v>Ogre8</v>
      </c>
      <c r="BK9" t="str">
        <f>IFERROR(IF((VLOOKUP(BJ9,Teams!B:C,2,FALSE))=0,"",(VLOOKUP(BJ9,Teams!B:C,2,FALSE))),"")</f>
        <v/>
      </c>
      <c r="BL9" s="8"/>
      <c r="BM9" s="8" t="s">
        <v>65</v>
      </c>
      <c r="BN9" s="8" t="str">
        <f t="shared" si="29"/>
        <v>Chaos Renegades</v>
      </c>
      <c r="BO9" s="8" t="s">
        <v>66</v>
      </c>
      <c r="BP9" s="8"/>
      <c r="BQ9" s="8">
        <v>70000</v>
      </c>
      <c r="BR9" s="8">
        <v>50000</v>
      </c>
      <c r="BS9" s="8">
        <v>3</v>
      </c>
      <c r="BT9" s="9" t="str">
        <f>IF($K$25="Español","Elegido de…",(IF($K$25="Deutsch","Auserwählte des…",(IF($K$25="Français","Favoris de...","Favoured of…")))))</f>
        <v>Favoured of…</v>
      </c>
      <c r="BU9" s="9" t="s">
        <v>55</v>
      </c>
      <c r="BV9" s="9"/>
      <c r="BW9" s="9"/>
      <c r="BX9" s="8"/>
      <c r="BY9" s="9"/>
      <c r="BZ9" s="8" t="s">
        <v>65</v>
      </c>
      <c r="CA9" s="8" t="s">
        <v>67</v>
      </c>
      <c r="CB9" s="24" t="s">
        <v>68</v>
      </c>
      <c r="CC9" s="7" t="s">
        <v>69</v>
      </c>
      <c r="CD9" s="8"/>
      <c r="CE9" s="7"/>
      <c r="CF9" s="7" t="s">
        <v>65</v>
      </c>
      <c r="CG9" s="7" t="s">
        <v>83</v>
      </c>
      <c r="CH9" s="24" t="s">
        <v>1827</v>
      </c>
      <c r="CI9" s="7" t="s">
        <v>58</v>
      </c>
      <c r="CJ9" s="8"/>
      <c r="CK9" s="8"/>
      <c r="CL9" s="8"/>
      <c r="CM9" s="8"/>
      <c r="CN9" s="8"/>
      <c r="CO9" s="8"/>
      <c r="CP9" s="8"/>
      <c r="CQ9" s="8"/>
      <c r="CR9" s="8"/>
      <c r="CS9" s="8"/>
      <c r="CT9" s="8"/>
      <c r="CU9" s="8"/>
      <c r="CV9" s="8"/>
      <c r="CW9" s="8"/>
      <c r="CX9" s="8"/>
      <c r="CY9" s="8"/>
      <c r="CZ9" s="8"/>
      <c r="DA9" s="8"/>
      <c r="DB9" s="8"/>
    </row>
    <row r="10" spans="1:106" ht="37.5" customHeight="1" x14ac:dyDescent="0.2">
      <c r="A10" s="15">
        <v>9</v>
      </c>
      <c r="B10" s="313" t="s">
        <v>1840</v>
      </c>
      <c r="C10" s="314"/>
      <c r="D10" s="362" t="s">
        <v>650</v>
      </c>
      <c r="E10" s="399"/>
      <c r="F10" s="399"/>
      <c r="G10" s="363"/>
      <c r="H10" s="18">
        <f>IF(D10="",0,(COUNTIF(D2:G17,D10)))</f>
        <v>5</v>
      </c>
      <c r="I10" s="19" t="s">
        <v>34</v>
      </c>
      <c r="J10" s="20">
        <f>IFERROR((VLOOKUP($BP$1&amp;D10,Teams!D:M,10,0)),0)</f>
        <v>16</v>
      </c>
      <c r="K10" s="21">
        <f t="shared" ref="K10:L10" si="34">IFERROR(L69,0)</f>
        <v>5</v>
      </c>
      <c r="L10" s="21">
        <f t="shared" si="34"/>
        <v>1</v>
      </c>
      <c r="M10" s="21" t="str">
        <f t="shared" ref="M10:O10" si="35">IFERROR(N69&amp;"+",0)</f>
        <v>3+</v>
      </c>
      <c r="N10" s="21" t="str">
        <f t="shared" si="35"/>
        <v>5+</v>
      </c>
      <c r="O10" s="21" t="str">
        <f t="shared" si="35"/>
        <v>6+</v>
      </c>
      <c r="P10" s="392" t="str">
        <f>IFERROR((IF(AW10="YES",(VLOOKUP($BP$1&amp;D10,Teams!D:M,7,0)&amp;BG10),AX10)),"")</f>
        <v>Dodge, Right Stuff, Side Step, Stunty, Titchy</v>
      </c>
      <c r="Q10" s="393"/>
      <c r="R10" s="393"/>
      <c r="S10" s="393"/>
      <c r="T10" s="393"/>
      <c r="U10" s="393"/>
      <c r="V10" s="393"/>
      <c r="W10" s="393"/>
      <c r="X10" s="393"/>
      <c r="Y10" s="393"/>
      <c r="Z10" s="394"/>
      <c r="AA10" s="61"/>
      <c r="AB10" s="61"/>
      <c r="AC10" s="62"/>
      <c r="AD10" s="62"/>
      <c r="AE10" s="62"/>
      <c r="AF10" s="63"/>
      <c r="AG10" s="63"/>
      <c r="AH10" s="63"/>
      <c r="AI10" s="63"/>
      <c r="AJ10" s="63"/>
      <c r="AK10" s="360">
        <f t="shared" si="12"/>
        <v>0</v>
      </c>
      <c r="AL10" s="359"/>
      <c r="AM10" s="360">
        <f t="shared" si="3"/>
        <v>0</v>
      </c>
      <c r="AN10" s="359"/>
      <c r="AO10" s="360">
        <f>IFERROR((VLOOKUP($BP$1&amp;D10,Teams!D:M,8,0)+AH45),0)</f>
        <v>15000</v>
      </c>
      <c r="AP10" s="359"/>
      <c r="AQ10" s="346"/>
      <c r="AR10" s="7">
        <f>IFERROR((IF(AA10&lt;&gt;"",0,((VLOOKUP($BP$1&amp;D10,Teams!D:M,9,0)+(AH45/1000)-(AB45/1000))))),0)</f>
        <v>0</v>
      </c>
      <c r="AS10" s="8">
        <f>IFERROR((VLOOKUP($BP$1&amp;D10,Teams!D:N,11,0)),0)</f>
        <v>0</v>
      </c>
      <c r="AT10" s="8" t="str">
        <f t="shared" si="4"/>
        <v/>
      </c>
      <c r="AU10" s="8" t="str">
        <f t="shared" si="5"/>
        <v/>
      </c>
      <c r="AV10" s="8" t="str">
        <f t="shared" si="6"/>
        <v/>
      </c>
      <c r="AW10" s="8" t="str">
        <f t="shared" si="7"/>
        <v>YES</v>
      </c>
      <c r="AX10" s="8" t="str">
        <f t="shared" si="8"/>
        <v/>
      </c>
      <c r="AY10" s="22" t="str">
        <f t="shared" si="13"/>
        <v/>
      </c>
      <c r="AZ10" s="22" t="str">
        <f t="shared" si="14"/>
        <v/>
      </c>
      <c r="BA10" s="22" t="str">
        <f t="shared" si="15"/>
        <v/>
      </c>
      <c r="BB10" s="22" t="str">
        <f t="shared" si="16"/>
        <v/>
      </c>
      <c r="BC10" s="22" t="str">
        <f t="shared" si="17"/>
        <v/>
      </c>
      <c r="BD10" s="22" t="str">
        <f t="shared" si="18"/>
        <v/>
      </c>
      <c r="BE10" s="22"/>
      <c r="BF10" s="22" t="str">
        <f t="shared" si="19"/>
        <v/>
      </c>
      <c r="BG10" s="23" t="str">
        <f t="shared" si="9"/>
        <v/>
      </c>
      <c r="BH10" t="str">
        <f>IFERROR((IF((VLOOKUP($BP$1&amp;D10,Teams!D:M,7,0))="","",", ")),"")</f>
        <v xml:space="preserve">, </v>
      </c>
      <c r="BJ10" s="8" t="str">
        <f>$BP$1&amp;9</f>
        <v>Ogre9</v>
      </c>
      <c r="BK10" t="str">
        <f>IFERROR(IF((VLOOKUP(BJ10,Teams!B:C,2,FALSE))=0,"",(VLOOKUP(BJ10,Teams!B:C,2,FALSE))),"")</f>
        <v/>
      </c>
      <c r="BL10" s="8"/>
      <c r="BM10" s="8" t="s">
        <v>70</v>
      </c>
      <c r="BN10" s="8" t="str">
        <f t="shared" si="29"/>
        <v>Dark Elf</v>
      </c>
      <c r="BO10" s="8" t="s">
        <v>71</v>
      </c>
      <c r="BP10" s="8"/>
      <c r="BQ10" s="8">
        <v>50000</v>
      </c>
      <c r="BR10" s="8">
        <v>50000</v>
      </c>
      <c r="BS10" s="8">
        <v>0</v>
      </c>
      <c r="BT10" s="9" t="str">
        <f>IF($K$25="Español","Liga de los Reinos Elfos",(IF($K$25="Deutsch","Liga der Elfenkönigreiche",(IF($K$25="Français","Ligue des Royaumes Elfiques","Elven Kingdoms League")))))</f>
        <v>Elven Kingdoms League</v>
      </c>
      <c r="BU10" s="9" t="s">
        <v>72</v>
      </c>
      <c r="BV10" s="9"/>
      <c r="BW10" s="9"/>
      <c r="BX10" s="8"/>
      <c r="BY10" s="9"/>
      <c r="BZ10" s="8" t="s">
        <v>70</v>
      </c>
      <c r="CA10" s="8" t="s">
        <v>73</v>
      </c>
      <c r="CB10" s="9" t="s">
        <v>74</v>
      </c>
      <c r="CC10" s="8" t="s">
        <v>75</v>
      </c>
      <c r="CD10" s="8"/>
      <c r="CE10" s="7"/>
      <c r="CF10" s="7" t="s">
        <v>70</v>
      </c>
      <c r="CG10" s="7" t="s">
        <v>192</v>
      </c>
      <c r="CH10" s="7" t="s">
        <v>74</v>
      </c>
      <c r="CI10" s="7" t="s">
        <v>1828</v>
      </c>
      <c r="CJ10" s="8"/>
      <c r="CK10" s="8"/>
      <c r="CL10" s="8"/>
      <c r="CM10" s="8"/>
      <c r="CN10" s="8"/>
      <c r="CO10" s="8"/>
      <c r="CP10" s="8"/>
      <c r="CQ10" s="8"/>
      <c r="CR10" s="8"/>
      <c r="CS10" s="8"/>
      <c r="CT10" s="8"/>
      <c r="CU10" s="8"/>
      <c r="CV10" s="8"/>
      <c r="CW10" s="8"/>
      <c r="CX10" s="8"/>
      <c r="CY10" s="8"/>
      <c r="CZ10" s="8"/>
      <c r="DA10" s="8"/>
      <c r="DB10" s="8"/>
    </row>
    <row r="11" spans="1:106" ht="37.5" customHeight="1" x14ac:dyDescent="0.2">
      <c r="A11" s="15">
        <v>10</v>
      </c>
      <c r="B11" s="313" t="s">
        <v>1841</v>
      </c>
      <c r="C11" s="314"/>
      <c r="D11" s="315" t="s">
        <v>650</v>
      </c>
      <c r="E11" s="342"/>
      <c r="F11" s="342"/>
      <c r="G11" s="316"/>
      <c r="H11" s="18">
        <f>IF(D11="",0,(COUNTIF(D2:G17,D11)))</f>
        <v>5</v>
      </c>
      <c r="I11" s="19" t="s">
        <v>34</v>
      </c>
      <c r="J11" s="20">
        <f>IFERROR((VLOOKUP($BP$1&amp;D11,Teams!D:M,10,0)),0)</f>
        <v>16</v>
      </c>
      <c r="K11" s="21">
        <f t="shared" ref="K11:L11" si="36">IFERROR(L70,0)</f>
        <v>5</v>
      </c>
      <c r="L11" s="21">
        <f t="shared" si="36"/>
        <v>1</v>
      </c>
      <c r="M11" s="21" t="str">
        <f t="shared" ref="M11:O11" si="37">IFERROR(N70&amp;"+",0)</f>
        <v>3+</v>
      </c>
      <c r="N11" s="21" t="str">
        <f t="shared" si="37"/>
        <v>5+</v>
      </c>
      <c r="O11" s="21" t="str">
        <f t="shared" si="37"/>
        <v>6+</v>
      </c>
      <c r="P11" s="392" t="str">
        <f>IFERROR((IF(AW11="YES",(VLOOKUP($BP$1&amp;D11,Teams!D:M,7,0)&amp;BG11),AX11)),"")</f>
        <v>Dodge, Right Stuff, Side Step, Stunty, Titchy</v>
      </c>
      <c r="Q11" s="393"/>
      <c r="R11" s="393"/>
      <c r="S11" s="393"/>
      <c r="T11" s="393"/>
      <c r="U11" s="393"/>
      <c r="V11" s="393"/>
      <c r="W11" s="393"/>
      <c r="X11" s="393"/>
      <c r="Y11" s="393"/>
      <c r="Z11" s="394"/>
      <c r="AA11" s="61"/>
      <c r="AB11" s="61"/>
      <c r="AC11" s="62"/>
      <c r="AD11" s="62"/>
      <c r="AE11" s="62"/>
      <c r="AF11" s="63"/>
      <c r="AG11" s="63"/>
      <c r="AH11" s="63"/>
      <c r="AI11" s="63"/>
      <c r="AJ11" s="63"/>
      <c r="AK11" s="360">
        <f t="shared" si="12"/>
        <v>0</v>
      </c>
      <c r="AL11" s="359"/>
      <c r="AM11" s="360">
        <f t="shared" si="3"/>
        <v>0</v>
      </c>
      <c r="AN11" s="359"/>
      <c r="AO11" s="360">
        <f>IFERROR((VLOOKUP($BP$1&amp;D11,Teams!D:M,8,0)+AH46),0)</f>
        <v>15000</v>
      </c>
      <c r="AP11" s="359"/>
      <c r="AQ11" s="346"/>
      <c r="AR11" s="7">
        <f>IFERROR((IF(AA11&lt;&gt;"",0,((VLOOKUP($BP$1&amp;D11,Teams!D:M,9,0)+(AH46/1000)-(AB46/1000))))),0)</f>
        <v>0</v>
      </c>
      <c r="AS11" s="8">
        <f>IFERROR((VLOOKUP($BP$1&amp;D11,Teams!D:N,11,0)),0)</f>
        <v>0</v>
      </c>
      <c r="AT11" s="8" t="str">
        <f t="shared" si="4"/>
        <v/>
      </c>
      <c r="AU11" s="8" t="str">
        <f t="shared" si="5"/>
        <v/>
      </c>
      <c r="AV11" s="8" t="str">
        <f t="shared" si="6"/>
        <v/>
      </c>
      <c r="AW11" s="8" t="str">
        <f t="shared" si="7"/>
        <v>YES</v>
      </c>
      <c r="AX11" s="8" t="str">
        <f t="shared" si="8"/>
        <v/>
      </c>
      <c r="AY11" s="22" t="str">
        <f t="shared" si="13"/>
        <v/>
      </c>
      <c r="AZ11" s="22" t="str">
        <f t="shared" si="14"/>
        <v/>
      </c>
      <c r="BA11" s="22" t="str">
        <f t="shared" si="15"/>
        <v/>
      </c>
      <c r="BB11" s="22" t="str">
        <f t="shared" si="16"/>
        <v/>
      </c>
      <c r="BC11" s="22" t="str">
        <f t="shared" si="17"/>
        <v/>
      </c>
      <c r="BD11" s="22" t="str">
        <f t="shared" si="18"/>
        <v/>
      </c>
      <c r="BE11" s="22"/>
      <c r="BF11" s="22" t="str">
        <f t="shared" si="19"/>
        <v/>
      </c>
      <c r="BG11" s="23" t="str">
        <f t="shared" si="9"/>
        <v/>
      </c>
      <c r="BH11" t="str">
        <f>IFERROR((IF((VLOOKUP($BP$1&amp;D11,Teams!D:M,7,0))="","",", ")),"")</f>
        <v xml:space="preserve">, </v>
      </c>
      <c r="BJ11" s="8" t="str">
        <f>$BP$1&amp;10</f>
        <v>Ogre10</v>
      </c>
      <c r="BK11" t="str">
        <f>IFERROR(IF((VLOOKUP(BJ11,Teams!B:C,2,FALSE))=0,"",(VLOOKUP(BJ11,Teams!B:C,2,FALSE))),"")</f>
        <v/>
      </c>
      <c r="BL11" s="8"/>
      <c r="BM11" s="8" t="s">
        <v>76</v>
      </c>
      <c r="BN11" s="8" t="str">
        <f t="shared" si="29"/>
        <v>Dwarf</v>
      </c>
      <c r="BO11" s="8" t="s">
        <v>76</v>
      </c>
      <c r="BP11" s="8"/>
      <c r="BQ11" s="8">
        <v>50000</v>
      </c>
      <c r="BR11" s="8">
        <v>50000</v>
      </c>
      <c r="BS11" s="8">
        <v>1</v>
      </c>
      <c r="BT11" s="9" t="str">
        <f>IF($K$25="Español","Clásica del Viejo Mundo y Superliga del Fin del Mundo",(IF($K$25="Deutsch","Alte-Welt-Klassiker und Weltrandsuperliga",(IF($K$25="Français","Classique du Vieux Monde et Super-Ligue du Bord du Monde","Old World Classic and Worlds Edge Superleague")))))</f>
        <v>Old World Classic and Worlds Edge Superleague</v>
      </c>
      <c r="BU11" s="215" t="s">
        <v>77</v>
      </c>
      <c r="BV11" s="9"/>
      <c r="BW11" s="9"/>
      <c r="BX11" s="8"/>
      <c r="BY11" s="9"/>
      <c r="BZ11" s="8" t="s">
        <v>76</v>
      </c>
      <c r="CA11" s="8" t="s">
        <v>78</v>
      </c>
      <c r="CB11" s="9" t="s">
        <v>79</v>
      </c>
      <c r="CC11" s="8" t="s">
        <v>80</v>
      </c>
      <c r="CD11" s="8"/>
      <c r="CE11" s="7"/>
      <c r="CF11" s="7" t="s">
        <v>76</v>
      </c>
      <c r="CG11" s="7" t="s">
        <v>78</v>
      </c>
      <c r="CH11" s="7" t="s">
        <v>84</v>
      </c>
      <c r="CI11" s="7" t="s">
        <v>90</v>
      </c>
      <c r="CJ11" s="8"/>
      <c r="CK11" s="8"/>
      <c r="CL11" s="8"/>
      <c r="CM11" s="8"/>
      <c r="CN11" s="8"/>
      <c r="CO11" s="8"/>
      <c r="CP11" s="8"/>
      <c r="CQ11" s="8"/>
      <c r="CR11" s="8"/>
      <c r="CS11" s="8"/>
      <c r="CT11" s="8"/>
      <c r="CU11" s="8"/>
      <c r="CV11" s="8"/>
      <c r="CW11" s="8"/>
      <c r="CX11" s="8"/>
      <c r="CY11" s="8"/>
      <c r="CZ11" s="8"/>
      <c r="DA11" s="8"/>
      <c r="DB11" s="8"/>
    </row>
    <row r="12" spans="1:106" ht="37.5" customHeight="1" x14ac:dyDescent="0.2">
      <c r="A12" s="15">
        <v>11</v>
      </c>
      <c r="B12" s="313"/>
      <c r="C12" s="314"/>
      <c r="D12" s="315"/>
      <c r="E12" s="342"/>
      <c r="F12" s="342"/>
      <c r="G12" s="316"/>
      <c r="H12" s="18">
        <f>IF(D12="",0,(COUNTIF(D2:G17,D12)))</f>
        <v>0</v>
      </c>
      <c r="I12" s="19" t="s">
        <v>34</v>
      </c>
      <c r="J12" s="20">
        <f>IFERROR((VLOOKUP($BP$1&amp;D12,Teams!D:M,10,0)),0)</f>
        <v>0</v>
      </c>
      <c r="K12" s="21">
        <f t="shared" ref="K12:L12" si="38">IFERROR(L71,0)</f>
        <v>0</v>
      </c>
      <c r="L12" s="21">
        <f t="shared" si="38"/>
        <v>0</v>
      </c>
      <c r="M12" s="21" t="str">
        <f t="shared" ref="M12:O12" si="39">IFERROR(N71&amp;"+",0)</f>
        <v>0+</v>
      </c>
      <c r="N12" s="21" t="str">
        <f t="shared" si="39"/>
        <v>0+</v>
      </c>
      <c r="O12" s="21" t="str">
        <f t="shared" si="39"/>
        <v>0+</v>
      </c>
      <c r="P12" s="392" t="str">
        <f>IFERROR((IF(AW12="YES",(VLOOKUP($BP$1&amp;D12,Teams!D:M,7,0)&amp;BG12),AX12)),"")</f>
        <v>0</v>
      </c>
      <c r="Q12" s="393"/>
      <c r="R12" s="393"/>
      <c r="S12" s="393"/>
      <c r="T12" s="393"/>
      <c r="U12" s="393"/>
      <c r="V12" s="393"/>
      <c r="W12" s="393"/>
      <c r="X12" s="393"/>
      <c r="Y12" s="393"/>
      <c r="Z12" s="394"/>
      <c r="AA12" s="61"/>
      <c r="AB12" s="61"/>
      <c r="AC12" s="62"/>
      <c r="AD12" s="62"/>
      <c r="AE12" s="62"/>
      <c r="AF12" s="63"/>
      <c r="AG12" s="63"/>
      <c r="AH12" s="63"/>
      <c r="AI12" s="63"/>
      <c r="AJ12" s="63"/>
      <c r="AK12" s="360">
        <f t="shared" si="12"/>
        <v>0</v>
      </c>
      <c r="AL12" s="359"/>
      <c r="AM12" s="360">
        <f t="shared" si="3"/>
        <v>0</v>
      </c>
      <c r="AN12" s="359"/>
      <c r="AO12" s="360">
        <f>IFERROR((VLOOKUP($BP$1&amp;D12,Teams!D:M,8,0)+AH47),0)</f>
        <v>0</v>
      </c>
      <c r="AP12" s="359"/>
      <c r="AQ12" s="346"/>
      <c r="AR12" s="7">
        <f>IFERROR((IF(AA12&lt;&gt;"",0,((VLOOKUP($BP$1&amp;D12,Teams!D:M,9,0)+(AH47/1000)-(AB47/1000))))),0)</f>
        <v>0</v>
      </c>
      <c r="AS12" s="8">
        <f>IFERROR((VLOOKUP($BP$1&amp;D12,Teams!D:N,11,0)),0)</f>
        <v>0</v>
      </c>
      <c r="AT12" s="8" t="str">
        <f t="shared" si="4"/>
        <v/>
      </c>
      <c r="AU12" s="8" t="str">
        <f t="shared" si="5"/>
        <v/>
      </c>
      <c r="AV12" s="8" t="str">
        <f t="shared" si="6"/>
        <v/>
      </c>
      <c r="AW12" s="8" t="str">
        <f t="shared" si="7"/>
        <v>YES</v>
      </c>
      <c r="AX12" s="8" t="str">
        <f t="shared" si="8"/>
        <v/>
      </c>
      <c r="AY12" s="22" t="str">
        <f t="shared" si="13"/>
        <v/>
      </c>
      <c r="AZ12" s="22" t="str">
        <f t="shared" si="14"/>
        <v/>
      </c>
      <c r="BA12" s="22" t="str">
        <f t="shared" si="15"/>
        <v/>
      </c>
      <c r="BB12" s="22" t="str">
        <f t="shared" si="16"/>
        <v/>
      </c>
      <c r="BC12" s="22" t="str">
        <f t="shared" si="17"/>
        <v/>
      </c>
      <c r="BD12" s="22" t="str">
        <f t="shared" si="18"/>
        <v/>
      </c>
      <c r="BE12" s="22"/>
      <c r="BF12" s="22" t="str">
        <f t="shared" si="19"/>
        <v/>
      </c>
      <c r="BG12" s="23" t="str">
        <f t="shared" si="9"/>
        <v/>
      </c>
      <c r="BH12" t="str">
        <f>IFERROR((IF((VLOOKUP($BP$1&amp;D12,Teams!D:M,7,0))="","",", ")),"")</f>
        <v xml:space="preserve">, </v>
      </c>
      <c r="BJ12" s="8" t="str">
        <f>$BP$1&amp;11</f>
        <v>Ogre11</v>
      </c>
      <c r="BK12" t="str">
        <f>IFERROR(IF((VLOOKUP(BJ12,Teams!B:C,2,FALSE))=0,"",(VLOOKUP(BJ12,Teams!B:C,2,FALSE))),"")</f>
        <v/>
      </c>
      <c r="BL12" s="8"/>
      <c r="BM12" s="8" t="s">
        <v>81</v>
      </c>
      <c r="BN12" s="8" t="str">
        <f t="shared" si="29"/>
        <v>Elven Union</v>
      </c>
      <c r="BO12" s="8" t="s">
        <v>82</v>
      </c>
      <c r="BP12" s="197"/>
      <c r="BQ12" s="8">
        <v>50000</v>
      </c>
      <c r="BR12" s="8">
        <v>50000</v>
      </c>
      <c r="BS12" s="8">
        <v>0</v>
      </c>
      <c r="BT12" s="9" t="str">
        <f>IF($K$25="Español","Liga de los Reinos Elfos",(IF($K$25="Deutsch","Liga der Elfenkönigreiche",(IF($K$25="Français","Ligue des Royaumes Elfiques","Elven Kingdoms League")))))</f>
        <v>Elven Kingdoms League</v>
      </c>
      <c r="BU12" s="9" t="s">
        <v>72</v>
      </c>
      <c r="BV12" s="9"/>
      <c r="BW12" s="9"/>
      <c r="BX12" s="8"/>
      <c r="BY12" s="9"/>
      <c r="BZ12" s="8" t="s">
        <v>81</v>
      </c>
      <c r="CA12" s="8" t="s">
        <v>83</v>
      </c>
      <c r="CB12" s="9" t="s">
        <v>84</v>
      </c>
      <c r="CC12" s="8" t="s">
        <v>85</v>
      </c>
      <c r="CD12" s="8"/>
      <c r="CE12" s="7"/>
      <c r="CF12" s="7" t="s">
        <v>81</v>
      </c>
      <c r="CG12" s="7" t="s">
        <v>62</v>
      </c>
      <c r="CH12" s="7" t="s">
        <v>89</v>
      </c>
      <c r="CI12" s="7" t="s">
        <v>1719</v>
      </c>
      <c r="CJ12" s="8"/>
      <c r="CK12" s="8"/>
      <c r="CL12" s="8"/>
      <c r="CM12" s="8"/>
      <c r="CN12" s="8"/>
      <c r="CO12" s="8"/>
      <c r="CP12" s="8"/>
      <c r="CQ12" s="8"/>
      <c r="CR12" s="8"/>
      <c r="CS12" s="8"/>
      <c r="CT12" s="8"/>
      <c r="CU12" s="8"/>
      <c r="CV12" s="8"/>
      <c r="CW12" s="8"/>
      <c r="CX12" s="8"/>
      <c r="CY12" s="8"/>
      <c r="CZ12" s="8"/>
      <c r="DA12" s="8"/>
      <c r="DB12" s="8"/>
    </row>
    <row r="13" spans="1:106" ht="37.5" customHeight="1" x14ac:dyDescent="0.2">
      <c r="A13" s="15">
        <v>12</v>
      </c>
      <c r="B13" s="313" t="s">
        <v>1843</v>
      </c>
      <c r="C13" s="314"/>
      <c r="D13" s="315" t="s">
        <v>650</v>
      </c>
      <c r="E13" s="342"/>
      <c r="F13" s="342"/>
      <c r="G13" s="316"/>
      <c r="H13" s="18">
        <f>IF(D13="",0,(COUNTIF(D2:G17,D13)))</f>
        <v>5</v>
      </c>
      <c r="I13" s="19" t="s">
        <v>34</v>
      </c>
      <c r="J13" s="20">
        <f>IFERROR((VLOOKUP($BP$1&amp;D13,Teams!D:M,10,0)),0)</f>
        <v>16</v>
      </c>
      <c r="K13" s="21">
        <f t="shared" ref="K13:L13" si="40">IFERROR(L72,0)</f>
        <v>5</v>
      </c>
      <c r="L13" s="21">
        <f t="shared" si="40"/>
        <v>1</v>
      </c>
      <c r="M13" s="21" t="str">
        <f t="shared" ref="M13:O13" si="41">IFERROR(N72&amp;"+",0)</f>
        <v>3+</v>
      </c>
      <c r="N13" s="21" t="str">
        <f t="shared" si="41"/>
        <v>5+</v>
      </c>
      <c r="O13" s="21" t="str">
        <f t="shared" si="41"/>
        <v>6+</v>
      </c>
      <c r="P13" s="392" t="str">
        <f>IFERROR((IF(AW13="YES",(VLOOKUP($BP$1&amp;D13,Teams!D:M,7,0)&amp;BG13),AX13)),"")</f>
        <v>Dodge, Right Stuff, Side Step, Stunty, Titchy</v>
      </c>
      <c r="Q13" s="393"/>
      <c r="R13" s="393"/>
      <c r="S13" s="393"/>
      <c r="T13" s="393"/>
      <c r="U13" s="393"/>
      <c r="V13" s="393"/>
      <c r="W13" s="393"/>
      <c r="X13" s="393"/>
      <c r="Y13" s="393"/>
      <c r="Z13" s="394"/>
      <c r="AA13" s="61"/>
      <c r="AB13" s="61"/>
      <c r="AC13" s="62"/>
      <c r="AD13" s="62"/>
      <c r="AE13" s="62"/>
      <c r="AF13" s="63"/>
      <c r="AG13" s="63"/>
      <c r="AH13" s="63"/>
      <c r="AI13" s="63"/>
      <c r="AJ13" s="63"/>
      <c r="AK13" s="360">
        <f t="shared" si="12"/>
        <v>0</v>
      </c>
      <c r="AL13" s="359"/>
      <c r="AM13" s="360">
        <f t="shared" si="3"/>
        <v>0</v>
      </c>
      <c r="AN13" s="359"/>
      <c r="AO13" s="360">
        <f>IFERROR((VLOOKUP($BP$1&amp;D13,Teams!D:M,8,0)+AH48),0)</f>
        <v>15000</v>
      </c>
      <c r="AP13" s="359"/>
      <c r="AQ13" s="346"/>
      <c r="AR13" s="7">
        <f>IFERROR((IF(AA13&lt;&gt;"",0,((VLOOKUP($BP$1&amp;D13,Teams!D:M,9,0)+(AH48/1000)-(AB48/1000))))),0)</f>
        <v>0</v>
      </c>
      <c r="AS13" s="8">
        <f>IFERROR((VLOOKUP($BP$1&amp;D13,Teams!D:N,11,0)),0)</f>
        <v>0</v>
      </c>
      <c r="AT13" s="8" t="str">
        <f t="shared" si="4"/>
        <v/>
      </c>
      <c r="AU13" s="8" t="str">
        <f t="shared" si="5"/>
        <v/>
      </c>
      <c r="AV13" s="8" t="str">
        <f t="shared" si="6"/>
        <v/>
      </c>
      <c r="AW13" s="8" t="str">
        <f t="shared" si="7"/>
        <v>YES</v>
      </c>
      <c r="AX13" s="8" t="str">
        <f t="shared" si="8"/>
        <v/>
      </c>
      <c r="AY13" s="22" t="str">
        <f t="shared" si="13"/>
        <v/>
      </c>
      <c r="AZ13" s="22" t="str">
        <f t="shared" si="14"/>
        <v/>
      </c>
      <c r="BA13" s="22" t="str">
        <f t="shared" si="15"/>
        <v/>
      </c>
      <c r="BB13" s="22" t="str">
        <f t="shared" si="16"/>
        <v/>
      </c>
      <c r="BC13" s="22" t="str">
        <f t="shared" si="17"/>
        <v/>
      </c>
      <c r="BD13" s="22" t="str">
        <f t="shared" si="18"/>
        <v/>
      </c>
      <c r="BE13" s="22"/>
      <c r="BF13" s="22" t="str">
        <f t="shared" si="19"/>
        <v/>
      </c>
      <c r="BG13" s="23" t="str">
        <f t="shared" si="9"/>
        <v/>
      </c>
      <c r="BH13" t="str">
        <f>IFERROR((IF((VLOOKUP($BP$1&amp;D13,Teams!D:M,7,0))="","",", ")),"")</f>
        <v xml:space="preserve">, </v>
      </c>
      <c r="BJ13" s="8" t="str">
        <f>$BP$1&amp;12</f>
        <v>Ogre12</v>
      </c>
      <c r="BK13" t="str">
        <f>IFERROR(IF((VLOOKUP(BJ13,Teams!B:C,2,FALSE))=0,"",(VLOOKUP(BJ13,Teams!B:C,2,FALSE))),"")</f>
        <v/>
      </c>
      <c r="BL13" s="8"/>
      <c r="BM13" s="8" t="s">
        <v>86</v>
      </c>
      <c r="BN13" s="8" t="str">
        <f t="shared" si="29"/>
        <v>Goblin</v>
      </c>
      <c r="BO13" s="8" t="s">
        <v>86</v>
      </c>
      <c r="BQ13" s="197">
        <v>60000</v>
      </c>
      <c r="BR13" s="197">
        <v>50000</v>
      </c>
      <c r="BS13" s="197">
        <v>2</v>
      </c>
      <c r="BT13" s="215" t="str">
        <f>IF($J$24="Español","Reyerta en las Yermas, Reto del Inframundo y Sobornos y Corrupción",(IF($J$24="Deutsch","Düsterland-Rauferei, Unterwelt-Herausforderung, Bestechung und Korruption",(IF($J$24="Français","Bagarre des Terres Arides, Défi des Bas-Fonds et Chantage &amp; Corruption","Badlands Brawl, Underworld Challenge and Bribery and Corruption")))))</f>
        <v>Badlands Brawl, Underworld Challenge and Bribery and Corruption</v>
      </c>
      <c r="BU13" s="215" t="s">
        <v>87</v>
      </c>
      <c r="BV13" s="215" t="s">
        <v>49</v>
      </c>
      <c r="BW13" s="215"/>
      <c r="BX13" s="9"/>
      <c r="BY13" s="9"/>
      <c r="BZ13" s="8" t="s">
        <v>86</v>
      </c>
      <c r="CA13" s="8" t="s">
        <v>88</v>
      </c>
      <c r="CB13" s="9" t="s">
        <v>89</v>
      </c>
      <c r="CC13" s="8" t="s">
        <v>90</v>
      </c>
      <c r="CD13" s="8"/>
      <c r="CE13" s="7"/>
      <c r="CF13" s="7" t="s">
        <v>86</v>
      </c>
      <c r="CG13" s="8" t="s">
        <v>1826</v>
      </c>
      <c r="CH13" s="7" t="s">
        <v>1761</v>
      </c>
      <c r="CI13" s="7" t="s">
        <v>95</v>
      </c>
      <c r="CJ13" s="8"/>
      <c r="CK13" s="8"/>
      <c r="CL13" s="8"/>
      <c r="CM13" s="8"/>
      <c r="CN13" s="8"/>
      <c r="CO13" s="8"/>
      <c r="CP13" s="8"/>
      <c r="CQ13" s="8"/>
      <c r="CR13" s="8"/>
      <c r="CS13" s="8"/>
      <c r="CT13" s="8"/>
      <c r="CU13" s="8"/>
      <c r="CV13" s="8"/>
      <c r="CW13" s="8"/>
      <c r="CX13" s="8"/>
      <c r="CY13" s="8"/>
      <c r="CZ13" s="8"/>
      <c r="DA13" s="8"/>
      <c r="DB13" s="8"/>
    </row>
    <row r="14" spans="1:106" ht="37.5" customHeight="1" x14ac:dyDescent="0.2">
      <c r="A14" s="15">
        <v>13</v>
      </c>
      <c r="B14" s="315" t="s">
        <v>1848</v>
      </c>
      <c r="C14" s="316"/>
      <c r="D14" s="315" t="s">
        <v>665</v>
      </c>
      <c r="E14" s="342"/>
      <c r="F14" s="342"/>
      <c r="G14" s="316"/>
      <c r="H14" s="18">
        <f>IF(D14="",0,(COUNTIF(D2:G17,D14)))</f>
        <v>1</v>
      </c>
      <c r="I14" s="19" t="s">
        <v>34</v>
      </c>
      <c r="J14" s="20">
        <f>IFERROR((VLOOKUP($BP$1&amp;D14,Teams!D:M,10,0)),0)</f>
        <v>11</v>
      </c>
      <c r="K14" s="21">
        <f t="shared" ref="K14:L14" si="42">IFERROR(L73,0)</f>
        <v>5</v>
      </c>
      <c r="L14" s="21">
        <f t="shared" si="42"/>
        <v>1</v>
      </c>
      <c r="M14" s="21" t="str">
        <f t="shared" ref="M14:O14" si="43">IFERROR(N73&amp;"+",0)</f>
        <v>3+</v>
      </c>
      <c r="N14" s="21" t="str">
        <f t="shared" si="43"/>
        <v>5+</v>
      </c>
      <c r="O14" s="21" t="str">
        <f t="shared" si="43"/>
        <v>6+</v>
      </c>
      <c r="P14" s="392" t="str">
        <f>IFERROR((IF(AW14="YES",(VLOOKUP($BP$1&amp;D14,Teams!D:M,7,0)&amp;BG14),AX14)),"")</f>
        <v>Loner (4+), Dodge, Right Stuff, Side Step, Stunty, Titchy</v>
      </c>
      <c r="Q14" s="393"/>
      <c r="R14" s="393"/>
      <c r="S14" s="393"/>
      <c r="T14" s="393"/>
      <c r="U14" s="393"/>
      <c r="V14" s="393"/>
      <c r="W14" s="393"/>
      <c r="X14" s="393"/>
      <c r="Y14" s="393"/>
      <c r="Z14" s="394"/>
      <c r="AA14" s="61"/>
      <c r="AB14" s="61"/>
      <c r="AC14" s="62"/>
      <c r="AD14" s="62"/>
      <c r="AE14" s="62"/>
      <c r="AF14" s="63"/>
      <c r="AG14" s="63"/>
      <c r="AH14" s="63"/>
      <c r="AI14" s="63"/>
      <c r="AJ14" s="63"/>
      <c r="AK14" s="360">
        <f t="shared" si="12"/>
        <v>0</v>
      </c>
      <c r="AL14" s="359"/>
      <c r="AM14" s="360">
        <f t="shared" si="3"/>
        <v>0</v>
      </c>
      <c r="AN14" s="359"/>
      <c r="AO14" s="360">
        <f>IFERROR((VLOOKUP($BP$1&amp;D14,Teams!D:M,8,0)+AH49),0)</f>
        <v>0</v>
      </c>
      <c r="AP14" s="359"/>
      <c r="AQ14" s="346"/>
      <c r="AR14" s="7">
        <f>IFERROR((IF(AA14&lt;&gt;"",0,((VLOOKUP($BP$1&amp;D14,Teams!D:M,9,0)+(AH49/1000)-(AB49/1000))))),0)</f>
        <v>0</v>
      </c>
      <c r="AS14" s="8">
        <f>IFERROR((VLOOKUP($BP$1&amp;D14,Teams!D:N,11,0)),0)</f>
        <v>0</v>
      </c>
      <c r="AT14" s="8" t="str">
        <f t="shared" si="4"/>
        <v/>
      </c>
      <c r="AU14" s="8" t="str">
        <f t="shared" si="5"/>
        <v/>
      </c>
      <c r="AV14" s="8" t="str">
        <f t="shared" si="6"/>
        <v/>
      </c>
      <c r="AW14" s="8" t="str">
        <f t="shared" si="7"/>
        <v>YES</v>
      </c>
      <c r="AX14" s="8" t="str">
        <f t="shared" si="8"/>
        <v/>
      </c>
      <c r="AY14" s="22" t="str">
        <f t="shared" si="13"/>
        <v/>
      </c>
      <c r="AZ14" s="22" t="str">
        <f t="shared" si="14"/>
        <v/>
      </c>
      <c r="BA14" s="22" t="str">
        <f t="shared" si="15"/>
        <v/>
      </c>
      <c r="BB14" s="22" t="str">
        <f t="shared" si="16"/>
        <v/>
      </c>
      <c r="BC14" s="22" t="str">
        <f t="shared" si="17"/>
        <v/>
      </c>
      <c r="BD14" s="22" t="str">
        <f t="shared" si="18"/>
        <v/>
      </c>
      <c r="BE14" s="22"/>
      <c r="BF14" s="22" t="str">
        <f t="shared" si="19"/>
        <v/>
      </c>
      <c r="BG14" s="23" t="str">
        <f t="shared" si="9"/>
        <v/>
      </c>
      <c r="BH14" t="str">
        <f>IFERROR((IF((VLOOKUP($BP$1&amp;D14,Teams!D:M,7,0))="","",", ")),"")</f>
        <v xml:space="preserve">, </v>
      </c>
      <c r="BJ14" s="8" t="str">
        <f>$BP$1&amp;13</f>
        <v>Ogre13</v>
      </c>
      <c r="BK14" t="str">
        <f>IFERROR(IF((VLOOKUP(BJ14,Teams!B:C,2,FALSE))=0,"",(VLOOKUP(BJ14,Teams!B:C,2,FALSE))),"")</f>
        <v/>
      </c>
      <c r="BL14" s="8"/>
      <c r="BM14" s="7" t="s">
        <v>1697</v>
      </c>
      <c r="BN14" s="8" t="str">
        <f t="shared" si="29"/>
        <v>Gnome</v>
      </c>
      <c r="BO14" s="7" t="s">
        <v>1697</v>
      </c>
      <c r="BP14" s="197"/>
      <c r="BQ14" s="197">
        <v>50000</v>
      </c>
      <c r="BR14" s="197">
        <v>50000</v>
      </c>
      <c r="BS14" s="197">
        <v>2</v>
      </c>
      <c r="BT14" s="215" t="str">
        <f>IF($J$24="Español","Copa Dedal Halfling",(IF($J$24="Deutsch","Halbling-Fingerhut-Pokal",(IF($J$24="Français","Coupe Dé à Coudre Halfling","Halfling Thimble Cup")))))</f>
        <v>Halfling Thimble Cup</v>
      </c>
      <c r="BU14" s="215" t="s">
        <v>92</v>
      </c>
      <c r="BX14" s="9"/>
      <c r="BY14" s="9"/>
      <c r="BZ14" s="7" t="s">
        <v>1697</v>
      </c>
      <c r="CA14" s="7" t="s">
        <v>1720</v>
      </c>
      <c r="CB14" s="13" t="s">
        <v>1761</v>
      </c>
      <c r="CC14" s="7" t="s">
        <v>1719</v>
      </c>
      <c r="CD14" s="8"/>
      <c r="CE14" s="7"/>
      <c r="CF14" s="7" t="s">
        <v>1697</v>
      </c>
      <c r="CG14" s="7" t="s">
        <v>88</v>
      </c>
      <c r="CH14" s="7" t="s">
        <v>94</v>
      </c>
      <c r="CI14" s="7" t="s">
        <v>100</v>
      </c>
      <c r="CJ14" s="8"/>
      <c r="CK14" s="8"/>
      <c r="CL14" s="8"/>
      <c r="CM14" s="8"/>
      <c r="CN14" s="8"/>
      <c r="CO14" s="8"/>
      <c r="CP14" s="8"/>
      <c r="CQ14" s="8"/>
      <c r="CR14" s="8"/>
      <c r="CS14" s="8"/>
      <c r="CT14" s="8"/>
      <c r="CU14" s="8"/>
      <c r="CV14" s="8"/>
      <c r="CW14" s="8"/>
      <c r="CX14" s="8"/>
      <c r="CY14" s="8"/>
      <c r="CZ14" s="8"/>
      <c r="DA14" s="8"/>
      <c r="DB14" s="8"/>
    </row>
    <row r="15" spans="1:106" ht="37.5" customHeight="1" x14ac:dyDescent="0.2">
      <c r="A15" s="15">
        <v>14</v>
      </c>
      <c r="B15" s="315"/>
      <c r="C15" s="316"/>
      <c r="D15" s="315"/>
      <c r="E15" s="342"/>
      <c r="F15" s="342"/>
      <c r="G15" s="316"/>
      <c r="H15" s="18">
        <f>IF(D15="",0,(COUNTIF(D2:G17,D15)))</f>
        <v>0</v>
      </c>
      <c r="I15" s="19" t="s">
        <v>34</v>
      </c>
      <c r="J15" s="20">
        <f>IFERROR((VLOOKUP($BP$1&amp;D15,Teams!D:M,10,0)),0)</f>
        <v>0</v>
      </c>
      <c r="K15" s="21">
        <f t="shared" ref="K15:L15" si="44">IFERROR(L74,0)</f>
        <v>0</v>
      </c>
      <c r="L15" s="21">
        <f t="shared" si="44"/>
        <v>0</v>
      </c>
      <c r="M15" s="21" t="str">
        <f t="shared" ref="M15:O15" si="45">IFERROR(N74&amp;"+",0)</f>
        <v>0+</v>
      </c>
      <c r="N15" s="21" t="str">
        <f t="shared" si="45"/>
        <v>0+</v>
      </c>
      <c r="O15" s="21" t="str">
        <f t="shared" si="45"/>
        <v>0+</v>
      </c>
      <c r="P15" s="392" t="str">
        <f>IFERROR((IF(AW15="YES",(VLOOKUP($BP$1&amp;D15,Teams!D:M,7,0)&amp;BG15),AX15)),"")</f>
        <v>0</v>
      </c>
      <c r="Q15" s="393"/>
      <c r="R15" s="393"/>
      <c r="S15" s="393"/>
      <c r="T15" s="393"/>
      <c r="U15" s="393"/>
      <c r="V15" s="393"/>
      <c r="W15" s="393"/>
      <c r="X15" s="393"/>
      <c r="Y15" s="393"/>
      <c r="Z15" s="394"/>
      <c r="AA15" s="61"/>
      <c r="AB15" s="61"/>
      <c r="AC15" s="62"/>
      <c r="AD15" s="62"/>
      <c r="AE15" s="62"/>
      <c r="AF15" s="63"/>
      <c r="AG15" s="63"/>
      <c r="AH15" s="63"/>
      <c r="AI15" s="63"/>
      <c r="AJ15" s="63"/>
      <c r="AK15" s="360">
        <f t="shared" si="12"/>
        <v>0</v>
      </c>
      <c r="AL15" s="359"/>
      <c r="AM15" s="360">
        <f t="shared" si="3"/>
        <v>0</v>
      </c>
      <c r="AN15" s="359"/>
      <c r="AO15" s="360">
        <f>IFERROR((VLOOKUP($BP$1&amp;D15,Teams!D:M,8,0)+AH50),0)</f>
        <v>0</v>
      </c>
      <c r="AP15" s="359"/>
      <c r="AQ15" s="346"/>
      <c r="AR15" s="7">
        <f>IFERROR((IF(AA15&lt;&gt;"",0,((VLOOKUP($BP$1&amp;D15,Teams!D:M,9,0)+(AH50/1000)-(AB50/1000))))),0)</f>
        <v>0</v>
      </c>
      <c r="AS15" s="8">
        <f>IFERROR((VLOOKUP($BP$1&amp;D15,Teams!D:N,11,0)),0)</f>
        <v>0</v>
      </c>
      <c r="AT15" s="8" t="str">
        <f t="shared" si="4"/>
        <v/>
      </c>
      <c r="AU15" s="8" t="str">
        <f t="shared" si="5"/>
        <v/>
      </c>
      <c r="AV15" s="8" t="str">
        <f t="shared" si="6"/>
        <v/>
      </c>
      <c r="AW15" s="8" t="str">
        <f t="shared" si="7"/>
        <v>YES</v>
      </c>
      <c r="AX15" s="8" t="str">
        <f t="shared" si="8"/>
        <v/>
      </c>
      <c r="AY15" s="22" t="str">
        <f t="shared" si="13"/>
        <v/>
      </c>
      <c r="AZ15" s="22" t="str">
        <f t="shared" si="14"/>
        <v/>
      </c>
      <c r="BA15" s="22" t="str">
        <f t="shared" si="15"/>
        <v/>
      </c>
      <c r="BB15" s="22" t="str">
        <f t="shared" si="16"/>
        <v/>
      </c>
      <c r="BC15" s="22" t="str">
        <f t="shared" si="17"/>
        <v/>
      </c>
      <c r="BD15" s="22" t="str">
        <f t="shared" si="18"/>
        <v/>
      </c>
      <c r="BE15" s="22"/>
      <c r="BF15" s="22" t="str">
        <f t="shared" si="19"/>
        <v/>
      </c>
      <c r="BG15" s="23" t="str">
        <f t="shared" si="9"/>
        <v/>
      </c>
      <c r="BH15" t="str">
        <f>IFERROR((IF((VLOOKUP($BP$1&amp;D15,Teams!D:M,7,0))="","",", ")),"")</f>
        <v xml:space="preserve">, </v>
      </c>
      <c r="BJ15" s="8"/>
      <c r="BL15" s="8"/>
      <c r="BM15" s="8" t="s">
        <v>91</v>
      </c>
      <c r="BN15" s="8" t="str">
        <f t="shared" si="29"/>
        <v>Halfling</v>
      </c>
      <c r="BO15" s="8" t="s">
        <v>91</v>
      </c>
      <c r="BP15" s="197"/>
      <c r="BQ15" s="197">
        <v>60000</v>
      </c>
      <c r="BR15" s="197">
        <v>50000</v>
      </c>
      <c r="BS15" s="197">
        <v>2</v>
      </c>
      <c r="BT15" s="215" t="str">
        <f>IF($J$24="Español","Copa Dedal Halfling y Clásica del Viejo Mundo",(IF($J$24="Deutsch","Halbling-Fingerhut-Pokal, Alte-Welt-Klassiker",(IF($J$24="Français","Coupe Dé à Coudre Halfling et Classique du Vieux Monde","Halfling Thimble Cup and Old World Classic")))))</f>
        <v>Halfling Thimble Cup and Old World Classic</v>
      </c>
      <c r="BU15" s="215" t="s">
        <v>92</v>
      </c>
      <c r="BV15" s="215"/>
      <c r="BW15" s="215"/>
      <c r="BX15" s="9"/>
      <c r="BY15" s="9"/>
      <c r="BZ15" s="8" t="s">
        <v>91</v>
      </c>
      <c r="CA15" s="8" t="s">
        <v>93</v>
      </c>
      <c r="CB15" s="9" t="s">
        <v>94</v>
      </c>
      <c r="CC15" s="8" t="s">
        <v>95</v>
      </c>
      <c r="CD15" s="7"/>
      <c r="CE15" s="7"/>
      <c r="CF15" s="7" t="s">
        <v>91</v>
      </c>
      <c r="CG15" s="7" t="s">
        <v>1720</v>
      </c>
      <c r="CH15" s="7" t="s">
        <v>99</v>
      </c>
      <c r="CI15" s="7" t="s">
        <v>119</v>
      </c>
      <c r="CJ15" s="8"/>
      <c r="CK15" s="8"/>
      <c r="CL15" s="8"/>
      <c r="CM15" s="8"/>
      <c r="CN15" s="8"/>
      <c r="CO15" s="8"/>
      <c r="CP15" s="8"/>
      <c r="CQ15" s="8"/>
      <c r="CR15" s="8"/>
      <c r="CS15" s="8"/>
      <c r="CT15" s="8"/>
      <c r="CU15" s="8"/>
      <c r="CV15" s="8"/>
      <c r="CW15" s="8"/>
      <c r="CX15" s="8"/>
      <c r="CY15" s="8"/>
      <c r="CZ15" s="8"/>
      <c r="DA15" s="8"/>
      <c r="DB15" s="8"/>
    </row>
    <row r="16" spans="1:106" ht="37.5" customHeight="1" x14ac:dyDescent="0.2">
      <c r="A16" s="15">
        <v>15</v>
      </c>
      <c r="B16" s="315"/>
      <c r="C16" s="316"/>
      <c r="D16" s="315"/>
      <c r="E16" s="342"/>
      <c r="F16" s="342"/>
      <c r="G16" s="316"/>
      <c r="H16" s="18">
        <f>IF(D16="",0,(COUNTIF(D2:G17,D16)))</f>
        <v>0</v>
      </c>
      <c r="I16" s="19" t="s">
        <v>34</v>
      </c>
      <c r="J16" s="20">
        <f>IFERROR((VLOOKUP($BP$1&amp;D16,Teams!D:M,10,0)),0)</f>
        <v>0</v>
      </c>
      <c r="K16" s="21">
        <f t="shared" ref="K16:L16" si="46">IFERROR(L75,0)</f>
        <v>0</v>
      </c>
      <c r="L16" s="21">
        <f t="shared" si="46"/>
        <v>0</v>
      </c>
      <c r="M16" s="21" t="str">
        <f t="shared" ref="M16:O16" si="47">IFERROR(N75&amp;"+",0)</f>
        <v>0+</v>
      </c>
      <c r="N16" s="21" t="str">
        <f t="shared" si="47"/>
        <v>0+</v>
      </c>
      <c r="O16" s="21" t="str">
        <f t="shared" si="47"/>
        <v>0+</v>
      </c>
      <c r="P16" s="392" t="str">
        <f>IFERROR((IF(AW16="YES",(VLOOKUP($BP$1&amp;D16,Teams!D:M,7,0)&amp;BG16),AX16)),"")</f>
        <v>0</v>
      </c>
      <c r="Q16" s="393"/>
      <c r="R16" s="393"/>
      <c r="S16" s="393"/>
      <c r="T16" s="393"/>
      <c r="U16" s="393"/>
      <c r="V16" s="393"/>
      <c r="W16" s="393"/>
      <c r="X16" s="393"/>
      <c r="Y16" s="393"/>
      <c r="Z16" s="394"/>
      <c r="AA16" s="61"/>
      <c r="AB16" s="61"/>
      <c r="AC16" s="62"/>
      <c r="AD16" s="62"/>
      <c r="AE16" s="62"/>
      <c r="AF16" s="63"/>
      <c r="AG16" s="63"/>
      <c r="AH16" s="63"/>
      <c r="AI16" s="63"/>
      <c r="AJ16" s="63"/>
      <c r="AK16" s="360">
        <f t="shared" si="12"/>
        <v>0</v>
      </c>
      <c r="AL16" s="359"/>
      <c r="AM16" s="360">
        <f t="shared" si="3"/>
        <v>0</v>
      </c>
      <c r="AN16" s="359"/>
      <c r="AO16" s="360">
        <f>IFERROR((VLOOKUP($BP$1&amp;D16,Teams!D:M,8,0)+AH51),0)</f>
        <v>0</v>
      </c>
      <c r="AP16" s="359"/>
      <c r="AQ16" s="346"/>
      <c r="AR16" s="7">
        <f>IFERROR((IF(AA16&lt;&gt;"",0,((VLOOKUP($BP$1&amp;D16,Teams!D:M,9,0)+(AH51/1000)-(AB51/1000))))),0)</f>
        <v>0</v>
      </c>
      <c r="AS16" s="8">
        <f>IFERROR((VLOOKUP($BP$1&amp;D16,Teams!D:N,11,0)),0)</f>
        <v>0</v>
      </c>
      <c r="AT16" s="8" t="str">
        <f t="shared" si="4"/>
        <v/>
      </c>
      <c r="AU16" s="8" t="str">
        <f t="shared" si="5"/>
        <v/>
      </c>
      <c r="AV16" s="8" t="str">
        <f t="shared" si="6"/>
        <v/>
      </c>
      <c r="AW16" s="8" t="str">
        <f t="shared" si="7"/>
        <v>YES</v>
      </c>
      <c r="AX16" s="8" t="str">
        <f t="shared" si="8"/>
        <v/>
      </c>
      <c r="AY16" s="22" t="str">
        <f t="shared" si="13"/>
        <v/>
      </c>
      <c r="AZ16" s="22" t="str">
        <f t="shared" si="14"/>
        <v/>
      </c>
      <c r="BA16" s="22" t="str">
        <f t="shared" si="15"/>
        <v/>
      </c>
      <c r="BB16" s="22" t="str">
        <f t="shared" si="16"/>
        <v/>
      </c>
      <c r="BC16" s="22" t="str">
        <f t="shared" si="17"/>
        <v/>
      </c>
      <c r="BD16" s="22" t="str">
        <f t="shared" si="18"/>
        <v/>
      </c>
      <c r="BE16" s="22"/>
      <c r="BF16" s="22" t="str">
        <f t="shared" si="19"/>
        <v/>
      </c>
      <c r="BG16" s="23" t="str">
        <f t="shared" si="9"/>
        <v/>
      </c>
      <c r="BH16" t="str">
        <f>IFERROR((IF((VLOOKUP($BP$1&amp;D16,Teams!D:M,7,0))="","",", ")),"")</f>
        <v xml:space="preserve">, </v>
      </c>
      <c r="BL16" s="8"/>
      <c r="BM16" s="8" t="s">
        <v>96</v>
      </c>
      <c r="BN16" s="8" t="str">
        <f t="shared" si="29"/>
        <v>High Elf</v>
      </c>
      <c r="BO16" s="8" t="s">
        <v>97</v>
      </c>
      <c r="BP16" s="197"/>
      <c r="BQ16" s="197">
        <v>50000</v>
      </c>
      <c r="BR16" s="197">
        <v>50000</v>
      </c>
      <c r="BS16" s="197">
        <v>0</v>
      </c>
      <c r="BT16" s="215" t="str">
        <f>IF($J$24="Español","Liga de los Reinos Elfos",(IF($J$24="Deutsch","Liga der Elfenkönigreiche",(IF($J$24="Français","Ligue des Royaumes Elfiques","Elven Kingdoms League")))))</f>
        <v>Elven Kingdoms League</v>
      </c>
      <c r="BU16" s="215" t="s">
        <v>72</v>
      </c>
      <c r="BV16" s="215"/>
      <c r="BW16" s="215"/>
      <c r="BX16" s="9"/>
      <c r="BY16" s="9"/>
      <c r="BZ16" s="8" t="s">
        <v>96</v>
      </c>
      <c r="CA16" s="8" t="s">
        <v>98</v>
      </c>
      <c r="CB16" s="24" t="s">
        <v>99</v>
      </c>
      <c r="CC16" s="7" t="s">
        <v>100</v>
      </c>
      <c r="CD16" s="7"/>
      <c r="CE16" s="7"/>
      <c r="CF16" s="7" t="s">
        <v>96</v>
      </c>
      <c r="CG16" s="7" t="s">
        <v>93</v>
      </c>
      <c r="CH16" s="7" t="s">
        <v>109</v>
      </c>
      <c r="CI16" s="7" t="s">
        <v>125</v>
      </c>
      <c r="CJ16" s="8"/>
      <c r="CK16" s="8"/>
      <c r="CL16" s="8"/>
      <c r="CM16" s="8"/>
      <c r="CN16" s="8"/>
      <c r="CO16" s="8"/>
      <c r="CP16" s="8"/>
      <c r="CQ16" s="8"/>
      <c r="CR16" s="8"/>
      <c r="CS16" s="8"/>
      <c r="CT16" s="8"/>
      <c r="CU16" s="8"/>
      <c r="CV16" s="8"/>
      <c r="CW16" s="8"/>
      <c r="CX16" s="8"/>
      <c r="CY16" s="8"/>
      <c r="CZ16" s="8"/>
      <c r="DA16" s="8"/>
      <c r="DB16" s="8"/>
    </row>
    <row r="17" spans="1:107" ht="37.5" customHeight="1" x14ac:dyDescent="0.2">
      <c r="A17" s="15">
        <v>16</v>
      </c>
      <c r="B17" s="315"/>
      <c r="C17" s="316"/>
      <c r="D17" s="315"/>
      <c r="E17" s="342"/>
      <c r="F17" s="342"/>
      <c r="G17" s="316"/>
      <c r="H17" s="18">
        <f>IF(D17="",0,(COUNTIF(D3:G18,D17)))</f>
        <v>0</v>
      </c>
      <c r="I17" s="19" t="s">
        <v>34</v>
      </c>
      <c r="J17" s="20">
        <f>IFERROR((VLOOKUP($BP$1&amp;D17,Teams!D:M,10,0)),0)</f>
        <v>0</v>
      </c>
      <c r="K17" s="21">
        <f t="shared" ref="K17:L17" si="48">IFERROR(L76,0)</f>
        <v>0</v>
      </c>
      <c r="L17" s="21">
        <f t="shared" si="48"/>
        <v>0</v>
      </c>
      <c r="M17" s="21" t="str">
        <f t="shared" ref="M17:O17" si="49">IFERROR(N76&amp;"+",0)</f>
        <v>0+</v>
      </c>
      <c r="N17" s="21" t="str">
        <f t="shared" si="49"/>
        <v>0+</v>
      </c>
      <c r="O17" s="21" t="str">
        <f t="shared" si="49"/>
        <v>0+</v>
      </c>
      <c r="P17" s="392" t="str">
        <f>IFERROR((IF(AW17="YES",(VLOOKUP($BP$1&amp;D17,Teams!D:M,7,0)&amp;BG17),AX17)),"")</f>
        <v>0</v>
      </c>
      <c r="Q17" s="393"/>
      <c r="R17" s="393"/>
      <c r="S17" s="393"/>
      <c r="T17" s="393"/>
      <c r="U17" s="393"/>
      <c r="V17" s="393"/>
      <c r="W17" s="393"/>
      <c r="X17" s="393"/>
      <c r="Y17" s="393"/>
      <c r="Z17" s="394"/>
      <c r="AA17" s="61"/>
      <c r="AB17" s="61"/>
      <c r="AC17" s="62"/>
      <c r="AD17" s="62"/>
      <c r="AE17" s="62"/>
      <c r="AF17" s="63"/>
      <c r="AG17" s="63"/>
      <c r="AH17" s="63"/>
      <c r="AI17" s="63"/>
      <c r="AJ17" s="63"/>
      <c r="AK17" s="360">
        <f>AB17+AC17+(AD17*3)+AE17+(AF17*2)+(AG17*2)+(AH17*2)+(AI17*2)+(AJ17*4)</f>
        <v>0</v>
      </c>
      <c r="AL17" s="359"/>
      <c r="AM17" s="360">
        <f>AK17-AJ52</f>
        <v>0</v>
      </c>
      <c r="AN17" s="359"/>
      <c r="AO17" s="360">
        <f>IFERROR((VLOOKUP($BP$1&amp;D17,Teams!D:M,8,0)+AH52),0)</f>
        <v>0</v>
      </c>
      <c r="AP17" s="359"/>
      <c r="AQ17" s="346"/>
      <c r="AR17" s="7">
        <f>IFERROR((IF(AA17&lt;&gt;"",0,((VLOOKUP($BP$1&amp;D17,Teams!D:M,9,0)+(AH52/1000)-(AB52/1000))))),0)</f>
        <v>0</v>
      </c>
      <c r="AS17" s="8">
        <f>IFERROR((VLOOKUP($BP$1&amp;D17,Teams!D:N,11,0)),0)</f>
        <v>0</v>
      </c>
      <c r="AT17" s="8" t="str">
        <f t="shared" si="4"/>
        <v/>
      </c>
      <c r="AU17" s="8" t="str">
        <f t="shared" si="5"/>
        <v/>
      </c>
      <c r="AV17" s="8" t="str">
        <f t="shared" si="6"/>
        <v/>
      </c>
      <c r="AW17" s="8" t="str">
        <f t="shared" si="7"/>
        <v>YES</v>
      </c>
      <c r="AX17" s="8" t="str">
        <f t="shared" si="8"/>
        <v/>
      </c>
      <c r="AY17" s="22" t="str">
        <f t="shared" si="13"/>
        <v/>
      </c>
      <c r="AZ17" s="22" t="str">
        <f t="shared" si="14"/>
        <v/>
      </c>
      <c r="BA17" s="22" t="str">
        <f t="shared" si="15"/>
        <v/>
      </c>
      <c r="BB17" s="22" t="str">
        <f t="shared" si="16"/>
        <v/>
      </c>
      <c r="BC17" s="22" t="str">
        <f t="shared" si="17"/>
        <v/>
      </c>
      <c r="BD17" s="22" t="str">
        <f t="shared" si="18"/>
        <v/>
      </c>
      <c r="BE17" s="22"/>
      <c r="BF17" s="22" t="str">
        <f t="shared" si="19"/>
        <v/>
      </c>
      <c r="BG17" s="23" t="str">
        <f t="shared" si="9"/>
        <v/>
      </c>
      <c r="BH17" t="str">
        <f>IFERROR((IF((VLOOKUP($BP$1&amp;D17,Teams!D:M,7,0))="","",", ")),"")</f>
        <v xml:space="preserve">, </v>
      </c>
      <c r="BL17" s="8"/>
      <c r="BM17" s="8" t="s">
        <v>101</v>
      </c>
      <c r="BN17" s="8" t="str">
        <f t="shared" si="29"/>
        <v>Human</v>
      </c>
      <c r="BO17" s="8" t="s">
        <v>101</v>
      </c>
      <c r="BP17" s="197"/>
      <c r="BQ17" s="197">
        <v>50000</v>
      </c>
      <c r="BR17" s="197">
        <v>50000</v>
      </c>
      <c r="BS17" s="197">
        <v>1</v>
      </c>
      <c r="BT17" s="215" t="str">
        <f>IF($J$24="Español","Clásica del Viejo Mundo",(IF($J$24="Deutsch","Alte-Welt-Klassiker",(IF($J$24="Français","Classique du Vieux Monde","Old World Classic")))))</f>
        <v>Old World Classic</v>
      </c>
      <c r="BU17" s="215" t="s">
        <v>102</v>
      </c>
      <c r="BV17" s="215"/>
      <c r="BW17" s="215"/>
      <c r="BX17" s="9"/>
      <c r="BY17" s="9"/>
      <c r="BZ17" s="8" t="s">
        <v>101</v>
      </c>
      <c r="CA17" s="8" t="s">
        <v>103</v>
      </c>
      <c r="CB17" s="24" t="s">
        <v>104</v>
      </c>
      <c r="CC17" s="7" t="s">
        <v>105</v>
      </c>
      <c r="CD17" s="7"/>
      <c r="CE17" s="7"/>
      <c r="CF17" s="7" t="s">
        <v>101</v>
      </c>
      <c r="CG17" s="7" t="s">
        <v>103</v>
      </c>
      <c r="CH17" s="7" t="s">
        <v>113</v>
      </c>
      <c r="CI17" s="7" t="s">
        <v>105</v>
      </c>
      <c r="CJ17" s="8"/>
      <c r="CK17" s="8"/>
      <c r="CL17" s="8"/>
      <c r="CM17" s="8"/>
      <c r="CN17" s="8"/>
      <c r="CO17" s="8"/>
      <c r="CP17" s="8"/>
      <c r="CQ17" s="8"/>
      <c r="CR17" s="8"/>
      <c r="CS17" s="8"/>
      <c r="CT17" s="8"/>
      <c r="CU17" s="8"/>
      <c r="CV17" s="8"/>
      <c r="CW17" s="8"/>
      <c r="CX17" s="8"/>
      <c r="CY17" s="8"/>
      <c r="CZ17" s="8"/>
      <c r="DA17" s="8"/>
      <c r="DB17" s="8"/>
    </row>
    <row r="18" spans="1:107" ht="45" customHeight="1" x14ac:dyDescent="0.2">
      <c r="A18" s="15" t="s">
        <v>115</v>
      </c>
      <c r="B18" s="317" t="str">
        <f>IF($K$25="Italiano","Star Player &amp; Mercenario",(IF($K$25="Español","Jugadores Estrella &amp; Mercenario",(IF($K$25="Français","Star Player &amp; Mercenaire",(IF($K$25="Deutsch","Starspielers &amp; Mercenary","Star Player &amp; Mercenary")))))))</f>
        <v>Star Player &amp; Mercenary</v>
      </c>
      <c r="C18" s="318"/>
      <c r="D18" s="319"/>
      <c r="E18" s="320"/>
      <c r="F18" s="320"/>
      <c r="G18" s="321"/>
      <c r="H18" s="18">
        <f>IF(D18=" ",0,(COUNTIF(D18:G20,D18)))</f>
        <v>0</v>
      </c>
      <c r="I18" s="19" t="s">
        <v>34</v>
      </c>
      <c r="J18" s="20">
        <f>IFERROR((VLOOKUP(D18,StarPlayers!B:K,10,0)),0)</f>
        <v>0</v>
      </c>
      <c r="K18" s="21">
        <f>IFERROR((VLOOKUP(D18,StarPlayers!B:K,2,0)),0)</f>
        <v>0</v>
      </c>
      <c r="L18" s="21">
        <f>IFERROR((VLOOKUP(D18,StarPlayers!B:K,3,0)),0)</f>
        <v>0</v>
      </c>
      <c r="M18" s="21">
        <f>IFERROR((VLOOKUP(D18,StarPlayers!B:K,4,0)),0)</f>
        <v>0</v>
      </c>
      <c r="N18" s="21">
        <f>IFERROR((VLOOKUP(D18,StarPlayers!B:K,5,0)),0)</f>
        <v>0</v>
      </c>
      <c r="O18" s="21">
        <f>IFERROR((VLOOKUP(D18,StarPlayers!B:K,6,0)),0)</f>
        <v>0</v>
      </c>
      <c r="P18" s="357">
        <f>IFERROR((IF(H18&gt;J18,AT18,VLOOKUP(D18,StarPlayers!B:K,7,0))),0)</f>
        <v>0</v>
      </c>
      <c r="Q18" s="358"/>
      <c r="R18" s="358"/>
      <c r="S18" s="358"/>
      <c r="T18" s="358"/>
      <c r="U18" s="358"/>
      <c r="V18" s="358"/>
      <c r="W18" s="358"/>
      <c r="X18" s="358"/>
      <c r="Y18" s="358"/>
      <c r="Z18" s="359"/>
      <c r="AA18" s="357">
        <f>IFERROR((IF(H18&gt;J18,AT18,VLOOKUP(D18,StarPlayers!B:K,8,0))),0)</f>
        <v>0</v>
      </c>
      <c r="AB18" s="358"/>
      <c r="AC18" s="358"/>
      <c r="AD18" s="358"/>
      <c r="AE18" s="358"/>
      <c r="AF18" s="358"/>
      <c r="AG18" s="358"/>
      <c r="AH18" s="358"/>
      <c r="AI18" s="358"/>
      <c r="AJ18" s="358"/>
      <c r="AK18" s="358"/>
      <c r="AL18" s="358"/>
      <c r="AM18" s="358"/>
      <c r="AN18" s="359"/>
      <c r="AO18" s="360">
        <f>IFERROR((VLOOKUP(D18,StarPlayers!B:K,9,0)),0)</f>
        <v>0</v>
      </c>
      <c r="AP18" s="359"/>
      <c r="AQ18" s="346"/>
      <c r="AR18" s="7">
        <f t="shared" ref="AR18:AR20" si="50">IFERROR(AO18/1000,0)</f>
        <v>0</v>
      </c>
      <c r="AS18" s="7"/>
      <c r="AT18" s="8" t="str">
        <f>IF(H18&gt;J18,(IF($K$25="Italiano","Il limite del giocatore è stato superato... Stai imbrogliando!",(IF($K$25="Español","Límite de jugadores excedido… ¡Estás haciendo trampas!",(IF($K$25="Deutsch","Spieler-Limit überschritten… Du schummelst!",(IF($K$25="Français","Tu as trop de joueurs… Tricheur!","Player limit exceded… You are cheating!")))))))),"")</f>
        <v/>
      </c>
      <c r="AU18" s="7"/>
      <c r="AV18" s="7"/>
      <c r="AW18" s="7"/>
      <c r="AX18" s="7"/>
      <c r="AY18" s="8"/>
      <c r="AZ18" s="8"/>
      <c r="BA18" s="8"/>
      <c r="BB18" s="8"/>
      <c r="BC18" s="8"/>
      <c r="BD18" s="8"/>
      <c r="BE18" s="8"/>
      <c r="BF18" s="8"/>
      <c r="BL18" s="8"/>
      <c r="BM18" s="8" t="s">
        <v>106</v>
      </c>
      <c r="BN18" s="8" t="str">
        <f t="shared" si="29"/>
        <v>Imperial Nobility</v>
      </c>
      <c r="BO18" s="8" t="s">
        <v>107</v>
      </c>
      <c r="BP18" s="197"/>
      <c r="BQ18" s="197">
        <v>70000</v>
      </c>
      <c r="BR18" s="197">
        <v>50000</v>
      </c>
      <c r="BS18" s="197">
        <v>1</v>
      </c>
      <c r="BT18" s="215" t="str">
        <f>IF($J$24="Español","Clásica del Viejo Mundo",(IF($J$24="Deutsch","Alte-Welt-Klassiker",(IF($J$24="Français","Classique du Vieux Monde","Old World Classic")))))</f>
        <v>Old World Classic</v>
      </c>
      <c r="BU18" s="215" t="s">
        <v>102</v>
      </c>
      <c r="BV18" s="215"/>
      <c r="BW18" s="215"/>
      <c r="BX18" s="9"/>
      <c r="BY18" s="9"/>
      <c r="BZ18" s="8" t="s">
        <v>106</v>
      </c>
      <c r="CA18" s="8" t="s">
        <v>108</v>
      </c>
      <c r="CB18" s="24" t="s">
        <v>109</v>
      </c>
      <c r="CC18" s="7" t="s">
        <v>110</v>
      </c>
      <c r="CD18" s="287"/>
      <c r="CE18" s="7"/>
      <c r="CF18" s="7" t="s">
        <v>106</v>
      </c>
      <c r="CG18" s="7" t="s">
        <v>182</v>
      </c>
      <c r="CH18" s="7" t="s">
        <v>118</v>
      </c>
      <c r="CI18" s="7" t="s">
        <v>1256</v>
      </c>
      <c r="CJ18" s="8"/>
      <c r="CK18" s="8"/>
      <c r="CL18" s="8"/>
      <c r="CM18" s="8"/>
      <c r="CN18" s="8"/>
      <c r="CO18" s="8"/>
      <c r="CP18" s="8"/>
      <c r="CQ18" s="8"/>
      <c r="CR18" s="8"/>
      <c r="CS18" s="8"/>
      <c r="CT18" s="8"/>
      <c r="CU18" s="8"/>
      <c r="CV18" s="8"/>
      <c r="CW18" s="8"/>
      <c r="CX18" s="8"/>
      <c r="CY18" s="8"/>
      <c r="CZ18" s="8"/>
      <c r="DA18" s="8"/>
      <c r="DB18" s="8"/>
    </row>
    <row r="19" spans="1:107" ht="45" customHeight="1" x14ac:dyDescent="0.2">
      <c r="A19" s="26" t="s">
        <v>115</v>
      </c>
      <c r="B19" s="317" t="str">
        <f>IF($K$25="Italiano","Star Player &amp; Mercenario",(IF($K$25="Español","Jugadores Estrella &amp; Mercenario",(IF($K$25="Français","Star Player &amp; Mercenaire",(IF($K$25="Deutsch","Starspielers &amp; Mercenary","Star Player &amp; Mercenary")))))))</f>
        <v>Star Player &amp; Mercenary</v>
      </c>
      <c r="C19" s="318"/>
      <c r="D19" s="319"/>
      <c r="E19" s="320"/>
      <c r="F19" s="320"/>
      <c r="G19" s="321"/>
      <c r="H19" s="27">
        <f>IF(D19=" ",0,(COUNTIF(D18:G20,D19)))</f>
        <v>0</v>
      </c>
      <c r="I19" s="28" t="s">
        <v>34</v>
      </c>
      <c r="J19" s="29">
        <f>IFERROR((VLOOKUP(D19,StarPlayers!B:K,10,0)),0)</f>
        <v>0</v>
      </c>
      <c r="K19" s="30">
        <f>IFERROR((VLOOKUP(D19,StarPlayers!B:K,2,0)),0)</f>
        <v>0</v>
      </c>
      <c r="L19" s="30">
        <f>IFERROR((VLOOKUP(D19,StarPlayers!B:K,3,0)),0)</f>
        <v>0</v>
      </c>
      <c r="M19" s="21">
        <f>IFERROR((VLOOKUP(D19,StarPlayers!B:K,4,0)),0)</f>
        <v>0</v>
      </c>
      <c r="N19" s="21">
        <f>IFERROR((VLOOKUP(D19,StarPlayers!B:K,5,0)),0)</f>
        <v>0</v>
      </c>
      <c r="O19" s="30">
        <f>IFERROR((VLOOKUP(D19,StarPlayers!B:K,6,0)),0)</f>
        <v>0</v>
      </c>
      <c r="P19" s="357">
        <f>IFERROR((IF(H19&gt;J19,AT19,VLOOKUP(D19,StarPlayers!B:K,7,0))),0)</f>
        <v>0</v>
      </c>
      <c r="Q19" s="358"/>
      <c r="R19" s="358"/>
      <c r="S19" s="358"/>
      <c r="T19" s="358"/>
      <c r="U19" s="358"/>
      <c r="V19" s="358"/>
      <c r="W19" s="358"/>
      <c r="X19" s="358"/>
      <c r="Y19" s="358"/>
      <c r="Z19" s="359"/>
      <c r="AA19" s="357">
        <f>IFERROR((IF(H19&gt;J19,AT19,VLOOKUP(D19,StarPlayers!B:K,8,0))),0)</f>
        <v>0</v>
      </c>
      <c r="AB19" s="358"/>
      <c r="AC19" s="358"/>
      <c r="AD19" s="358"/>
      <c r="AE19" s="358"/>
      <c r="AF19" s="358"/>
      <c r="AG19" s="358"/>
      <c r="AH19" s="358"/>
      <c r="AI19" s="358"/>
      <c r="AJ19" s="358"/>
      <c r="AK19" s="358"/>
      <c r="AL19" s="358"/>
      <c r="AM19" s="358"/>
      <c r="AN19" s="359"/>
      <c r="AO19" s="360">
        <f>IFERROR((VLOOKUP(D19,StarPlayers!B:K,9,0)),0)</f>
        <v>0</v>
      </c>
      <c r="AP19" s="359"/>
      <c r="AQ19" s="346"/>
      <c r="AR19" s="7">
        <f t="shared" si="50"/>
        <v>0</v>
      </c>
      <c r="AS19" s="7"/>
      <c r="AT19" s="8" t="str">
        <f>IF(H19&gt;J19,(IF($K$25="Italiano","Il limite del giocatore è stato superato... Stai imbrogliando!",(IF($K$25="Español","Límite de jugadores excedido… ¡Estás haciendo trampas!",(IF($K$25="Deutsch","Spieler-Limit überschritten… Du schummelst!",(IF($K$25="Français","Tu as trop de joueurs… Tricheur!","Player limit exceded… You are cheating!")))))))),"")</f>
        <v/>
      </c>
      <c r="AU19" s="7"/>
      <c r="AV19" s="7"/>
      <c r="AW19" s="7"/>
      <c r="AX19" s="7"/>
      <c r="AY19" s="8"/>
      <c r="AZ19" s="8"/>
      <c r="BA19" s="8"/>
      <c r="BB19" s="8"/>
      <c r="BC19" s="8"/>
      <c r="BD19" s="8"/>
      <c r="BE19" s="8"/>
      <c r="BF19" s="8"/>
      <c r="BL19" s="8"/>
      <c r="BM19" s="8" t="s">
        <v>111</v>
      </c>
      <c r="BN19" s="8" t="str">
        <f t="shared" si="29"/>
        <v>Khorne</v>
      </c>
      <c r="BO19" s="8" t="s">
        <v>111</v>
      </c>
      <c r="BP19" s="197"/>
      <c r="BQ19" s="197">
        <v>60000</v>
      </c>
      <c r="BR19" s="197">
        <v>50000</v>
      </c>
      <c r="BS19" s="197">
        <v>1</v>
      </c>
      <c r="BT19" s="215" t="str">
        <f>IF($J$24="Español","Elegido de Khorne",(IF($J$24="Deutsch","Auserwählte des Khorne",(IF($J$24="Français","Favori de Khorne","Favoured of Khorne")))))</f>
        <v>Favoured of Khorne</v>
      </c>
      <c r="BU19" s="215" t="s">
        <v>55</v>
      </c>
      <c r="BX19" s="9"/>
      <c r="BY19" s="9"/>
      <c r="BZ19" s="8" t="s">
        <v>111</v>
      </c>
      <c r="CA19" s="8" t="s">
        <v>112</v>
      </c>
      <c r="CB19" s="59" t="s">
        <v>113</v>
      </c>
      <c r="CC19" s="7" t="s">
        <v>114</v>
      </c>
      <c r="CD19" s="8"/>
      <c r="CE19" s="7"/>
      <c r="CF19" s="7" t="s">
        <v>111</v>
      </c>
      <c r="CG19" s="7" t="s">
        <v>177</v>
      </c>
      <c r="CH19" s="7" t="s">
        <v>104</v>
      </c>
      <c r="CI19" s="7" t="s">
        <v>159</v>
      </c>
      <c r="CJ19" s="8"/>
      <c r="CK19" s="8"/>
      <c r="CL19" s="8"/>
      <c r="CM19" s="8"/>
      <c r="CN19" s="8"/>
      <c r="CO19" s="8"/>
      <c r="CP19" s="8"/>
      <c r="CQ19" s="8"/>
      <c r="CR19" s="8"/>
      <c r="CS19" s="8"/>
      <c r="CT19" s="8"/>
      <c r="CU19" s="8"/>
      <c r="CV19" s="8"/>
      <c r="CW19" s="8"/>
      <c r="CX19" s="8"/>
      <c r="CY19" s="8"/>
      <c r="CZ19" s="8"/>
      <c r="DA19" s="8"/>
      <c r="DB19" s="8"/>
    </row>
    <row r="20" spans="1:107" ht="45" customHeight="1" x14ac:dyDescent="0.2">
      <c r="A20" s="26" t="s">
        <v>115</v>
      </c>
      <c r="B20" s="317" t="str">
        <f>IF($K$25="Italiano","Mercenario",(IF($K$25="Español","Mercenario",(IF($K$25="Français","Mercenaire","Mercenary")))))</f>
        <v>Mercenary</v>
      </c>
      <c r="C20" s="318"/>
      <c r="D20" s="319"/>
      <c r="E20" s="320"/>
      <c r="F20" s="320"/>
      <c r="G20" s="321"/>
      <c r="H20" s="264">
        <f>IF(D20=" ",0,(COUNTIF(D18:G20,D20)))</f>
        <v>0</v>
      </c>
      <c r="I20" s="265" t="s">
        <v>34</v>
      </c>
      <c r="J20" s="266">
        <f>IFERROR((VLOOKUP(D20,StarPlayers!B:K,10,0)),0)</f>
        <v>0</v>
      </c>
      <c r="K20" s="30">
        <f>IFERROR((VLOOKUP(D20,StarPlayers!B:K,2,0)),0)</f>
        <v>0</v>
      </c>
      <c r="L20" s="30">
        <f>IFERROR((VLOOKUP(D20,StarPlayers!B:K,3,0)),0)</f>
        <v>0</v>
      </c>
      <c r="M20" s="21">
        <f>IFERROR((VLOOKUP(D20,StarPlayers!B:K,4,0)),0)</f>
        <v>0</v>
      </c>
      <c r="N20" s="21">
        <f>IFERROR((VLOOKUP(D20,StarPlayers!B:K,5,0)),0)</f>
        <v>0</v>
      </c>
      <c r="O20" s="30">
        <f>IFERROR((VLOOKUP(D20,StarPlayers!B:K,6,0)),0)</f>
        <v>0</v>
      </c>
      <c r="P20" s="357">
        <f>IFERROR((IF(H20&gt;J20,AT20,VLOOKUP(D20,StarPlayers!B:K,7,0))),0)</f>
        <v>0</v>
      </c>
      <c r="Q20" s="358"/>
      <c r="R20" s="358"/>
      <c r="S20" s="358"/>
      <c r="T20" s="358"/>
      <c r="U20" s="358"/>
      <c r="V20" s="358"/>
      <c r="W20" s="358"/>
      <c r="X20" s="358"/>
      <c r="Y20" s="358"/>
      <c r="Z20" s="359"/>
      <c r="AA20" s="357">
        <f>IFERROR((IF(H20&gt;J20,AT20,VLOOKUP(D20,StarPlayers!B:K,8,0))),0)</f>
        <v>0</v>
      </c>
      <c r="AB20" s="358"/>
      <c r="AC20" s="358"/>
      <c r="AD20" s="358"/>
      <c r="AE20" s="358"/>
      <c r="AF20" s="358"/>
      <c r="AG20" s="358"/>
      <c r="AH20" s="358"/>
      <c r="AI20" s="358"/>
      <c r="AJ20" s="358"/>
      <c r="AK20" s="358"/>
      <c r="AL20" s="358"/>
      <c r="AM20" s="358"/>
      <c r="AN20" s="359"/>
      <c r="AO20" s="360">
        <f>IFERROR((VLOOKUP(D20,StarPlayers!B:K,9,0)),0)</f>
        <v>0</v>
      </c>
      <c r="AP20" s="359"/>
      <c r="AQ20" s="346"/>
      <c r="AR20" s="7">
        <f t="shared" si="50"/>
        <v>0</v>
      </c>
      <c r="AS20" s="7"/>
      <c r="AT20" s="8" t="str">
        <f>IF(H20&gt;J20,(IF($K$25="Italiano","Il limite del giocatore è stato superato... Stai imbrogliando!",(IF($K$25="Español","Límite de jugadores excedido… ¡Estás haciendo trampas!",(IF($K$25="Deutsch","Spieler-Limit überschritten… Du schummelst!",(IF($K$25="Français","Tu as trop de joueurs… Tricheur!","Player limit exceded… You are cheating!")))))))),"")</f>
        <v/>
      </c>
      <c r="AU20" s="7"/>
      <c r="AV20" s="7"/>
      <c r="AW20" s="7"/>
      <c r="AX20" s="7"/>
      <c r="AY20" s="8"/>
      <c r="AZ20" s="8"/>
      <c r="BA20" s="8"/>
      <c r="BB20" s="8"/>
      <c r="BC20" s="8"/>
      <c r="BD20" s="8"/>
      <c r="BE20" s="8"/>
      <c r="BF20" s="8"/>
      <c r="BL20" s="8"/>
      <c r="BM20" s="8" t="s">
        <v>116</v>
      </c>
      <c r="BN20" s="8" t="str">
        <f t="shared" si="29"/>
        <v>Lizardman</v>
      </c>
      <c r="BO20" s="8" t="s">
        <v>116</v>
      </c>
      <c r="BP20" s="197"/>
      <c r="BQ20" s="197">
        <v>70000</v>
      </c>
      <c r="BR20" s="197">
        <v>50000</v>
      </c>
      <c r="BS20" s="197">
        <v>1</v>
      </c>
      <c r="BT20" s="215" t="str">
        <f>IF($J$24="Español","Superliga Lustriana",(IF($J$24="Deutsch","Lustria-Superliga",(IF($J$24="Français","Super-Ligue de Lustrie","Lustrian Superleague")))))</f>
        <v>Lustrian Superleague</v>
      </c>
      <c r="BU20" s="215" t="s">
        <v>42</v>
      </c>
      <c r="BV20" s="215"/>
      <c r="BW20" s="215"/>
      <c r="BX20" s="9"/>
      <c r="BY20" s="9"/>
      <c r="BZ20" s="8" t="s">
        <v>116</v>
      </c>
      <c r="CA20" s="8" t="s">
        <v>117</v>
      </c>
      <c r="CB20" s="59" t="s">
        <v>118</v>
      </c>
      <c r="CC20" s="7" t="s">
        <v>119</v>
      </c>
      <c r="CD20" s="8"/>
      <c r="CE20" s="7"/>
      <c r="CF20" s="7" t="s">
        <v>116</v>
      </c>
      <c r="CG20" s="7" t="s">
        <v>112</v>
      </c>
      <c r="CH20" s="7" t="s">
        <v>124</v>
      </c>
      <c r="CI20" s="7" t="s">
        <v>80</v>
      </c>
      <c r="CJ20" s="8"/>
      <c r="CK20" s="8"/>
      <c r="CL20" s="8"/>
      <c r="CM20" s="8"/>
      <c r="CN20" s="8"/>
      <c r="CO20" s="8"/>
      <c r="CP20" s="8"/>
      <c r="CQ20" s="8"/>
      <c r="CR20" s="8"/>
      <c r="CS20" s="8"/>
      <c r="CT20" s="8"/>
      <c r="CU20" s="8"/>
      <c r="CV20" s="8"/>
      <c r="CW20" s="8"/>
      <c r="CX20" s="8"/>
      <c r="CY20" s="8"/>
      <c r="CZ20" s="8"/>
      <c r="DA20" s="8"/>
      <c r="DB20" s="8"/>
    </row>
    <row r="21" spans="1:107" ht="18.75" customHeight="1" x14ac:dyDescent="0.2">
      <c r="A21" s="324"/>
      <c r="B21" s="325"/>
      <c r="C21" s="325"/>
      <c r="D21" s="343" t="str">
        <f>IF($K$25="Español","ESPÓNSOR","SPONSORS")</f>
        <v>SPONSORS</v>
      </c>
      <c r="E21" s="344"/>
      <c r="F21" s="344"/>
      <c r="G21" s="344"/>
      <c r="H21" s="344"/>
      <c r="I21" s="344"/>
      <c r="J21" s="344"/>
      <c r="K21" s="408" t="s">
        <v>126</v>
      </c>
      <c r="L21" s="365"/>
      <c r="M21" s="365"/>
      <c r="N21" s="365"/>
      <c r="O21" s="365"/>
      <c r="P21" s="365"/>
      <c r="Q21" s="365"/>
      <c r="R21" s="366"/>
      <c r="S21" s="374" t="str">
        <f>IF($K$25="Italiano","TIFOSI SFEGATAZI INIZIALI",(IF($K$25="Español","FANS DEVOTOS INICIALES",(IF($K$25="Deutsch","INITIAL TREUE FANS",(IF($K$25="Français","FANS DÉVOUÉS INITIAUX","INITIAL DEDICATED FANS")))))))</f>
        <v>INITIAL DEDICATED FANS</v>
      </c>
      <c r="T21" s="300"/>
      <c r="U21" s="300"/>
      <c r="V21" s="300"/>
      <c r="W21" s="301"/>
      <c r="X21" s="65">
        <v>1</v>
      </c>
      <c r="Y21" s="31" t="s">
        <v>127</v>
      </c>
      <c r="Z21" s="370">
        <v>10000</v>
      </c>
      <c r="AA21" s="371"/>
      <c r="AB21" s="32" t="str">
        <f t="shared" ref="AB21:AB31" si="51">IF($K$25="Español","mo",(IF($K$25="Deutsch","gm",(IF($K$25="Français","po","gp")))))</f>
        <v>gp</v>
      </c>
      <c r="AC21" s="372">
        <f>IFERROR(((IF(X21=0,0,(IF(X21=1,0,X21-1))))*Z21),0)</f>
        <v>0</v>
      </c>
      <c r="AD21" s="301"/>
      <c r="AE21" s="374" t="str">
        <f>IF($K$25="Italiano","REROLLS TOTALI",(IF($K$25="Español","SEGUNDAS OPORTUNIDADES TOTALES",(IF($K$25="Deutsch","TOTAL WIEDERHOLUNGSWÜRFE",(IF($K$25="Français","RELANCES TOTALES","TOTAL REROLLS")))))))</f>
        <v>TOTAL REROLLS</v>
      </c>
      <c r="AF21" s="300"/>
      <c r="AG21" s="300"/>
      <c r="AH21" s="300"/>
      <c r="AI21" s="301"/>
      <c r="AJ21" s="409">
        <f>AJ22+AJ23</f>
        <v>3</v>
      </c>
      <c r="AK21" s="300"/>
      <c r="AL21" s="300"/>
      <c r="AM21" s="300"/>
      <c r="AN21" s="300"/>
      <c r="AO21" s="300"/>
      <c r="AP21" s="301"/>
      <c r="AQ21" s="346"/>
      <c r="AR21" s="7"/>
      <c r="AS21" s="8"/>
      <c r="AT21" s="7"/>
      <c r="AU21" s="7"/>
      <c r="AV21" s="7"/>
      <c r="AW21" s="7"/>
      <c r="AX21" s="7"/>
      <c r="AY21" s="8"/>
      <c r="AZ21" s="8"/>
      <c r="BA21" s="8"/>
      <c r="BB21" s="8"/>
      <c r="BC21" s="8"/>
      <c r="BD21" s="8"/>
      <c r="BE21" s="8"/>
      <c r="BF21" s="8"/>
      <c r="BL21" s="8"/>
      <c r="BM21" s="8" t="s">
        <v>120</v>
      </c>
      <c r="BN21" s="8" t="str">
        <f t="shared" si="29"/>
        <v>Necromantic</v>
      </c>
      <c r="BO21" s="8" t="s">
        <v>120</v>
      </c>
      <c r="BP21" s="197"/>
      <c r="BQ21" s="197">
        <v>70000</v>
      </c>
      <c r="BR21" s="197">
        <v>0</v>
      </c>
      <c r="BS21" s="197">
        <v>0</v>
      </c>
      <c r="BT21" s="215" t="str">
        <f>IF($J$24="Español","Señores de los No Muertos, Selectiva de Sylvania",(IF($J$24="Deutsch","Masters of Undeath, Sylvanisches Rampenlicht",(IF($J$24="Français","Masters of Undeath, Spot de Sylvanie","Masters of Undeath, Sylvanian Spotlight")))))</f>
        <v>Masters of Undeath, Sylvanian Spotlight</v>
      </c>
      <c r="BU21" s="215" t="s">
        <v>121</v>
      </c>
      <c r="BV21" s="215" t="s">
        <v>122</v>
      </c>
      <c r="BW21" s="215"/>
      <c r="BX21" s="9"/>
      <c r="BY21" s="9"/>
      <c r="BZ21" s="8" t="s">
        <v>120</v>
      </c>
      <c r="CA21" s="8" t="s">
        <v>123</v>
      </c>
      <c r="CB21" s="59" t="s">
        <v>124</v>
      </c>
      <c r="CC21" s="7" t="s">
        <v>125</v>
      </c>
      <c r="CF21" s="7" t="s">
        <v>120</v>
      </c>
      <c r="CG21" s="7" t="s">
        <v>117</v>
      </c>
      <c r="CH21" s="7" t="s">
        <v>131</v>
      </c>
      <c r="CI21" s="7" t="s">
        <v>64</v>
      </c>
      <c r="CJ21" s="8"/>
      <c r="CK21" s="8"/>
      <c r="CL21" s="8"/>
      <c r="CM21" s="8"/>
      <c r="CN21" s="8"/>
      <c r="CO21" s="8"/>
      <c r="CP21" s="8"/>
      <c r="CQ21" s="8"/>
      <c r="CR21" s="8"/>
      <c r="CS21" s="8"/>
      <c r="CT21" s="8"/>
      <c r="CU21" s="8"/>
      <c r="CV21" s="8"/>
      <c r="CW21" s="8"/>
      <c r="CX21" s="8"/>
      <c r="CY21" s="8"/>
      <c r="CZ21" s="8"/>
      <c r="DA21" s="8"/>
      <c r="DB21" s="8"/>
    </row>
    <row r="22" spans="1:107" ht="18.75" customHeight="1" x14ac:dyDescent="0.2">
      <c r="A22" s="326"/>
      <c r="B22" s="327"/>
      <c r="C22" s="327"/>
      <c r="D22" s="343" t="str">
        <f>IF($K$25="Italiano","STADIO",(IF($K$25="Español","ESTADIO",(IF($K$25="Deutsch","STADION",(IF($K$25="Français","STADE","STADIUM")))))))</f>
        <v>STADIUM</v>
      </c>
      <c r="E22" s="344"/>
      <c r="F22" s="344"/>
      <c r="G22" s="344"/>
      <c r="H22" s="344"/>
      <c r="I22" s="344"/>
      <c r="J22" s="344"/>
      <c r="K22" s="408" t="s">
        <v>1349</v>
      </c>
      <c r="L22" s="365"/>
      <c r="M22" s="365"/>
      <c r="N22" s="365"/>
      <c r="O22" s="365"/>
      <c r="P22" s="365"/>
      <c r="Q22" s="365"/>
      <c r="R22" s="366"/>
      <c r="S22" s="374" t="str">
        <f>IFERROR((IF(OR(BP1="Necromantic",BP1="Shambling Undead"),(IF($K$25="Italiano","ASSISTENTE MORTUARIO",(IF($K$25="Español","AYUDANTE DE MORGUE",(IF($K$25="Deutsch","BEGRÄBNISASSISTENT",(IF($K$25="Français","ASSISTANT FUNÉRAIRE","MORTUARY ASSISTANT")))))))),(IF(BP1="Nurgle",(IF($K$25="Italiano","MEDICO DELLA PESTE",(IF($K$25="Español","DOCTOR PLAGA",(IF($K$25="Deutsch","PESTDOKTOR",(IF($K$25="Français","MÉDECIN DE LA PESTE","PLAGUE DOCTOR")))))))),(IF($K$25="Italiano","MEDICO",(IF($K$25="Español","MÉDICO",(IF($K$25="Deutsch","SANITÄTER",(IF($K$25="Français","APOTHICAIRE","APOTHECARY")))))))))))),"")</f>
        <v>APOTHECARY</v>
      </c>
      <c r="T22" s="300"/>
      <c r="U22" s="300"/>
      <c r="V22" s="300"/>
      <c r="W22" s="301"/>
      <c r="X22" s="65">
        <v>1</v>
      </c>
      <c r="Y22" s="31" t="s">
        <v>127</v>
      </c>
      <c r="Z22" s="370">
        <f>IFERROR(IF(OR(BP1="Necromantic",BP1="Shambling Undead",BP1="Nurgle"),100000,(VLOOKUP(BP1,BM:BR,6,0))),0)</f>
        <v>50000</v>
      </c>
      <c r="AA22" s="371"/>
      <c r="AB22" s="32" t="str">
        <f t="shared" si="51"/>
        <v>gp</v>
      </c>
      <c r="AC22" s="372">
        <f>IFERROR(X22*Z22,0)</f>
        <v>50000</v>
      </c>
      <c r="AD22" s="301"/>
      <c r="AE22" s="374" t="str">
        <f>IF($K$25="Italiano","REROLLS INIZIALI",(IF($K$25="Español","SEGUNDAS OPORTUNIDADES INICIALES",(IF($K$25="Deutsch","INITIAL WIEDERHOLUNGSWÜRFE",(IF($K$25="Français","RELANCES INITIALES","INITIAL REROLLS")))))))</f>
        <v>INITIAL REROLLS</v>
      </c>
      <c r="AF22" s="300"/>
      <c r="AG22" s="300"/>
      <c r="AH22" s="300"/>
      <c r="AI22" s="301"/>
      <c r="AJ22" s="65">
        <v>3</v>
      </c>
      <c r="AK22" s="31" t="s">
        <v>127</v>
      </c>
      <c r="AL22" s="370">
        <f>IFERROR(VLOOKUP(BP1,BM:BQ,5,0),0)</f>
        <v>70000</v>
      </c>
      <c r="AM22" s="371"/>
      <c r="AN22" s="33" t="str">
        <f t="shared" ref="AN22:AN31" si="52">IF($K$25="Español","mo",(IF($K$25="Deutsch","gm",(IF($K$25="Français","po","gp")))))</f>
        <v>gp</v>
      </c>
      <c r="AO22" s="372">
        <f t="shared" ref="AO22:AO31" si="53">IFERROR(AJ22*AL22,0)</f>
        <v>210000</v>
      </c>
      <c r="AP22" s="301"/>
      <c r="AQ22" s="346"/>
      <c r="AR22" s="7"/>
      <c r="AS22" s="8"/>
      <c r="AT22" s="7"/>
      <c r="AU22" s="7"/>
      <c r="AV22" s="7"/>
      <c r="AW22" s="7"/>
      <c r="AX22" s="7"/>
      <c r="AY22" s="8"/>
      <c r="AZ22" s="8"/>
      <c r="BA22" s="8"/>
      <c r="BB22" s="8"/>
      <c r="BC22" s="8"/>
      <c r="BD22" s="8"/>
      <c r="BE22" s="8"/>
      <c r="BF22" s="8"/>
      <c r="BL22" s="8"/>
      <c r="BM22" s="8" t="s">
        <v>128</v>
      </c>
      <c r="BN22" s="8" t="str">
        <f t="shared" si="29"/>
        <v>Norse</v>
      </c>
      <c r="BO22" s="8" t="s">
        <v>128</v>
      </c>
      <c r="BQ22" s="197">
        <v>60000</v>
      </c>
      <c r="BR22" s="197">
        <v>50000</v>
      </c>
      <c r="BS22" s="197">
        <v>1</v>
      </c>
      <c r="BT22" s="215" t="str">
        <f>IF($J$24="Español","Superliga Lustriana y Clásica del Viejo Mundo",(IF($J$24="Deutsch","Lustria-Superliga und Alte-Welt-Klassiker",(IF($J$24="Français","Super-Ligue de Lustrie et Classique du Vieux Monde","Lustrian Superleague and Old World Classic")))))</f>
        <v>Lustrian Superleague and Old World Classic</v>
      </c>
      <c r="BU22" s="215" t="s">
        <v>129</v>
      </c>
      <c r="BV22" s="215"/>
      <c r="BW22" s="215"/>
      <c r="BX22" s="9"/>
      <c r="BY22" s="9"/>
      <c r="BZ22" s="8" t="s">
        <v>128</v>
      </c>
      <c r="CA22" s="8" t="s">
        <v>130</v>
      </c>
      <c r="CB22" s="59" t="s">
        <v>131</v>
      </c>
      <c r="CC22" s="7" t="s">
        <v>132</v>
      </c>
      <c r="CD22" s="8"/>
      <c r="CE22" s="7"/>
      <c r="CF22" s="7" t="s">
        <v>128</v>
      </c>
      <c r="CG22" s="7" t="s">
        <v>123</v>
      </c>
      <c r="CH22" s="59" t="s">
        <v>1391</v>
      </c>
      <c r="CI22" s="7" t="s">
        <v>110</v>
      </c>
      <c r="CJ22" s="8"/>
      <c r="CK22" s="8"/>
      <c r="CL22" s="8"/>
      <c r="CM22" s="8"/>
      <c r="CN22" s="8"/>
      <c r="CO22" s="8"/>
      <c r="CP22" s="8"/>
      <c r="CQ22" s="8"/>
      <c r="CR22" s="8"/>
      <c r="CS22" s="8"/>
      <c r="CT22" s="8"/>
      <c r="CU22" s="8"/>
      <c r="CV22" s="8"/>
      <c r="CW22" s="8"/>
      <c r="CX22" s="8"/>
      <c r="CY22" s="8"/>
      <c r="CZ22" s="8"/>
      <c r="DA22" s="8"/>
      <c r="DB22" s="8"/>
    </row>
    <row r="23" spans="1:107" ht="18.75" customHeight="1" x14ac:dyDescent="0.2">
      <c r="A23" s="326"/>
      <c r="B23" s="327"/>
      <c r="C23" s="327"/>
      <c r="D23" s="343" t="str">
        <f>IF($K$25="Italiano","RAZZA",(IF($K$25="Español","RAZA",(IF($K$25="Deutsch","RASSE",(IF($K$25="Français","TYPE D’ÉQUIPE","RACE")))))))</f>
        <v>RACE</v>
      </c>
      <c r="E23" s="344"/>
      <c r="F23" s="344"/>
      <c r="G23" s="344"/>
      <c r="H23" s="344"/>
      <c r="I23" s="344"/>
      <c r="J23" s="344"/>
      <c r="K23" s="395" t="s">
        <v>137</v>
      </c>
      <c r="L23" s="365"/>
      <c r="M23" s="365"/>
      <c r="N23" s="365"/>
      <c r="O23" s="365"/>
      <c r="P23" s="365"/>
      <c r="Q23" s="365"/>
      <c r="R23" s="366"/>
      <c r="S23" s="374" t="str">
        <f>IF($K$25="Español","ANIMADORAS",(IF($K$25="Deutsch","CHEERLEADER","CHEERLEADERS")))</f>
        <v>CHEERLEADERS</v>
      </c>
      <c r="T23" s="300"/>
      <c r="U23" s="300"/>
      <c r="V23" s="300"/>
      <c r="W23" s="301"/>
      <c r="X23" s="65">
        <v>0</v>
      </c>
      <c r="Y23" s="31" t="s">
        <v>127</v>
      </c>
      <c r="Z23" s="370">
        <v>10000</v>
      </c>
      <c r="AA23" s="371"/>
      <c r="AB23" s="32" t="str">
        <f t="shared" si="51"/>
        <v>gp</v>
      </c>
      <c r="AC23" s="372">
        <f t="shared" ref="AC23:AC31" si="54">IFERROR(X23*Z23,0)</f>
        <v>0</v>
      </c>
      <c r="AD23" s="301"/>
      <c r="AE23" s="374" t="str">
        <f>IF($K$25="Italiano","REROLLS ACQUISITI",(IF($K$25="Español","SEGUNDAS OPORTUNIDADES ADQUIRIDAS",(IF($K$25="Deutsch","GEKAUFTE WIEDERHOLUNGSWÜRFE",(IF($K$25="Français","RELANCES ACHETÉES","ACQUIRED REROLLS")))))))</f>
        <v>ACQUIRED REROLLS</v>
      </c>
      <c r="AF23" s="300"/>
      <c r="AG23" s="300"/>
      <c r="AH23" s="300"/>
      <c r="AI23" s="301"/>
      <c r="AJ23" s="65">
        <v>0</v>
      </c>
      <c r="AK23" s="31" t="s">
        <v>127</v>
      </c>
      <c r="AL23" s="370">
        <f>IFERROR((VLOOKUP(BP1,BM:BQ,5,0))*2,0)</f>
        <v>140000</v>
      </c>
      <c r="AM23" s="371"/>
      <c r="AN23" s="33" t="str">
        <f t="shared" si="52"/>
        <v>gp</v>
      </c>
      <c r="AO23" s="372">
        <f t="shared" si="53"/>
        <v>0</v>
      </c>
      <c r="AP23" s="301"/>
      <c r="AQ23" s="346"/>
      <c r="AR23" s="8"/>
      <c r="AS23" s="8"/>
      <c r="AT23" s="7"/>
      <c r="AU23" s="7"/>
      <c r="AV23" s="7"/>
      <c r="AW23" s="7"/>
      <c r="AX23" s="7"/>
      <c r="AY23" s="8"/>
      <c r="AZ23" s="8"/>
      <c r="BA23" s="8"/>
      <c r="BB23" s="8"/>
      <c r="BC23" s="8"/>
      <c r="BD23" s="8"/>
      <c r="BE23" s="8"/>
      <c r="BF23" s="8"/>
      <c r="BL23" s="8"/>
      <c r="BM23" s="8" t="s">
        <v>1375</v>
      </c>
      <c r="BN23" s="8" t="str">
        <f t="shared" si="29"/>
        <v>Norse GW</v>
      </c>
      <c r="BO23" s="8" t="s">
        <v>1375</v>
      </c>
      <c r="BP23" s="197"/>
      <c r="BQ23" s="197">
        <v>60000</v>
      </c>
      <c r="BR23" s="197">
        <v>50000</v>
      </c>
      <c r="BS23" s="197">
        <v>1</v>
      </c>
      <c r="BT23" s="215" t="str">
        <f>IF($J$24="Español","Clásica del Viejo Mundo o Elegido de Khorne o Caos",(IF($J$24="Deutsch","Alte-Welt-Klassiker o Auserwählte des Khorne o Chaos",(IF($J$24="Français","Classique du Vieux Monde o Favori de Khorne o Chaos","Old World Classic or Favoured of Khorne or Chaos")))))</f>
        <v>Old World Classic or Favoured of Khorne or Chaos</v>
      </c>
      <c r="BU23" s="215" t="s">
        <v>1427</v>
      </c>
      <c r="BV23" s="215"/>
      <c r="BX23" s="9"/>
      <c r="BY23" s="9"/>
      <c r="BZ23" s="8" t="s">
        <v>1375</v>
      </c>
      <c r="CA23" s="8" t="s">
        <v>1392</v>
      </c>
      <c r="CB23" s="59" t="s">
        <v>1391</v>
      </c>
      <c r="CC23" s="7" t="s">
        <v>1393</v>
      </c>
      <c r="CD23" s="8"/>
      <c r="CE23" s="7"/>
      <c r="CF23" s="8" t="s">
        <v>1375</v>
      </c>
      <c r="CG23" s="7" t="s">
        <v>157</v>
      </c>
      <c r="CH23" s="7" t="s">
        <v>134</v>
      </c>
      <c r="CI23" s="7" t="s">
        <v>132</v>
      </c>
      <c r="CJ23" s="8"/>
      <c r="CK23" s="8"/>
      <c r="CL23" s="8"/>
      <c r="CM23" s="8"/>
      <c r="CN23" s="8"/>
      <c r="CO23" s="8"/>
      <c r="CP23" s="8"/>
      <c r="CQ23" s="8"/>
      <c r="CR23" s="8"/>
      <c r="CS23" s="8"/>
      <c r="CT23" s="8"/>
      <c r="CU23" s="8"/>
      <c r="CV23" s="8"/>
      <c r="CW23" s="8"/>
      <c r="CX23" s="8"/>
      <c r="CY23" s="8"/>
      <c r="CZ23" s="8"/>
      <c r="DA23" s="8"/>
      <c r="DB23" s="8"/>
    </row>
    <row r="24" spans="1:107" ht="18.75" customHeight="1" x14ac:dyDescent="0.2">
      <c r="A24" s="326"/>
      <c r="B24" s="327"/>
      <c r="C24" s="327"/>
      <c r="D24" s="343" t="str">
        <f>IF($K$25="Italiano","ALLENATORE CAPO",(IF($K$25="Español","ENTRENADOR",(IF($K$25="Deutsch","CHEFTRAINER",(IF($K$25="Français","COACH","HEAD COACH")))))))</f>
        <v>HEAD COACH</v>
      </c>
      <c r="E24" s="344"/>
      <c r="F24" s="344"/>
      <c r="G24" s="344"/>
      <c r="H24" s="344"/>
      <c r="I24" s="344"/>
      <c r="J24" s="344"/>
      <c r="K24" s="367" t="s">
        <v>1832</v>
      </c>
      <c r="L24" s="368"/>
      <c r="M24" s="368"/>
      <c r="N24" s="368"/>
      <c r="O24" s="368"/>
      <c r="P24" s="368"/>
      <c r="Q24" s="368"/>
      <c r="R24" s="369"/>
      <c r="S24" s="374" t="str">
        <f>IF($K$25="Italiano","ASSISTENTI ALLENATORI",(IF($K$25="Español","AYUDANTES ENTRENADOR",(IF($K$25="Deutsch","TRAINERASSISTENTEN",(IF($K$25="Français","COACHS ASSIST","ASSISTANT COACHES")))))))</f>
        <v>ASSISTANT COACHES</v>
      </c>
      <c r="T24" s="300"/>
      <c r="U24" s="300"/>
      <c r="V24" s="300"/>
      <c r="W24" s="301"/>
      <c r="X24" s="65">
        <v>0</v>
      </c>
      <c r="Y24" s="31" t="s">
        <v>127</v>
      </c>
      <c r="Z24" s="370">
        <v>10000</v>
      </c>
      <c r="AA24" s="371"/>
      <c r="AB24" s="32" t="str">
        <f t="shared" si="51"/>
        <v>gp</v>
      </c>
      <c r="AC24" s="372">
        <f t="shared" si="54"/>
        <v>0</v>
      </c>
      <c r="AD24" s="301"/>
      <c r="AE24" s="373" t="str">
        <f>IF($K$25="Italiano","MAGO DEL CLIMA",(IF($K$25="Español","MAGO DEL TIEMPO",(IF($K$25="Deutsch","WETTERMAGIER",(IF($K$25="Français","MAGE MÉTÉO","WEATHER MAGE")))))))</f>
        <v>WEATHER MAGE</v>
      </c>
      <c r="AF24" s="300"/>
      <c r="AG24" s="300"/>
      <c r="AH24" s="300"/>
      <c r="AI24" s="301"/>
      <c r="AJ24" s="65">
        <v>0</v>
      </c>
      <c r="AK24" s="31" t="s">
        <v>127</v>
      </c>
      <c r="AL24" s="370">
        <v>30000</v>
      </c>
      <c r="AM24" s="371"/>
      <c r="AN24" s="32" t="str">
        <f t="shared" si="52"/>
        <v>gp</v>
      </c>
      <c r="AO24" s="372">
        <f t="shared" si="53"/>
        <v>0</v>
      </c>
      <c r="AP24" s="301"/>
      <c r="AQ24" s="346"/>
      <c r="AR24" s="7"/>
      <c r="AS24" s="8"/>
      <c r="AT24" s="7"/>
      <c r="AU24" s="7"/>
      <c r="AV24" s="7"/>
      <c r="AW24" s="7"/>
      <c r="AX24" s="7"/>
      <c r="AY24" s="8"/>
      <c r="AZ24" s="8"/>
      <c r="BA24" s="8"/>
      <c r="BB24" s="8"/>
      <c r="BC24" s="8"/>
      <c r="BD24" s="8"/>
      <c r="BE24" s="8"/>
      <c r="BF24" s="8"/>
      <c r="BL24" s="8"/>
      <c r="BM24" s="8" t="s">
        <v>133</v>
      </c>
      <c r="BN24" s="8" t="str">
        <f t="shared" si="29"/>
        <v>Nurgle</v>
      </c>
      <c r="BO24" s="8" t="s">
        <v>133</v>
      </c>
      <c r="BP24" s="197"/>
      <c r="BQ24" s="197">
        <v>70000</v>
      </c>
      <c r="BR24" s="197">
        <v>0</v>
      </c>
      <c r="BS24" s="197">
        <v>1</v>
      </c>
      <c r="BT24" s="215" t="str">
        <f>IF($J$24="Español","Elegido de Nurgle",(IF($J$24="Deutsch","Auserwählte des Nurgle",(IF($J$24="Français","Favori de Nurgle","Favoured of Nurgle")))))</f>
        <v>Favoured of Nurgle</v>
      </c>
      <c r="BU24" s="215" t="s">
        <v>55</v>
      </c>
      <c r="BV24" s="215"/>
      <c r="BW24" s="215"/>
      <c r="BX24" s="9"/>
      <c r="BY24" s="9"/>
      <c r="BZ24" s="8" t="s">
        <v>133</v>
      </c>
      <c r="CA24" s="8" t="s">
        <v>134</v>
      </c>
      <c r="CB24" s="59" t="s">
        <v>135</v>
      </c>
      <c r="CC24" s="7" t="s">
        <v>136</v>
      </c>
      <c r="CD24" s="8"/>
      <c r="CE24" s="7"/>
      <c r="CF24" s="7" t="s">
        <v>133</v>
      </c>
      <c r="CG24" s="7" t="s">
        <v>108</v>
      </c>
      <c r="CH24" s="7" t="s">
        <v>141</v>
      </c>
      <c r="CI24" s="7" t="s">
        <v>1393</v>
      </c>
      <c r="CJ24" s="8"/>
      <c r="CK24" s="8"/>
      <c r="CL24" s="8"/>
      <c r="CM24" s="8"/>
      <c r="CN24" s="8"/>
      <c r="CO24" s="8"/>
      <c r="CP24" s="8"/>
      <c r="CQ24" s="8"/>
      <c r="CR24" s="8"/>
      <c r="CS24" s="8"/>
      <c r="CT24" s="8"/>
      <c r="CU24" s="8"/>
      <c r="CV24" s="8"/>
      <c r="CW24" s="8"/>
      <c r="CX24" s="8"/>
      <c r="CY24" s="8"/>
      <c r="CZ24" s="8"/>
      <c r="DA24" s="8"/>
      <c r="DB24" s="8"/>
    </row>
    <row r="25" spans="1:107" ht="18.75" customHeight="1" x14ac:dyDescent="0.2">
      <c r="A25" s="326"/>
      <c r="B25" s="327"/>
      <c r="C25" s="327"/>
      <c r="D25" s="343" t="str">
        <f>IF($K$25="Italiano","LINGUA",(IF($K$25="Español","IDIOMA",(IF($K$25="Deutsch","SPRACHE",(IF($K$25="Français","LANGUE","LANGUAGE")))))))</f>
        <v>LANGUAGE</v>
      </c>
      <c r="E25" s="344"/>
      <c r="F25" s="344"/>
      <c r="G25" s="344"/>
      <c r="H25" s="344"/>
      <c r="I25" s="344"/>
      <c r="J25" s="344"/>
      <c r="K25" s="364" t="s">
        <v>148</v>
      </c>
      <c r="L25" s="365"/>
      <c r="M25" s="365"/>
      <c r="N25" s="365"/>
      <c r="O25" s="365"/>
      <c r="P25" s="365"/>
      <c r="Q25" s="365"/>
      <c r="R25" s="366"/>
      <c r="S25" s="373" t="str">
        <f>IF($K$25="Italiano","FUSTI DI BLOODWEISER",(IF($K$25="Español","BARRILES BLOODWEISER",(IF($K$25="Français","FÛTS DE BLOODWEISER","BLOODWEISER KEGS")))))</f>
        <v>BLOODWEISER KEGS</v>
      </c>
      <c r="T25" s="300"/>
      <c r="U25" s="300"/>
      <c r="V25" s="300"/>
      <c r="W25" s="301"/>
      <c r="X25" s="65">
        <v>0</v>
      </c>
      <c r="Y25" s="31" t="s">
        <v>127</v>
      </c>
      <c r="Z25" s="370">
        <v>50000</v>
      </c>
      <c r="AA25" s="371"/>
      <c r="AB25" s="32" t="str">
        <f t="shared" si="51"/>
        <v>gp</v>
      </c>
      <c r="AC25" s="372">
        <f t="shared" si="54"/>
        <v>0</v>
      </c>
      <c r="AD25" s="301"/>
      <c r="AE25" s="379" t="s">
        <v>149</v>
      </c>
      <c r="AF25" s="365"/>
      <c r="AG25" s="365"/>
      <c r="AH25" s="365"/>
      <c r="AI25" s="366"/>
      <c r="AJ25" s="65">
        <v>0</v>
      </c>
      <c r="AK25" s="31" t="s">
        <v>127</v>
      </c>
      <c r="AL25" s="370">
        <f>IFERROR((VLOOKUP(AE25,BI59:BJ85,2,FALSE)),0)</f>
        <v>0</v>
      </c>
      <c r="AM25" s="371"/>
      <c r="AN25" s="32" t="str">
        <f t="shared" si="52"/>
        <v>gp</v>
      </c>
      <c r="AO25" s="372">
        <f t="shared" si="53"/>
        <v>0</v>
      </c>
      <c r="AP25" s="301"/>
      <c r="AQ25" s="346"/>
      <c r="AR25" s="7"/>
      <c r="AS25" s="7"/>
      <c r="AT25" s="8"/>
      <c r="AU25" s="7"/>
      <c r="AV25" s="7"/>
      <c r="AW25" s="7"/>
      <c r="AX25" s="7"/>
      <c r="AY25" s="8"/>
      <c r="AZ25" s="8"/>
      <c r="BA25" s="8"/>
      <c r="BB25" s="8"/>
      <c r="BC25" s="8"/>
      <c r="BD25" s="8"/>
      <c r="BE25" s="8"/>
      <c r="BL25" s="8"/>
      <c r="BM25" s="8" t="s">
        <v>137</v>
      </c>
      <c r="BN25" s="8" t="str">
        <f t="shared" si="29"/>
        <v>Ogre</v>
      </c>
      <c r="BO25" s="8" t="s">
        <v>137</v>
      </c>
      <c r="BP25" s="197"/>
      <c r="BQ25" s="197">
        <v>70000</v>
      </c>
      <c r="BR25" s="197">
        <v>50000</v>
      </c>
      <c r="BS25" s="197">
        <v>6</v>
      </c>
      <c r="BT25" s="215" t="str">
        <f>IF($J$24="Español","Reyerta en las Yermas, Clásica del Viejo Mundo y Líneas Prescindibles",(IF($J$24="Deutsch","Düsterland-Rauferei, Alte-Welt-Klassiker, Billige Linemen",(IF($J$24="Français","Bagarre des Terres Arides, Classique du Vieux Monde et Linemen à Vil Prix","Badlands Brawl, Old World Classic and Low Cost Linemen")))))</f>
        <v>Badlands Brawl, Old World Classic and Low Cost Linemen</v>
      </c>
      <c r="BU25" s="215" t="s">
        <v>138</v>
      </c>
      <c r="BV25" s="215"/>
      <c r="BW25" s="215" t="s">
        <v>139</v>
      </c>
      <c r="BX25" s="9"/>
      <c r="BY25" s="9"/>
      <c r="BZ25" s="8" t="s">
        <v>137</v>
      </c>
      <c r="CA25" s="8" t="s">
        <v>140</v>
      </c>
      <c r="CB25" s="59" t="s">
        <v>141</v>
      </c>
      <c r="CC25" s="7" t="s">
        <v>142</v>
      </c>
      <c r="CD25" s="8"/>
      <c r="CE25" s="288"/>
      <c r="CF25" s="7" t="s">
        <v>137</v>
      </c>
      <c r="CG25" s="7" t="s">
        <v>130</v>
      </c>
      <c r="CH25" s="7" t="s">
        <v>146</v>
      </c>
      <c r="CI25" s="7" t="s">
        <v>136</v>
      </c>
      <c r="CJ25" s="8"/>
      <c r="CK25" s="8"/>
      <c r="CL25" s="8"/>
      <c r="CM25" s="8"/>
      <c r="CN25" s="8"/>
      <c r="CO25" s="8"/>
      <c r="CP25" s="8"/>
      <c r="CQ25" s="8"/>
      <c r="CR25" s="8"/>
      <c r="CS25" s="8"/>
      <c r="CT25" s="8"/>
      <c r="CU25" s="8"/>
      <c r="CV25" s="8"/>
      <c r="CW25" s="8"/>
      <c r="CX25" s="8"/>
      <c r="CY25" s="8"/>
      <c r="CZ25" s="8"/>
      <c r="DA25" s="8"/>
      <c r="DB25" s="8"/>
    </row>
    <row r="26" spans="1:107" ht="18.75" customHeight="1" x14ac:dyDescent="0.2">
      <c r="A26" s="326"/>
      <c r="B26" s="327"/>
      <c r="C26" s="327"/>
      <c r="D26" s="343" t="str">
        <f>IF($K$25="Italiano","NOME SQUADRA",(IF($K$25="Español","NOMBRE DEL EQUIPO",(IF($K$25="Français","NOM D’ÉQUIPE","TEAM NAME")))))</f>
        <v>TEAM NAME</v>
      </c>
      <c r="E26" s="344"/>
      <c r="F26" s="344"/>
      <c r="G26" s="344"/>
      <c r="H26" s="344"/>
      <c r="I26" s="344"/>
      <c r="J26" s="344"/>
      <c r="K26" s="410" t="s">
        <v>1831</v>
      </c>
      <c r="L26" s="411"/>
      <c r="M26" s="411"/>
      <c r="N26" s="411"/>
      <c r="O26" s="411"/>
      <c r="P26" s="411"/>
      <c r="Q26" s="411"/>
      <c r="R26" s="412"/>
      <c r="S26" s="374" t="str">
        <f>IF($K$25="Italiano","CARTE SPECIALI",(IF($K$25="Español","CARTA ESPECIAL",(IF($K$25="Deutsch","SONDERKARTEN",(IF($K$25="Français","CARTE SPECIALE","SPECIAL CARD")))))))</f>
        <v>SPECIAL CARD</v>
      </c>
      <c r="T26" s="300"/>
      <c r="U26" s="300"/>
      <c r="V26" s="300"/>
      <c r="W26" s="301"/>
      <c r="X26" s="65">
        <v>0</v>
      </c>
      <c r="Y26" s="31" t="s">
        <v>127</v>
      </c>
      <c r="Z26" s="370">
        <v>100000</v>
      </c>
      <c r="AA26" s="371"/>
      <c r="AB26" s="32" t="str">
        <f t="shared" si="51"/>
        <v>gp</v>
      </c>
      <c r="AC26" s="372">
        <f t="shared" si="54"/>
        <v>0</v>
      </c>
      <c r="AD26" s="301"/>
      <c r="AE26" s="379" t="s">
        <v>154</v>
      </c>
      <c r="AF26" s="365"/>
      <c r="AG26" s="365"/>
      <c r="AH26" s="365"/>
      <c r="AI26" s="366"/>
      <c r="AJ26" s="65">
        <v>0</v>
      </c>
      <c r="AK26" s="31" t="s">
        <v>127</v>
      </c>
      <c r="AL26" s="370">
        <f>IFERROR(VLOOKUP(AE26,BE59:BF85,2,FALSE),0)</f>
        <v>0</v>
      </c>
      <c r="AM26" s="371"/>
      <c r="AN26" s="32" t="str">
        <f t="shared" si="52"/>
        <v>gp</v>
      </c>
      <c r="AO26" s="372">
        <f t="shared" si="53"/>
        <v>0</v>
      </c>
      <c r="AP26" s="301"/>
      <c r="AQ26" s="346"/>
      <c r="AR26" s="7"/>
      <c r="AS26" s="7"/>
      <c r="AT26" s="8"/>
      <c r="AU26" s="8"/>
      <c r="AV26" s="8"/>
      <c r="AW26" s="8"/>
      <c r="AX26" s="8"/>
      <c r="AY26" s="8"/>
      <c r="AZ26" s="8"/>
      <c r="BA26" s="8"/>
      <c r="BB26" s="8"/>
      <c r="BC26" s="8"/>
      <c r="BD26" s="8"/>
      <c r="BE26" s="8"/>
      <c r="BF26" s="8"/>
      <c r="BG26" s="8"/>
      <c r="BH26" s="8"/>
      <c r="BL26" s="8"/>
      <c r="BM26" s="8" t="s">
        <v>143</v>
      </c>
      <c r="BN26" s="8" t="str">
        <f t="shared" si="29"/>
        <v>Old World Alliance</v>
      </c>
      <c r="BO26" s="8" t="s">
        <v>144</v>
      </c>
      <c r="BP26" s="197"/>
      <c r="BQ26" s="197">
        <v>70000</v>
      </c>
      <c r="BR26" s="197">
        <v>50000</v>
      </c>
      <c r="BS26" s="197">
        <v>1</v>
      </c>
      <c r="BT26" s="215" t="str">
        <f>IF($J$24="Español","Clásica del Viejo Mundo",(IF($J$24="Deutsch","Alte-Welt-Klassiker",(IF($J$24="Français","Classique du Vieux Monde","Old World Classic")))))</f>
        <v>Old World Classic</v>
      </c>
      <c r="BU26" s="215" t="s">
        <v>102</v>
      </c>
      <c r="BV26" s="215"/>
      <c r="BW26" s="215"/>
      <c r="BX26" s="9"/>
      <c r="BY26" s="9"/>
      <c r="BZ26" s="8" t="s">
        <v>143</v>
      </c>
      <c r="CA26" s="8" t="s">
        <v>145</v>
      </c>
      <c r="CB26" s="59" t="s">
        <v>146</v>
      </c>
      <c r="CC26" s="7" t="s">
        <v>147</v>
      </c>
      <c r="CD26" s="8"/>
      <c r="CE26" s="7"/>
      <c r="CF26" s="7" t="s">
        <v>143</v>
      </c>
      <c r="CG26" s="8" t="s">
        <v>1392</v>
      </c>
      <c r="CH26" s="7" t="s">
        <v>152</v>
      </c>
      <c r="CI26" s="7" t="s">
        <v>142</v>
      </c>
      <c r="CJ26" s="8"/>
      <c r="CK26" s="8"/>
      <c r="CL26" s="8"/>
      <c r="CM26" s="8"/>
      <c r="CN26" s="8"/>
      <c r="CO26" s="8"/>
      <c r="CP26" s="8"/>
      <c r="CQ26" s="8"/>
      <c r="CR26" s="8"/>
      <c r="CS26" s="8"/>
      <c r="CT26" s="8"/>
      <c r="CU26" s="8"/>
      <c r="CV26" s="8"/>
      <c r="CW26" s="8"/>
      <c r="CX26" s="8"/>
      <c r="CY26" s="8"/>
      <c r="CZ26" s="8"/>
      <c r="DA26" s="8"/>
      <c r="DB26" s="8"/>
    </row>
    <row r="27" spans="1:107" ht="18.75" customHeight="1" x14ac:dyDescent="0.2">
      <c r="A27" s="326"/>
      <c r="B27" s="327"/>
      <c r="C27" s="327"/>
      <c r="D27" s="343" t="str">
        <f>IF($K$25="Italiano","TIFOSI SFEGATATI",(IF($K$25="Español","FANS DEDICADOS",(IF($K$25="Deutsch","TREUE FANS",(IF($K$25="Français","FANS DÉVOUÉS","DEDICATED FANS")))))))</f>
        <v>DEDICATED FANS</v>
      </c>
      <c r="E27" s="344"/>
      <c r="F27" s="344"/>
      <c r="G27" s="344"/>
      <c r="H27" s="344"/>
      <c r="I27" s="344"/>
      <c r="J27" s="344"/>
      <c r="K27" s="310">
        <f>X21+Games!X2+Games!AC2</f>
        <v>1</v>
      </c>
      <c r="L27" s="311"/>
      <c r="M27" s="311"/>
      <c r="N27" s="311"/>
      <c r="O27" s="311"/>
      <c r="P27" s="311"/>
      <c r="Q27" s="311"/>
      <c r="R27" s="312"/>
      <c r="S27" s="380" t="str">
        <f>IF($K$25="Italiano","CHEERLEADERS AG. INT.",(IF($K$25="Español","ANIMADORAS TEMP.",(IF($K$25="Deutsch","ZEITARBEITS-CHEERLEADER",(IF($K$25="Français","CHEERLEADERS INTERIM.","TEMP. CHEERLEADERS")))))))</f>
        <v>TEMP. CHEERLEADERS</v>
      </c>
      <c r="T27" s="334"/>
      <c r="U27" s="334"/>
      <c r="V27" s="334"/>
      <c r="W27" s="381"/>
      <c r="X27" s="66">
        <v>0</v>
      </c>
      <c r="Y27" s="34" t="s">
        <v>127</v>
      </c>
      <c r="Z27" s="382">
        <v>20000</v>
      </c>
      <c r="AA27" s="336"/>
      <c r="AB27" s="35" t="str">
        <f t="shared" si="51"/>
        <v>gp</v>
      </c>
      <c r="AC27" s="372">
        <f t="shared" si="54"/>
        <v>0</v>
      </c>
      <c r="AD27" s="301"/>
      <c r="AE27" s="376" t="s">
        <v>154</v>
      </c>
      <c r="AF27" s="365"/>
      <c r="AG27" s="365"/>
      <c r="AH27" s="365"/>
      <c r="AI27" s="366"/>
      <c r="AJ27" s="65">
        <v>0</v>
      </c>
      <c r="AK27" s="31" t="s">
        <v>127</v>
      </c>
      <c r="AL27" s="370">
        <f>IFERROR(VLOOKUP(AE27,BE59:BF85,2,FALSE),0)</f>
        <v>0</v>
      </c>
      <c r="AM27" s="371"/>
      <c r="AN27" s="32" t="str">
        <f t="shared" si="52"/>
        <v>gp</v>
      </c>
      <c r="AO27" s="372">
        <f t="shared" si="53"/>
        <v>0</v>
      </c>
      <c r="AP27" s="301"/>
      <c r="AQ27" s="346"/>
      <c r="AR27" s="7"/>
      <c r="AS27" s="7"/>
      <c r="AT27" s="8"/>
      <c r="AU27" s="7"/>
      <c r="AV27" s="7"/>
      <c r="AW27" s="7"/>
      <c r="AX27" s="7"/>
      <c r="AY27" s="8"/>
      <c r="AZ27" s="8"/>
      <c r="BB27" s="8"/>
      <c r="BC27" s="8"/>
      <c r="BD27" s="8"/>
      <c r="BE27" s="8"/>
      <c r="BL27" s="8"/>
      <c r="BM27" s="8" t="s">
        <v>150</v>
      </c>
      <c r="BN27" s="8" t="str">
        <f t="shared" si="29"/>
        <v>Orc</v>
      </c>
      <c r="BO27" s="8" t="s">
        <v>150</v>
      </c>
      <c r="BP27" s="197"/>
      <c r="BQ27" s="197">
        <v>60000</v>
      </c>
      <c r="BR27" s="197">
        <v>50000</v>
      </c>
      <c r="BS27" s="197">
        <v>1</v>
      </c>
      <c r="BT27" s="215" t="str">
        <f>IF($J$24="Español","Reyerta en las Yermas",(IF($J$24="Deutsch","Düsterland-Rauferei",(IF($J$24="Français","Bagarre des Terres Arides","Badlands Brawl")))))</f>
        <v>Badlands Brawl</v>
      </c>
      <c r="BU27" s="215" t="s">
        <v>48</v>
      </c>
      <c r="BV27" s="215"/>
      <c r="BW27" s="215"/>
      <c r="BX27" s="9"/>
      <c r="BY27" s="9"/>
      <c r="BZ27" s="8" t="s">
        <v>150</v>
      </c>
      <c r="CA27" s="8" t="s">
        <v>151</v>
      </c>
      <c r="CB27" s="59" t="s">
        <v>152</v>
      </c>
      <c r="CC27" s="7" t="s">
        <v>153</v>
      </c>
      <c r="CD27" s="8"/>
      <c r="CE27" s="7"/>
      <c r="CF27" s="7" t="s">
        <v>150</v>
      </c>
      <c r="CG27" s="7" t="s">
        <v>134</v>
      </c>
      <c r="CH27" s="7" t="s">
        <v>158</v>
      </c>
      <c r="CI27" s="7" t="s">
        <v>153</v>
      </c>
      <c r="CJ27" s="8"/>
      <c r="CK27" s="8"/>
      <c r="CL27" s="8"/>
      <c r="CM27" s="8"/>
      <c r="CN27" s="8"/>
      <c r="CO27" s="8"/>
      <c r="CP27" s="8"/>
      <c r="CQ27" s="8"/>
      <c r="CR27" s="8"/>
      <c r="CS27" s="8"/>
      <c r="CT27" s="8"/>
      <c r="CU27" s="8"/>
      <c r="CV27" s="8"/>
      <c r="CW27" s="8"/>
      <c r="CX27" s="8"/>
      <c r="CY27" s="8"/>
      <c r="CZ27" s="8"/>
      <c r="DA27" s="8"/>
      <c r="DB27" s="8"/>
    </row>
    <row r="28" spans="1:107" ht="18.75" customHeight="1" x14ac:dyDescent="0.2">
      <c r="A28" s="326"/>
      <c r="B28" s="327"/>
      <c r="C28" s="327"/>
      <c r="D28" s="343" t="str">
        <f>IF($K$25="Italiano","COSTI INCENTIVI &amp; EXTRA",(IF($K$25="Español","COSTE INCENTIVOS Y EXTRAS",(IF($K$25="Deutsch","GESAMTER TEAMWERT &amp; EXTRAS",(IF($K$25="Français","COUPS DE POUCES &amp; STAFF","COST INDUCEMENTS &amp; EXTRAS")))))))</f>
        <v>COST INDUCEMENTS &amp; EXTRAS</v>
      </c>
      <c r="E28" s="344"/>
      <c r="F28" s="344"/>
      <c r="G28" s="344"/>
      <c r="H28" s="344"/>
      <c r="I28" s="344"/>
      <c r="J28" s="344"/>
      <c r="K28" s="375">
        <f>(SUM(AC21:AD31,AO22:AP31,AO18:AP20))/1000</f>
        <v>260</v>
      </c>
      <c r="L28" s="300"/>
      <c r="M28" s="300"/>
      <c r="N28" s="371"/>
      <c r="O28" s="36" t="str">
        <f>IF($K$25="Español","k mo",(IF($K$25="Deutsch","k gm",(IF($K$25="Français","k po","k gp")))))</f>
        <v>k gp</v>
      </c>
      <c r="P28" s="36"/>
      <c r="Q28" s="36"/>
      <c r="R28" s="37"/>
      <c r="S28" s="374" t="str">
        <f>IF($K$25="Italiano","ASSISTENTI ALLENATORI P.T.",(IF($K$25="Español","AYUDANTES ENTRENADOR T.P.",(IF($K$25="Deutsch","TEILZEIT-TRAINERASSISTENTEN",(IF($K$25="Français","COACHS ASSIST INTERIM.","P.T. ASSISTANT COACHES")))))))</f>
        <v>P.T. ASSISTANT COACHES</v>
      </c>
      <c r="T28" s="300"/>
      <c r="U28" s="300"/>
      <c r="V28" s="300"/>
      <c r="W28" s="301"/>
      <c r="X28" s="65">
        <v>0</v>
      </c>
      <c r="Y28" s="31" t="s">
        <v>127</v>
      </c>
      <c r="Z28" s="370">
        <v>20000</v>
      </c>
      <c r="AA28" s="371"/>
      <c r="AB28" s="32" t="str">
        <f t="shared" si="51"/>
        <v>gp</v>
      </c>
      <c r="AC28" s="372">
        <f t="shared" si="54"/>
        <v>0</v>
      </c>
      <c r="AD28" s="301"/>
      <c r="AE28" s="376" t="s">
        <v>164</v>
      </c>
      <c r="AF28" s="365"/>
      <c r="AG28" s="365"/>
      <c r="AH28" s="365"/>
      <c r="AI28" s="366"/>
      <c r="AJ28" s="65">
        <v>0</v>
      </c>
      <c r="AK28" s="31" t="s">
        <v>127</v>
      </c>
      <c r="AL28" s="370">
        <f>IFERROR(VLOOKUP(AE28,BM59:BN85,2,FALSE),0)</f>
        <v>0</v>
      </c>
      <c r="AM28" s="371"/>
      <c r="AN28" s="32" t="str">
        <f t="shared" si="52"/>
        <v>gp</v>
      </c>
      <c r="AO28" s="372">
        <f t="shared" si="53"/>
        <v>0</v>
      </c>
      <c r="AP28" s="301"/>
      <c r="AQ28" s="346"/>
      <c r="AR28" s="7"/>
      <c r="AS28" s="7"/>
      <c r="AT28" s="8"/>
      <c r="AU28" s="7"/>
      <c r="AV28" s="7"/>
      <c r="AW28" s="7"/>
      <c r="AX28" s="7"/>
      <c r="AY28" s="8"/>
      <c r="AZ28" s="8"/>
      <c r="BB28" s="8"/>
      <c r="BC28" s="8"/>
      <c r="BD28" s="8"/>
      <c r="BE28" s="8"/>
      <c r="BL28" s="8"/>
      <c r="BM28" s="8" t="s">
        <v>155</v>
      </c>
      <c r="BN28" s="8" t="str">
        <f t="shared" si="29"/>
        <v>Shambling Undead</v>
      </c>
      <c r="BO28" s="8" t="s">
        <v>156</v>
      </c>
      <c r="BP28" s="197"/>
      <c r="BQ28" s="197">
        <v>70000</v>
      </c>
      <c r="BR28" s="197">
        <v>0</v>
      </c>
      <c r="BS28" s="197">
        <v>0</v>
      </c>
      <c r="BT28" s="215" t="str">
        <f>IF($J$24="Español","Señores de los No Muertos, Selectiva de Sylvania",(IF($J$24="Deutsch","Masters of Undeath, Sylvanisches Rampenlicht",(IF($J$24="Français","Masters of Undeath, Spot de Sylvanie","Masters of Undeath, Sylvanian Spotlight")))))</f>
        <v>Masters of Undeath, Sylvanian Spotlight</v>
      </c>
      <c r="BU28" s="215" t="s">
        <v>121</v>
      </c>
      <c r="BV28" s="215" t="s">
        <v>122</v>
      </c>
      <c r="BW28" s="215"/>
      <c r="BX28" s="9"/>
      <c r="BY28" s="9"/>
      <c r="BZ28" s="8" t="s">
        <v>155</v>
      </c>
      <c r="CA28" s="8" t="s">
        <v>157</v>
      </c>
      <c r="CB28" s="59" t="s">
        <v>158</v>
      </c>
      <c r="CC28" s="7" t="s">
        <v>159</v>
      </c>
      <c r="CD28" s="8"/>
      <c r="CE28" s="7"/>
      <c r="CF28" s="7" t="s">
        <v>155</v>
      </c>
      <c r="CG28" s="7" t="s">
        <v>140</v>
      </c>
      <c r="CH28" s="7" t="s">
        <v>162</v>
      </c>
      <c r="CI28" s="7" t="s">
        <v>52</v>
      </c>
      <c r="CJ28" s="8"/>
      <c r="CK28" s="8"/>
      <c r="CL28" s="8"/>
      <c r="CM28" s="8"/>
      <c r="CN28" s="8"/>
      <c r="CO28" s="8"/>
      <c r="CP28" s="8"/>
      <c r="CQ28" s="8"/>
      <c r="CR28" s="8"/>
      <c r="CS28" s="8"/>
      <c r="CT28" s="8"/>
      <c r="CU28" s="8"/>
      <c r="CV28" s="8"/>
      <c r="CW28" s="8"/>
      <c r="CX28" s="8"/>
      <c r="CY28" s="8"/>
      <c r="CZ28" s="8"/>
      <c r="DA28" s="8"/>
      <c r="DB28" s="8"/>
    </row>
    <row r="29" spans="1:107" ht="18.75" customHeight="1" x14ac:dyDescent="0.2">
      <c r="A29" s="326"/>
      <c r="B29" s="327"/>
      <c r="C29" s="327"/>
      <c r="D29" s="343" t="str">
        <f>IF($K$25="Italiano","COSTO GIOCATORI",(IF($K$25="Español","PRECIO JUGADORES",(IF($K$25="Deutsch","WERT SPIELER",(IF($K$25="Français","VALEUR DES JOUEURS","COST PLAYERS")))))))</f>
        <v>COST PLAYERS</v>
      </c>
      <c r="E29" s="344"/>
      <c r="F29" s="344"/>
      <c r="G29" s="344"/>
      <c r="H29" s="344"/>
      <c r="I29" s="344"/>
      <c r="J29" s="344"/>
      <c r="K29" s="375">
        <f>(SUM(AO2:AP17))/1000</f>
        <v>825</v>
      </c>
      <c r="L29" s="300"/>
      <c r="M29" s="300"/>
      <c r="N29" s="371"/>
      <c r="O29" s="383" t="str">
        <f>IF($K$25="Español","k mo",(IF($K$25="Deutsch","k gm",(IF($K$25="Français","k po","k gp")))))</f>
        <v>k gp</v>
      </c>
      <c r="P29" s="300"/>
      <c r="Q29" s="300"/>
      <c r="R29" s="301"/>
      <c r="S29" s="374" t="str">
        <f>IF($K$25="Italiano","MAZZETTE",(IF($K$25="Español","SOBORNOS",(IF($K$25="Deutsch","BESTECHUNGEN",(IF($K$25="Français","POTS-DE-VIN","BRIBES")))))))</f>
        <v>BRIBES</v>
      </c>
      <c r="T29" s="300"/>
      <c r="U29" s="300"/>
      <c r="V29" s="300"/>
      <c r="W29" s="301"/>
      <c r="X29" s="65">
        <v>0</v>
      </c>
      <c r="Y29" s="31" t="s">
        <v>127</v>
      </c>
      <c r="Z29" s="370">
        <f>IFERROR(IF(BW2="Bribery and Corruption",50000,100000),100000)</f>
        <v>100000</v>
      </c>
      <c r="AA29" s="371"/>
      <c r="AB29" s="32" t="str">
        <f t="shared" si="51"/>
        <v>gp</v>
      </c>
      <c r="AC29" s="372">
        <f t="shared" si="54"/>
        <v>0</v>
      </c>
      <c r="AD29" s="301"/>
      <c r="AE29" s="376" t="s">
        <v>170</v>
      </c>
      <c r="AF29" s="365"/>
      <c r="AG29" s="365"/>
      <c r="AH29" s="365"/>
      <c r="AI29" s="366"/>
      <c r="AJ29" s="65">
        <v>0</v>
      </c>
      <c r="AK29" s="31" t="s">
        <v>127</v>
      </c>
      <c r="AL29" s="370">
        <f>IFERROR(VLOOKUP(AE29,BP60:BQ86,2,FALSE),0)</f>
        <v>0</v>
      </c>
      <c r="AM29" s="371"/>
      <c r="AN29" s="32" t="str">
        <f t="shared" si="52"/>
        <v>gp</v>
      </c>
      <c r="AO29" s="372">
        <f t="shared" si="53"/>
        <v>0</v>
      </c>
      <c r="AP29" s="301"/>
      <c r="AQ29" s="346"/>
      <c r="AR29" s="7"/>
      <c r="AS29" s="7"/>
      <c r="AT29" s="8"/>
      <c r="AU29" s="7"/>
      <c r="AV29" s="7"/>
      <c r="AW29" s="7"/>
      <c r="AX29" s="7"/>
      <c r="AY29" s="8"/>
      <c r="AZ29" s="8"/>
      <c r="BB29" s="8"/>
      <c r="BC29" s="8"/>
      <c r="BD29" s="8"/>
      <c r="BE29" s="8"/>
      <c r="BL29" s="8"/>
      <c r="BM29" s="8" t="s">
        <v>160</v>
      </c>
      <c r="BN29" s="8" t="str">
        <f t="shared" si="29"/>
        <v>Slann</v>
      </c>
      <c r="BO29" s="8" t="s">
        <v>160</v>
      </c>
      <c r="BP29" s="197"/>
      <c r="BQ29" s="197">
        <v>50000</v>
      </c>
      <c r="BR29" s="197">
        <v>50000</v>
      </c>
      <c r="BS29" s="197">
        <v>1</v>
      </c>
      <c r="BT29" s="215" t="str">
        <f>IF($J$24="Español","Superliga Lustriana",(IF($J$24="Deutsch","Lustria-Superliga",(IF($J$24="Français","Super-Ligue de Lustrie","Lustrian Superleague")))))</f>
        <v>Lustrian Superleague</v>
      </c>
      <c r="BU29" s="215" t="s">
        <v>42</v>
      </c>
      <c r="BV29" s="215"/>
      <c r="BW29" s="215"/>
      <c r="BX29" s="9"/>
      <c r="BY29" s="9"/>
      <c r="BZ29" s="8" t="s">
        <v>160</v>
      </c>
      <c r="CA29" s="8" t="s">
        <v>161</v>
      </c>
      <c r="CB29" s="59" t="s">
        <v>162</v>
      </c>
      <c r="CC29" s="7" t="s">
        <v>163</v>
      </c>
      <c r="CD29" s="7"/>
      <c r="CE29" s="7"/>
      <c r="CF29" s="7" t="s">
        <v>160</v>
      </c>
      <c r="CG29" s="7" t="s">
        <v>151</v>
      </c>
      <c r="CH29" s="7" t="s">
        <v>168</v>
      </c>
      <c r="CI29" s="7" t="s">
        <v>69</v>
      </c>
      <c r="CJ29" s="8"/>
      <c r="CK29" s="8"/>
      <c r="CL29" s="8"/>
      <c r="CM29" s="8"/>
      <c r="CN29" s="8"/>
      <c r="CO29" s="8"/>
      <c r="CP29" s="8"/>
      <c r="CQ29" s="8"/>
      <c r="CR29" s="8"/>
      <c r="CS29" s="8"/>
      <c r="CT29" s="8"/>
      <c r="CU29" s="8"/>
      <c r="CV29" s="8"/>
      <c r="CW29" s="8"/>
      <c r="CX29" s="8"/>
      <c r="CY29" s="8"/>
      <c r="CZ29" s="8"/>
      <c r="DA29" s="8"/>
      <c r="DB29" s="8"/>
    </row>
    <row r="30" spans="1:107" ht="18.75" customHeight="1" x14ac:dyDescent="0.2">
      <c r="A30" s="326"/>
      <c r="B30" s="327"/>
      <c r="C30" s="327"/>
      <c r="D30" s="343" t="str">
        <f>IF($K$25="Italiano","COSTO TOTALE SQUADRA",(IF($K$25="Español","PRECIO TOTAL EQUIPO",(IF($K$25="Deutsch","GESAMTER TEAMWERT",(IF($K$25="Français","VALEUR D’ÉQUIPE","TOTAL TEAM COST")))))))</f>
        <v>TOTAL TEAM COST</v>
      </c>
      <c r="E30" s="344"/>
      <c r="F30" s="344"/>
      <c r="G30" s="344"/>
      <c r="H30" s="344"/>
      <c r="I30" s="344"/>
      <c r="J30" s="344"/>
      <c r="K30" s="375">
        <f>K28+K29</f>
        <v>1085</v>
      </c>
      <c r="L30" s="300"/>
      <c r="M30" s="300"/>
      <c r="N30" s="371"/>
      <c r="O30" s="383" t="str">
        <f>IF($K$25="Español","k mo",(IF($K$25="Deutsch","k gm",(IF($K$25="Français","k po","k gp")))))</f>
        <v>k gp</v>
      </c>
      <c r="P30" s="300"/>
      <c r="Q30" s="300"/>
      <c r="R30" s="301"/>
      <c r="S30" s="374" t="str">
        <f>IF($K$25="Italiano","CAPOCUOCO",(IF($K$25="Español","MASTER CHEF",(IF($K$25="Deutsch","HALBLING-MEISTERKOCH",(IF($K$25="Français","CHEF CUISTOT","MASTER CHEF")))))))</f>
        <v>MASTER CHEF</v>
      </c>
      <c r="T30" s="300"/>
      <c r="U30" s="300"/>
      <c r="V30" s="300"/>
      <c r="W30" s="301"/>
      <c r="X30" s="65">
        <v>0</v>
      </c>
      <c r="Y30" s="31" t="s">
        <v>127</v>
      </c>
      <c r="Z30" s="370">
        <f>IFERROR(IF(OR(BP1="Halfling",BP1="Halflings",BP1="Halflinge"),100000,300000),300000)</f>
        <v>300000</v>
      </c>
      <c r="AA30" s="371"/>
      <c r="AB30" s="33" t="str">
        <f t="shared" si="51"/>
        <v>gp</v>
      </c>
      <c r="AC30" s="372">
        <f t="shared" si="54"/>
        <v>0</v>
      </c>
      <c r="AD30" s="301"/>
      <c r="AE30" s="374" t="str">
        <f>IF($K$25="Italiano","ALLENAMIENTO INTENSIVO",(IF($K$25="Español","ENTRENAMIENTO EXTRA",(IF($K$25="Deutsch","ZUSÄTZLICHES TRAINING",(IF($K$25="Français","ENTRAÎNEMENT SUPP.","EXTRA TEAM TRAINING")))))))</f>
        <v>EXTRA TEAM TRAINING</v>
      </c>
      <c r="AF30" s="300"/>
      <c r="AG30" s="300"/>
      <c r="AH30" s="300"/>
      <c r="AI30" s="301"/>
      <c r="AJ30" s="65">
        <v>0</v>
      </c>
      <c r="AK30" s="31" t="s">
        <v>127</v>
      </c>
      <c r="AL30" s="370">
        <v>100000</v>
      </c>
      <c r="AM30" s="371"/>
      <c r="AN30" s="33" t="str">
        <f t="shared" si="52"/>
        <v>gp</v>
      </c>
      <c r="AO30" s="372">
        <f t="shared" si="53"/>
        <v>0</v>
      </c>
      <c r="AP30" s="301"/>
      <c r="AQ30" s="346"/>
      <c r="AR30" s="7"/>
      <c r="AS30" s="8"/>
      <c r="AT30" s="8"/>
      <c r="AU30" s="8"/>
      <c r="AV30" s="8"/>
      <c r="AW30" s="8"/>
      <c r="AX30" s="8"/>
      <c r="AY30" s="8"/>
      <c r="AZ30" s="8"/>
      <c r="BB30" s="8"/>
      <c r="BC30" s="8"/>
      <c r="BD30" s="8"/>
      <c r="BE30" s="8"/>
      <c r="BL30" s="8"/>
      <c r="BM30" s="8" t="s">
        <v>165</v>
      </c>
      <c r="BN30" s="8" t="str">
        <f t="shared" si="29"/>
        <v>Skaven</v>
      </c>
      <c r="BO30" s="8" t="s">
        <v>165</v>
      </c>
      <c r="BP30" s="197"/>
      <c r="BQ30" s="197">
        <v>50000</v>
      </c>
      <c r="BR30" s="197">
        <v>50000</v>
      </c>
      <c r="BS30" s="197">
        <v>1</v>
      </c>
      <c r="BT30" s="215" t="str">
        <f>IF($J$24="Español","Reto del Inframundo",(IF($J$24="Deutsch","Unterwelt-Herausforderung",(IF($J$24="Français","Défi des Bas-Fonds","Underworld Challenge")))))</f>
        <v>Underworld Challenge</v>
      </c>
      <c r="BU30" s="215" t="s">
        <v>166</v>
      </c>
      <c r="BV30" s="215"/>
      <c r="BW30" s="215"/>
      <c r="BX30" s="9"/>
      <c r="BY30" s="9"/>
      <c r="BZ30" s="8" t="s">
        <v>165</v>
      </c>
      <c r="CA30" s="8" t="s">
        <v>167</v>
      </c>
      <c r="CB30" s="59" t="s">
        <v>168</v>
      </c>
      <c r="CC30" s="7" t="s">
        <v>169</v>
      </c>
      <c r="CD30" s="7"/>
      <c r="CE30" s="7"/>
      <c r="CF30" s="7" t="s">
        <v>165</v>
      </c>
      <c r="CG30" s="7" t="s">
        <v>50</v>
      </c>
      <c r="CH30" s="7" t="s">
        <v>173</v>
      </c>
      <c r="CI30" s="7" t="s">
        <v>179</v>
      </c>
      <c r="CJ30" s="8"/>
      <c r="CK30" s="8"/>
      <c r="CL30" s="8"/>
      <c r="CM30" s="8"/>
      <c r="CN30" s="8"/>
      <c r="CO30" s="8"/>
      <c r="CP30" s="8"/>
      <c r="CQ30" s="8"/>
      <c r="CR30" s="8"/>
      <c r="CS30" s="8"/>
      <c r="CT30" s="8"/>
      <c r="CU30" s="8"/>
      <c r="CV30" s="8"/>
      <c r="CW30" s="8"/>
      <c r="CX30" s="8"/>
      <c r="CY30" s="8"/>
      <c r="CZ30" s="8"/>
      <c r="DA30" s="8"/>
      <c r="DB30" s="8"/>
    </row>
    <row r="31" spans="1:107" ht="18.75" customHeight="1" x14ac:dyDescent="0.2">
      <c r="A31" s="326"/>
      <c r="B31" s="327"/>
      <c r="C31" s="327"/>
      <c r="D31" s="343" t="str">
        <f>IF($K$25="Italiano","TESORERIA",(IF($K$25="Español","TESORERÍA",(IF($K$25="Deutsch","TEAMKASSE",(IF($K$25="Français","TRÉSORERIE","TREASURY")))))))</f>
        <v>TREASURY</v>
      </c>
      <c r="E31" s="344"/>
      <c r="F31" s="344"/>
      <c r="G31" s="344"/>
      <c r="H31" s="344"/>
      <c r="I31" s="344"/>
      <c r="J31" s="344"/>
      <c r="K31" s="375">
        <f>(((Games!AC3+Games!Z2-Games!Y2)+(SUM(AH37:AI52))-(SUM(AB37:AC52))-(SUM('Dead &amp; Retired Players'!AJ3:AK32)))/1000)-K30</f>
        <v>120</v>
      </c>
      <c r="L31" s="300"/>
      <c r="M31" s="300"/>
      <c r="N31" s="371"/>
      <c r="O31" s="383" t="str">
        <f>IF($K$25="Español","k mo",(IF($K$25="Deutsch","k gm",(IF($K$25="Français","k po","k gp")))))</f>
        <v>k gp</v>
      </c>
      <c r="P31" s="300"/>
      <c r="Q31" s="300"/>
      <c r="R31" s="301"/>
      <c r="S31" s="400" t="str">
        <f>IF($K$25="Italiano","ESORDIENTI RIBELLI",(IF($K$25="Español","NOVATOS ALBOROTADORES",(IF($K$25="Deutsch","RANDALIERENDE NEULINGE",(IF($K$25="Français","DÉBUTANTS DÉCHAINÉS","RIOTOUS ROOKIES")))))))</f>
        <v>RIOTOUS ROOKIES</v>
      </c>
      <c r="T31" s="300"/>
      <c r="U31" s="300"/>
      <c r="V31" s="300"/>
      <c r="W31" s="301"/>
      <c r="X31" s="65">
        <v>0</v>
      </c>
      <c r="Y31" s="31" t="s">
        <v>127</v>
      </c>
      <c r="Z31" s="370">
        <f>IFERROR(IF(BX2="LowCost",100000,0),0)</f>
        <v>100000</v>
      </c>
      <c r="AA31" s="371"/>
      <c r="AB31" s="33" t="str">
        <f t="shared" si="51"/>
        <v>gp</v>
      </c>
      <c r="AC31" s="372">
        <f t="shared" si="54"/>
        <v>0</v>
      </c>
      <c r="AD31" s="301"/>
      <c r="AE31" s="374" t="str">
        <f>IF($K$25="Italiano","MEDICI VAGABONDI",(IF($K$25="Español","MÉDICO ERRANTE",(IF($K$25="Deutsch","WANDERNDER SANITÄTER",(IF($K$25="Français","APO ITINÉRANT","WANDERING APO")))))))</f>
        <v>WANDERING APO</v>
      </c>
      <c r="AF31" s="300"/>
      <c r="AG31" s="300"/>
      <c r="AH31" s="300"/>
      <c r="AI31" s="301"/>
      <c r="AJ31" s="65">
        <v>0</v>
      </c>
      <c r="AK31" s="31" t="s">
        <v>127</v>
      </c>
      <c r="AL31" s="370">
        <f>IFERROR(IF(Z22=0,0,100000),0)</f>
        <v>100000</v>
      </c>
      <c r="AM31" s="371"/>
      <c r="AN31" s="33" t="str">
        <f t="shared" si="52"/>
        <v>gp</v>
      </c>
      <c r="AO31" s="372">
        <f t="shared" si="53"/>
        <v>0</v>
      </c>
      <c r="AP31" s="301"/>
      <c r="AQ31" s="346"/>
      <c r="AR31" s="7"/>
      <c r="AS31" s="7"/>
      <c r="AT31" s="8"/>
      <c r="AU31" s="7"/>
      <c r="AV31" s="7"/>
      <c r="AW31" s="7"/>
      <c r="AX31" s="7"/>
      <c r="AY31" s="8"/>
      <c r="AZ31" s="8"/>
      <c r="BD31" s="8"/>
      <c r="BE31" s="8"/>
      <c r="BL31" s="8"/>
      <c r="BM31" s="8" t="s">
        <v>171</v>
      </c>
      <c r="BN31" s="8" t="str">
        <f t="shared" si="29"/>
        <v>Snotling</v>
      </c>
      <c r="BO31" s="8" t="s">
        <v>171</v>
      </c>
      <c r="BP31" s="197"/>
      <c r="BQ31" s="197">
        <v>60000</v>
      </c>
      <c r="BR31" s="197">
        <v>50000</v>
      </c>
      <c r="BS31" s="197">
        <v>4</v>
      </c>
      <c r="BT31" s="215" t="str">
        <f>IF($J$24="Español","Reto del Inframundo, Sobornos y Corrupción y Líneas Prescindibles",(IF($J$24="Deutsch","Unterwelt-Herausforderung, Bestechung und Korruption, Billige Linemen",(IF($J$24="Français","Défi des Bas-Fonds, Chantage &amp; Corruption et Linemen à Vil Prix","Underworld Challenge, Bribery and Corruption and Low Cost Linemen")))))</f>
        <v>Underworld Challenge, Bribery and Corruption and Low Cost Linemen</v>
      </c>
      <c r="BU31" s="215" t="s">
        <v>166</v>
      </c>
      <c r="BV31" s="215" t="s">
        <v>49</v>
      </c>
      <c r="BW31" s="215" t="s">
        <v>139</v>
      </c>
      <c r="BX31" s="9"/>
      <c r="BY31" s="9"/>
      <c r="BZ31" s="8" t="s">
        <v>171</v>
      </c>
      <c r="CA31" s="8" t="s">
        <v>172</v>
      </c>
      <c r="CB31" s="59" t="s">
        <v>173</v>
      </c>
      <c r="CC31" s="7" t="s">
        <v>174</v>
      </c>
      <c r="CD31" s="7"/>
      <c r="CE31" s="7"/>
      <c r="CF31" s="7" t="s">
        <v>171</v>
      </c>
      <c r="CG31" s="7" t="s">
        <v>67</v>
      </c>
      <c r="CH31" s="7" t="s">
        <v>178</v>
      </c>
      <c r="CI31" s="7" t="s">
        <v>169</v>
      </c>
      <c r="CJ31" s="8"/>
      <c r="CK31" s="8"/>
      <c r="CL31" s="8"/>
      <c r="CM31" s="8"/>
      <c r="CN31" s="8"/>
      <c r="CO31" s="8"/>
      <c r="CP31" s="8"/>
      <c r="CQ31" s="8"/>
      <c r="CR31" s="8"/>
      <c r="CS31" s="8"/>
      <c r="CT31" s="8"/>
      <c r="CU31" s="8"/>
      <c r="CV31" s="8"/>
      <c r="CW31" s="8"/>
      <c r="CX31" s="8"/>
      <c r="CY31" s="8"/>
      <c r="CZ31" s="8"/>
      <c r="DA31" s="8"/>
      <c r="DB31" s="8"/>
      <c r="DC31" s="8"/>
    </row>
    <row r="32" spans="1:107" ht="18.75" customHeight="1" x14ac:dyDescent="0.2">
      <c r="A32" s="328"/>
      <c r="B32" s="329"/>
      <c r="C32" s="329"/>
      <c r="D32" s="343" t="str">
        <f>IF($K$25="Italiano","VALORE SQUADRA",(IF($K$25="Español","VALOR DEL EQUIPO",(IF($K$25="Deutsch","TEAMWERT",(IF($K$25="Français","VALEUR D’ÉQUIPE ACTUELLE","TEAM VALUE")))))))</f>
        <v>TEAM VALUE</v>
      </c>
      <c r="E32" s="344"/>
      <c r="F32" s="344"/>
      <c r="G32" s="344"/>
      <c r="H32" s="344"/>
      <c r="I32" s="344"/>
      <c r="J32" s="344"/>
      <c r="K32" s="311">
        <f>(K28-(AC21/1000)+(SUM(AR2:AR17))-(AO23/2000))</f>
        <v>1010</v>
      </c>
      <c r="L32" s="300"/>
      <c r="M32" s="300"/>
      <c r="N32" s="300"/>
      <c r="O32" s="300"/>
      <c r="P32" s="300"/>
      <c r="Q32" s="300"/>
      <c r="R32" s="301"/>
      <c r="S32" s="400" t="str">
        <f>IF($K$25="Italiano","REGOLE SPECIALI",(IF($K$25="Español","REGLA ESPECIAL",(IF($K$25="Deutsch","SONDERREGELN",(IF($K$25="Français","RÈGLES SPÉCIALES","SPECIAL RULES")))))))</f>
        <v>SPECIAL RULES</v>
      </c>
      <c r="T32" s="300"/>
      <c r="U32" s="300"/>
      <c r="V32" s="300"/>
      <c r="W32" s="301"/>
      <c r="X32" s="404" t="str">
        <f>IFERROR(VLOOKUP(BP1,BM:BV,8,0),"")</f>
        <v>Badlands Brawl, Old World Classic and Low Cost Linemen</v>
      </c>
      <c r="Y32" s="300"/>
      <c r="Z32" s="300"/>
      <c r="AA32" s="300"/>
      <c r="AB32" s="300"/>
      <c r="AC32" s="300"/>
      <c r="AD32" s="300"/>
      <c r="AE32" s="300"/>
      <c r="AF32" s="300"/>
      <c r="AG32" s="300"/>
      <c r="AH32" s="300"/>
      <c r="AI32" s="300"/>
      <c r="AJ32" s="371"/>
      <c r="AK32" s="405" t="s">
        <v>185</v>
      </c>
      <c r="AL32" s="300"/>
      <c r="AM32" s="371"/>
      <c r="AN32" s="406"/>
      <c r="AO32" s="300"/>
      <c r="AP32" s="301"/>
      <c r="AQ32" s="346"/>
      <c r="AR32" s="7"/>
      <c r="AS32" s="7"/>
      <c r="AT32" s="8"/>
      <c r="AU32" s="7"/>
      <c r="AV32" s="7"/>
      <c r="AW32" s="7"/>
      <c r="AX32" s="7"/>
      <c r="AY32" s="8"/>
      <c r="AZ32" s="8"/>
      <c r="BD32" s="8"/>
      <c r="BE32" s="8"/>
      <c r="BL32" s="8"/>
      <c r="BM32" s="8" t="s">
        <v>175</v>
      </c>
      <c r="BN32" s="8" t="str">
        <f t="shared" si="29"/>
        <v>Tomb King</v>
      </c>
      <c r="BO32" s="8" t="s">
        <v>176</v>
      </c>
      <c r="BP32" s="197"/>
      <c r="BQ32" s="197">
        <v>70000</v>
      </c>
      <c r="BR32" s="197">
        <v>0</v>
      </c>
      <c r="BS32" s="197">
        <v>0</v>
      </c>
      <c r="BT32" s="215" t="str">
        <f>IF($J$24="Español","Selectiva de Sylvania",(IF($J$24="Deutsch","Sylvanisches Rampenlicht",(IF($J$24="Français","Spot de Sylvanie","Sylvanian Spotlight")))))</f>
        <v>Sylvanian Spotlight</v>
      </c>
      <c r="BU32" s="215" t="s">
        <v>121</v>
      </c>
      <c r="BV32" s="215" t="s">
        <v>122</v>
      </c>
      <c r="BW32" s="215"/>
      <c r="BX32" s="9"/>
      <c r="BY32" s="8"/>
      <c r="BZ32" s="8" t="s">
        <v>175</v>
      </c>
      <c r="CA32" s="8" t="s">
        <v>177</v>
      </c>
      <c r="CB32" s="59" t="s">
        <v>178</v>
      </c>
      <c r="CC32" s="7" t="s">
        <v>179</v>
      </c>
      <c r="CD32" s="287"/>
      <c r="CE32" s="7"/>
      <c r="CF32" s="7" t="s">
        <v>175</v>
      </c>
      <c r="CG32" s="7" t="s">
        <v>167</v>
      </c>
      <c r="CH32" s="7" t="s">
        <v>183</v>
      </c>
      <c r="CI32" s="7" t="s">
        <v>163</v>
      </c>
      <c r="CJ32" s="8"/>
      <c r="CK32" s="8"/>
      <c r="CL32" s="8"/>
      <c r="CM32" s="8"/>
      <c r="CN32" s="8"/>
      <c r="CO32" s="8"/>
      <c r="CP32" s="8"/>
      <c r="CQ32" s="8"/>
      <c r="CR32" s="8"/>
      <c r="CS32" s="8"/>
      <c r="CT32" s="8"/>
      <c r="CU32" s="8"/>
      <c r="CV32" s="8"/>
      <c r="CW32" s="8"/>
      <c r="CX32" s="8"/>
      <c r="CY32" s="8"/>
      <c r="CZ32" s="8"/>
      <c r="DA32" s="8"/>
      <c r="DB32" s="8"/>
      <c r="DC32" s="8"/>
    </row>
    <row r="33" spans="1:107" ht="23.25" customHeight="1" x14ac:dyDescent="0.2">
      <c r="A33" s="330" t="str">
        <f>IF(K25="Italiano","v9.0 - Creato da dreamscreator",(IF(K25="Español","v9.0 - Creado por dreamscreator",(IF(K25="Deutsch","v9.0 - Erstellt von dreamscreator",(IF(K25="Français","v9.0 - Créé par dreamscreator","v9.0 - Created by dreamscreator")))))))</f>
        <v>v9.0 - Created by dreamscreator</v>
      </c>
      <c r="B33" s="331"/>
      <c r="C33" s="332"/>
      <c r="D33" s="291"/>
      <c r="E33" s="291"/>
      <c r="F33" s="291"/>
      <c r="G33" s="402" t="str">
        <f>B60&amp;B61&amp;B62&amp;B63&amp;B64&amp;B65&amp;B66</f>
        <v/>
      </c>
      <c r="H33" s="291"/>
      <c r="I33" s="291"/>
      <c r="J33" s="29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2"/>
      <c r="AQ33" s="346"/>
      <c r="AR33" s="7"/>
      <c r="AS33" s="38"/>
      <c r="AT33" s="8"/>
      <c r="AU33" s="38"/>
      <c r="AV33" s="38"/>
      <c r="AW33" s="38"/>
      <c r="AX33" s="38"/>
      <c r="AY33" s="8"/>
      <c r="AZ33" s="8"/>
      <c r="BA33" s="8"/>
      <c r="BB33" s="8"/>
      <c r="BC33" s="8"/>
      <c r="BD33" s="8"/>
      <c r="BE33" s="8"/>
      <c r="BL33" s="8"/>
      <c r="BM33" s="8" t="s">
        <v>180</v>
      </c>
      <c r="BN33" s="8" t="str">
        <f t="shared" si="29"/>
        <v>Underworld Denizens</v>
      </c>
      <c r="BO33" s="8" t="s">
        <v>181</v>
      </c>
      <c r="BP33" s="197"/>
      <c r="BQ33" s="197">
        <v>70000</v>
      </c>
      <c r="BR33" s="197">
        <v>50000</v>
      </c>
      <c r="BS33" s="197">
        <v>1</v>
      </c>
      <c r="BT33" s="215" t="str">
        <f>IF($J$24="Español","Reto del Inframundo y Sobornos y Corrupción",(IF($J$24="Deutsch","Unterwelt-Herausforderung, Bestechung und Korruption",(IF($J$24="Français","Défi des Bas-Fonds et Chantage &amp; Corruption","Underworld Challenge and Bribery and Corruption")))))</f>
        <v>Underworld Challenge and Bribery and Corruption</v>
      </c>
      <c r="BU33" s="215" t="s">
        <v>166</v>
      </c>
      <c r="BV33" s="215" t="s">
        <v>49</v>
      </c>
      <c r="BW33" s="215"/>
      <c r="BX33" s="8"/>
      <c r="BZ33" s="8" t="s">
        <v>180</v>
      </c>
      <c r="CA33" s="8" t="s">
        <v>182</v>
      </c>
      <c r="CB33" s="59" t="s">
        <v>183</v>
      </c>
      <c r="CC33" s="7" t="s">
        <v>184</v>
      </c>
      <c r="CD33" s="287"/>
      <c r="CE33" s="7"/>
      <c r="CF33" s="7" t="s">
        <v>180</v>
      </c>
      <c r="CG33" s="7" t="s">
        <v>161</v>
      </c>
      <c r="CH33" s="7" t="s">
        <v>188</v>
      </c>
      <c r="CI33" s="7" t="s">
        <v>174</v>
      </c>
    </row>
    <row r="34" spans="1:107" ht="23.25" customHeight="1" x14ac:dyDescent="0.2">
      <c r="A34" s="333" t="str">
        <f>IF(K25="Italiano","Tradotto da Leonida https://bloodbowlhelp.wordpress.com",(IF(K25="Deutsch","Übersetzt von Coach Grong https://bloodbowlhelp.wordpress.com",(IF(K25="Français","Traduit par Fennec https://bloodbowlhelp.wordpress.com","https://bloodbowlhelp.wordpress.com")))))</f>
        <v>https://bloodbowlhelp.wordpress.com</v>
      </c>
      <c r="B34" s="334"/>
      <c r="C34" s="335"/>
      <c r="D34" s="334"/>
      <c r="E34" s="334"/>
      <c r="F34" s="336"/>
      <c r="G34" s="403" t="str">
        <f>IF(K25="Italiano","AVANZAMIENTO GIOCATORI",(IF(K25="Español","MEJORAS DE LOS JUGADORES",(IF(K25="Deutsch","SPIELERVERBESSERUNGEN",(IF(K25="Français","AMÉLIORATIONS DE JOUEURS","PLAYERS UPGRADES")))))))</f>
        <v>PLAYERS UPGRADES</v>
      </c>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6"/>
      <c r="AL34" s="39"/>
      <c r="AM34" s="39"/>
      <c r="AN34" s="39"/>
      <c r="AO34" s="39"/>
      <c r="AP34" s="39"/>
      <c r="AQ34" s="346"/>
      <c r="AR34" s="7"/>
      <c r="AS34" s="38"/>
      <c r="AT34" s="8"/>
      <c r="AU34" s="38"/>
      <c r="AV34" s="38"/>
      <c r="AW34" s="38"/>
      <c r="AX34" s="38"/>
      <c r="AY34" s="8"/>
      <c r="AZ34" s="8"/>
      <c r="BA34" s="8"/>
      <c r="BB34" s="8"/>
      <c r="BC34" s="8"/>
      <c r="BD34" s="8"/>
      <c r="BE34" s="8"/>
      <c r="BL34" s="8"/>
      <c r="BM34" s="8" t="s">
        <v>186</v>
      </c>
      <c r="BN34" s="8" t="str">
        <f t="shared" si="29"/>
        <v>Vampire</v>
      </c>
      <c r="BO34" s="8" t="s">
        <v>186</v>
      </c>
      <c r="BP34" s="197"/>
      <c r="BQ34" s="197">
        <v>70000</v>
      </c>
      <c r="BR34" s="197">
        <v>50000</v>
      </c>
      <c r="BS34" s="197">
        <v>0</v>
      </c>
      <c r="BT34" s="215" t="str">
        <f>IF($J$24="Español","Selectiva de Sylvania",(IF($J$24="Deutsch","Sylvanisches Rampenlicht",(IF($J$24="Français","Spot de Sylvanie","Sylvanian Spotlight")))))</f>
        <v>Sylvanian Spotlight</v>
      </c>
      <c r="BU34" s="215" t="s">
        <v>121</v>
      </c>
      <c r="BV34" s="215" t="s">
        <v>122</v>
      </c>
      <c r="BW34" s="215"/>
      <c r="BY34" s="8"/>
      <c r="BZ34" s="8" t="s">
        <v>186</v>
      </c>
      <c r="CA34" s="8" t="s">
        <v>187</v>
      </c>
      <c r="CB34" s="59" t="s">
        <v>188</v>
      </c>
      <c r="CC34" s="7" t="s">
        <v>189</v>
      </c>
      <c r="CF34" s="7" t="s">
        <v>186</v>
      </c>
      <c r="CG34" s="7" t="s">
        <v>172</v>
      </c>
      <c r="CH34" s="7" t="s">
        <v>1679</v>
      </c>
      <c r="CI34" s="7" t="s">
        <v>85</v>
      </c>
      <c r="CJ34" s="8"/>
      <c r="CK34" s="8"/>
      <c r="CL34" s="8"/>
      <c r="CM34" s="8"/>
      <c r="CN34" s="8"/>
      <c r="CO34" s="8"/>
      <c r="CP34" s="8"/>
      <c r="CQ34" s="8"/>
      <c r="CR34" s="8"/>
      <c r="CS34" s="8"/>
      <c r="CT34" s="8"/>
      <c r="CU34" s="8"/>
      <c r="CV34" s="8"/>
      <c r="CW34" s="8"/>
      <c r="CX34" s="8"/>
      <c r="CY34" s="8"/>
      <c r="CZ34" s="8"/>
      <c r="DA34" s="8"/>
      <c r="DB34" s="8"/>
      <c r="DC34" s="8"/>
    </row>
    <row r="35" spans="1:107" s="200" customFormat="1" ht="26.25" customHeight="1" x14ac:dyDescent="0.2">
      <c r="A35" s="322" t="s">
        <v>29</v>
      </c>
      <c r="B35" s="322" t="str">
        <f>IF($K$25="Italiano","TIPO",(IF($K$25="Español","TIPO",(IF($K$25="Deutsch","POSITION",(IF($K$25="Français","POSTE","TYPE")))))))</f>
        <v>TYPE</v>
      </c>
      <c r="C35" s="322" t="str">
        <f>IF($K$25="Italiano","Avanzamento 1",(IF($K$25="Español","Mejora 1",(IF($K$25="Deutsch","Verbes- serung 1",(IF($K$25="Français","Amélioration 1","Upgrade 1")))))))</f>
        <v>Upgrade 1</v>
      </c>
      <c r="D35" s="338" t="str">
        <f>IF($K$25="Italiano","Scelto o Casuale",(IF($K$25="Español","Elegida o Aleatoria",(IF($K$25="Deutsch","Ausge- wählt oder zufällig",(IF($K$25="Français","Choisie ou Aléatoire ","Chosen or Random")))))))</f>
        <v>Chosen or Random</v>
      </c>
      <c r="E35" s="339"/>
      <c r="F35" s="338" t="str">
        <f>IF($K$25="Italiano","Avanzamento 2",(IF($K$25="Español","Mejora 2",(IF($K$25="Deutsch","Verbes- serung 2",(IF($K$25="Français","Amélioration 2","Upgrade 2")))))))</f>
        <v>Upgrade 2</v>
      </c>
      <c r="G35" s="339"/>
      <c r="H35" s="338" t="str">
        <f>IF($K$25="Italiano","Scelto o Casuale",(IF($K$25="Español","Elegida o Aleatoria",(IF($K$25="Deutsch","Ausge- wählt oder zufällig",(IF($K$25="Français","Choisie ou Aléatoire ","Chosen or Random")))))))</f>
        <v>Chosen or Random</v>
      </c>
      <c r="I35" s="378"/>
      <c r="J35" s="378"/>
      <c r="K35" s="339"/>
      <c r="L35" s="338" t="str">
        <f>IF($K$25="Italiano","Avanzamento 3",(IF($K$25="Español","Mejora 3",(IF($K$25="Deutsch","Verbes- serung 3",(IF($K$25="Français","Amélioration 3","Upgrade 3")))))))</f>
        <v>Upgrade 3</v>
      </c>
      <c r="M35" s="339"/>
      <c r="N35" s="338" t="str">
        <f>IF($K$25="Italiano","Scelto o Casuale",(IF($K$25="Español","Elegida o Aleatoria",(IF($K$25="Deutsch","Ausge- wählt oder zufällig",(IF($K$25="Français","Choisie ou Aléatoire ","Chosen or Random")))))))</f>
        <v>Chosen or Random</v>
      </c>
      <c r="O35" s="339"/>
      <c r="P35" s="338" t="str">
        <f>IF($K$25="Italiano","Avanzamento 4",(IF($K$25="Español","Mejora 4",(IF($K$25="Deutsch","Verbes- serung 4",(IF($K$25="Français","Amélioration 4","Upgrade 4")))))))</f>
        <v>Upgrade 4</v>
      </c>
      <c r="Q35" s="339"/>
      <c r="R35" s="338" t="str">
        <f>IF($K$25="Italiano","Scelto o Casuale",(IF($K$25="Español","Elegida o Aleatoria",(IF($K$25="Deutsch","Ausge- wählt oder zufällig",(IF($K$25="Français","Choisie ou Aléatoire ","Chosen or Random")))))))</f>
        <v>Chosen or Random</v>
      </c>
      <c r="S35" s="339"/>
      <c r="T35" s="338" t="str">
        <f>IF($K$25="Italiano","Avanzamento 5",(IF($K$25="Español","Mejora 5",(IF($K$25="Deutsch","Verbes- serung 5",(IF($K$25="Français","Amélioration 5","Upgrade 5")))))))</f>
        <v>Upgrade 5</v>
      </c>
      <c r="U35" s="339"/>
      <c r="V35" s="338" t="str">
        <f>IF($K$25="Italiano","Scelto o Casuale",(IF($K$25="Español","Elegida o Aleatoria",(IF($K$25="Deutsch","Ausge- wählt oder zufällig",(IF($K$25="Français","Choisie ou Aléatoire ","Chosen or Random")))))))</f>
        <v>Chosen or Random</v>
      </c>
      <c r="W35" s="339"/>
      <c r="X35" s="338" t="str">
        <f>IF($K$25="Italiano","Avanzamento 6",(IF($K$25="Español","Mejora 6",(IF($K$25="Deutsch","Verbes- serung 6",(IF($K$25="Français","Amélioration 6","Upgrade 6")))))))</f>
        <v>Upgrade 6</v>
      </c>
      <c r="Y35" s="339"/>
      <c r="Z35" s="338" t="str">
        <f>IF($K$25="Italiano","Scelto o Casuale",(IF($K$25="Español","Elegida o Aleatoria",(IF($K$25="Deutsch","Ausge- wählt oder zufällig",(IF($K$25="Français","Choisie ou Aléatoire ","Chosen or Random")))))))</f>
        <v>Chosen or Random</v>
      </c>
      <c r="AA35" s="339"/>
      <c r="AB35" s="338" t="str">
        <f>IF($K$25="Italiano","Tassa di agenzia di ricontratto",(IF($K$25="Español","Tasa Agencia Recontratar",(IF($K$25="Deutsch","Gebühr für die Neuvergabe einer Agentur",(IF($K$25="Français","Frais d'agence pour le recontrat","Fee Agency Redraft")))))))</f>
        <v>Fee Agency Redraft</v>
      </c>
      <c r="AC35" s="339"/>
      <c r="AD35" s="338" t="str">
        <f>IF($K$25="Italiano","Modifica Manuale Valore",(IF($K$25="Español","Modificar valor manual",(IF($K$25="Deutsch","Manuelle Wertän- derung",(IF($K$25="Français","Modif. manuelle de Valeur","Manual Modify Value")))))))</f>
        <v>Manual Modify Value</v>
      </c>
      <c r="AE35" s="339"/>
      <c r="AF35" s="338" t="str">
        <f>IF($K$25="Italiano","Modifica Manuale SPP",(IF($K$25="Español","Modificar SPP manual",(IF($K$25="Deutsch","Manuelle SPP derung",(IF($K$25="Français","Modif. manuelle de SPP","Manual Modify SPP")))))))</f>
        <v>Manual Modify SPP</v>
      </c>
      <c r="AG35" s="339"/>
      <c r="AH35" s="338" t="str">
        <f>IF($K$25="Italiano","Valore Extra",(IF($K$25="Español","Valor extra",(IF($K$25="Deutsch","Extra Wert",(IF($K$25="Français","Hausse de Valeur","Value Extra")))))))</f>
        <v>Value Extra</v>
      </c>
      <c r="AI35" s="339"/>
      <c r="AJ35" s="386" t="str">
        <f>IF($K$25="Italiano","Costo SPP",(IF($K$25="Español","Coste",(IF($K$25="Deutsch","Σ SPP",(IF($K$25="Français","Coût en PSP","SPP Cost")))))))</f>
        <v>SPP Cost</v>
      </c>
      <c r="AK35" s="388" t="str">
        <f>IF($K$25="Italiano","Infortuni",(IF($K$25="Español","Lesiones",(IF($K$25="Deutsch","Verletzungen",(IF($K$25="Français","Blessures","Injuries")))))))</f>
        <v>Injuries</v>
      </c>
      <c r="AL35" s="300"/>
      <c r="AM35" s="300"/>
      <c r="AN35" s="300"/>
      <c r="AO35" s="300"/>
      <c r="AP35" s="301"/>
      <c r="AQ35" s="346"/>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8" t="s">
        <v>1661</v>
      </c>
      <c r="BN35" s="8" t="str">
        <f t="shared" si="29"/>
        <v>Vampire GW</v>
      </c>
      <c r="BO35" s="8" t="s">
        <v>1661</v>
      </c>
      <c r="BP35" s="197"/>
      <c r="BQ35" s="197">
        <v>60000</v>
      </c>
      <c r="BR35" s="197">
        <v>50000</v>
      </c>
      <c r="BS35" s="197">
        <v>1</v>
      </c>
      <c r="BT35" s="215" t="str">
        <f>IF($J$24="Español","Selectiva de Sylvania",(IF($J$24="Deutsch","Sylvanisches Rampenlicht",(IF($J$24="Français","Spot de Sylvanie","Sylvanian Spotlight")))))</f>
        <v>Sylvanian Spotlight</v>
      </c>
      <c r="BU35" s="215" t="s">
        <v>121</v>
      </c>
      <c r="BV35" s="215" t="s">
        <v>122</v>
      </c>
      <c r="BW35" s="215"/>
      <c r="BX35" s="8"/>
      <c r="BY35" s="199"/>
      <c r="BZ35" s="8" t="s">
        <v>1661</v>
      </c>
      <c r="CA35" s="8" t="s">
        <v>1678</v>
      </c>
      <c r="CB35" s="59" t="s">
        <v>1679</v>
      </c>
      <c r="CC35" s="7" t="s">
        <v>1680</v>
      </c>
      <c r="CD35"/>
      <c r="CE35"/>
      <c r="CF35" s="7" t="s">
        <v>1661</v>
      </c>
      <c r="CG35" s="7" t="s">
        <v>187</v>
      </c>
      <c r="CH35" s="7" t="s">
        <v>193</v>
      </c>
      <c r="CI35" s="7" t="s">
        <v>189</v>
      </c>
      <c r="CJ35" s="199"/>
      <c r="CK35" s="199"/>
      <c r="CL35" s="199"/>
      <c r="CM35" s="199"/>
      <c r="CN35" s="199"/>
      <c r="CO35" s="199"/>
      <c r="CP35" s="199"/>
      <c r="CQ35" s="199"/>
      <c r="CR35" s="199"/>
      <c r="CS35" s="199"/>
      <c r="CT35" s="199"/>
      <c r="CU35" s="199"/>
      <c r="CV35" s="199"/>
      <c r="CW35" s="199"/>
      <c r="CX35" s="199"/>
      <c r="CY35" s="199"/>
      <c r="CZ35" s="199"/>
      <c r="DA35" s="199"/>
      <c r="DB35" s="199"/>
      <c r="DC35" s="199"/>
    </row>
    <row r="36" spans="1:107" s="200" customFormat="1" ht="26.25" customHeight="1" x14ac:dyDescent="0.2">
      <c r="A36" s="337"/>
      <c r="B36" s="323"/>
      <c r="C36" s="323"/>
      <c r="D36" s="340"/>
      <c r="E36" s="341"/>
      <c r="F36" s="340"/>
      <c r="G36" s="341"/>
      <c r="H36" s="340"/>
      <c r="I36" s="335"/>
      <c r="J36" s="335"/>
      <c r="K36" s="341"/>
      <c r="L36" s="340"/>
      <c r="M36" s="341"/>
      <c r="N36" s="340"/>
      <c r="O36" s="341"/>
      <c r="P36" s="340"/>
      <c r="Q36" s="341"/>
      <c r="R36" s="340"/>
      <c r="S36" s="341"/>
      <c r="T36" s="340"/>
      <c r="U36" s="341"/>
      <c r="V36" s="340"/>
      <c r="W36" s="341"/>
      <c r="X36" s="340"/>
      <c r="Y36" s="341"/>
      <c r="Z36" s="340"/>
      <c r="AA36" s="341"/>
      <c r="AB36" s="340"/>
      <c r="AC36" s="341"/>
      <c r="AD36" s="340"/>
      <c r="AE36" s="341"/>
      <c r="AF36" s="340"/>
      <c r="AG36" s="341"/>
      <c r="AH36" s="340"/>
      <c r="AI36" s="341"/>
      <c r="AJ36" s="387"/>
      <c r="AK36" s="40" t="str">
        <f>IF($K$25="Español","LP",(IF($K$25="Deutsch","HV",(IF($K$25="Français","BP","NI")))))</f>
        <v>NI</v>
      </c>
      <c r="AL36" s="40" t="str">
        <f>IF($K$25="Español","MO",(IF($K$25="Deutsch","BE",(IF($K$25="Français","M","MA")))))</f>
        <v>MA</v>
      </c>
      <c r="AM36" s="40" t="str">
        <f>IF($K$25="Español","FU",IF($K$25="Français","F","ST"))</f>
        <v>ST</v>
      </c>
      <c r="AN36" s="40" t="str">
        <f>IF($K$25="Deutsch","WG",(IF($K$25="Français","CP","PA")))</f>
        <v>PA</v>
      </c>
      <c r="AO36" s="40" t="str">
        <f>IF($K$25="Deutsch","GE","AG")</f>
        <v>AG</v>
      </c>
      <c r="AP36" s="40" t="str">
        <f>IF($K$25="Español","AR",(IF($K$25="Deutsch","RW",(IF($K$25="Français","AR","AV")))))</f>
        <v>AV</v>
      </c>
      <c r="AQ36" s="346"/>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8" t="s">
        <v>190</v>
      </c>
      <c r="BN36" s="8" t="str">
        <f t="shared" si="29"/>
        <v>Wood Elf</v>
      </c>
      <c r="BO36" s="8" t="s">
        <v>191</v>
      </c>
      <c r="BQ36" s="197">
        <v>50000</v>
      </c>
      <c r="BR36" s="197">
        <v>50000</v>
      </c>
      <c r="BS36" s="197">
        <v>1</v>
      </c>
      <c r="BT36" s="215" t="str">
        <f>IF($J$24="Español","Liga de los Reinos Elfos",(IF($J$24="Deutsch","Liga der Elfenkönigreiche",(IF($J$24="Français","Ligue des Royaumes Elfiques","Elven Kingdoms League")))))</f>
        <v>Elven Kingdoms League</v>
      </c>
      <c r="BU36" s="215" t="s">
        <v>72</v>
      </c>
      <c r="BV36"/>
      <c r="BW36"/>
      <c r="BX36" s="199"/>
      <c r="BY36" s="199"/>
      <c r="BZ36" s="8" t="s">
        <v>190</v>
      </c>
      <c r="CA36" s="8" t="s">
        <v>192</v>
      </c>
      <c r="CB36" s="59" t="s">
        <v>193</v>
      </c>
      <c r="CC36" s="7" t="s">
        <v>194</v>
      </c>
      <c r="CD36" s="287"/>
      <c r="CE36" s="7"/>
      <c r="CF36" s="7" t="s">
        <v>190</v>
      </c>
      <c r="CG36" s="7" t="s">
        <v>1678</v>
      </c>
      <c r="CH36" s="7" t="s">
        <v>79</v>
      </c>
      <c r="CI36" s="7" t="s">
        <v>1680</v>
      </c>
      <c r="CJ36" s="199"/>
      <c r="CK36" s="199"/>
      <c r="CL36" s="199"/>
      <c r="CM36" s="199"/>
      <c r="CN36" s="199"/>
      <c r="CO36" s="199"/>
      <c r="CP36" s="199"/>
      <c r="CQ36" s="199"/>
      <c r="CR36" s="199"/>
      <c r="CS36" s="199"/>
      <c r="CT36" s="199"/>
      <c r="CU36" s="199"/>
      <c r="CV36" s="199"/>
      <c r="CW36" s="199"/>
      <c r="CX36" s="199"/>
      <c r="CY36" s="199"/>
      <c r="CZ36" s="199"/>
      <c r="DA36" s="199"/>
      <c r="DB36" s="199"/>
      <c r="DC36" s="199"/>
    </row>
    <row r="37" spans="1:107" s="200" customFormat="1" ht="22.5" customHeight="1" x14ac:dyDescent="0.2">
      <c r="A37" s="15">
        <v>1</v>
      </c>
      <c r="B37" s="25">
        <f t="shared" ref="B37:B51" si="55">D2</f>
        <v>0</v>
      </c>
      <c r="C37" s="254"/>
      <c r="D37" s="398"/>
      <c r="E37" s="352"/>
      <c r="F37" s="362"/>
      <c r="G37" s="363"/>
      <c r="H37" s="315"/>
      <c r="I37" s="342"/>
      <c r="J37" s="342"/>
      <c r="K37" s="316"/>
      <c r="L37" s="362"/>
      <c r="M37" s="363"/>
      <c r="N37" s="389"/>
      <c r="O37" s="352"/>
      <c r="P37" s="362"/>
      <c r="Q37" s="363"/>
      <c r="R37" s="389"/>
      <c r="S37" s="352"/>
      <c r="T37" s="362"/>
      <c r="U37" s="363"/>
      <c r="V37" s="389"/>
      <c r="W37" s="352"/>
      <c r="X37" s="362"/>
      <c r="Y37" s="363"/>
      <c r="Z37" s="389"/>
      <c r="AA37" s="352"/>
      <c r="AB37" s="351"/>
      <c r="AC37" s="352"/>
      <c r="AD37" s="351"/>
      <c r="AE37" s="352"/>
      <c r="AF37" s="390"/>
      <c r="AG37" s="352"/>
      <c r="AH37" s="349">
        <f>IFERROR(BJ40+AB37+AD37,0)</f>
        <v>0</v>
      </c>
      <c r="AI37" s="350"/>
      <c r="AJ37" s="68">
        <f>IFERROR((SUM(CV40:DA40)+AF37),0)</f>
        <v>0</v>
      </c>
      <c r="AK37" s="67">
        <v>0</v>
      </c>
      <c r="AL37" s="68">
        <v>0</v>
      </c>
      <c r="AM37" s="68">
        <v>0</v>
      </c>
      <c r="AN37" s="68">
        <v>0</v>
      </c>
      <c r="AO37" s="68">
        <v>0</v>
      </c>
      <c r="AP37" s="68">
        <v>0</v>
      </c>
      <c r="AQ37" s="346"/>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199"/>
      <c r="BR37" s="199"/>
      <c r="BS37" s="199"/>
      <c r="BT37" s="199"/>
      <c r="BU37" s="199"/>
      <c r="BV37" s="199"/>
      <c r="BW37" s="199"/>
      <c r="BX37" s="199"/>
      <c r="BY37" s="199"/>
      <c r="BZ37" s="199"/>
      <c r="CA37" s="199"/>
      <c r="CB37" s="199"/>
      <c r="CC37" s="199"/>
      <c r="CD37" s="199"/>
      <c r="CE37" s="199"/>
      <c r="CF37" s="222"/>
      <c r="CG37" s="222"/>
      <c r="CH37" s="222"/>
      <c r="CI37" s="222"/>
      <c r="CJ37" s="199"/>
      <c r="CK37" s="199"/>
      <c r="CL37" s="199"/>
      <c r="CM37" s="199"/>
      <c r="CN37" s="199"/>
      <c r="CO37" s="199"/>
      <c r="CP37" s="199"/>
      <c r="CQ37" s="199"/>
      <c r="CR37" s="199"/>
      <c r="CS37" s="199"/>
      <c r="CT37" s="199"/>
      <c r="CU37" s="199"/>
      <c r="CV37" s="199"/>
      <c r="CW37" s="199"/>
      <c r="CX37" s="199"/>
      <c r="CY37" s="199"/>
      <c r="CZ37" s="199"/>
      <c r="DA37" s="199"/>
      <c r="DB37" s="199"/>
      <c r="DC37" s="199"/>
    </row>
    <row r="38" spans="1:107" s="200" customFormat="1" ht="22.5" customHeight="1" x14ac:dyDescent="0.2">
      <c r="A38" s="15">
        <v>2</v>
      </c>
      <c r="B38" s="25" t="str">
        <f t="shared" si="55"/>
        <v xml:space="preserve">Ogre </v>
      </c>
      <c r="C38" s="253" t="s">
        <v>1852</v>
      </c>
      <c r="D38" s="315" t="s">
        <v>1847</v>
      </c>
      <c r="E38" s="316"/>
      <c r="F38" s="315"/>
      <c r="G38" s="316"/>
      <c r="H38" s="315"/>
      <c r="I38" s="342"/>
      <c r="J38" s="342"/>
      <c r="K38" s="316"/>
      <c r="L38" s="315"/>
      <c r="M38" s="316"/>
      <c r="N38" s="315"/>
      <c r="O38" s="316"/>
      <c r="P38" s="315"/>
      <c r="Q38" s="316"/>
      <c r="R38" s="315"/>
      <c r="S38" s="316"/>
      <c r="T38" s="315"/>
      <c r="U38" s="316"/>
      <c r="V38" s="315"/>
      <c r="W38" s="316"/>
      <c r="X38" s="315"/>
      <c r="Y38" s="316"/>
      <c r="Z38" s="315"/>
      <c r="AA38" s="316"/>
      <c r="AB38" s="351">
        <v>0</v>
      </c>
      <c r="AC38" s="352"/>
      <c r="AD38" s="353"/>
      <c r="AE38" s="354"/>
      <c r="AF38" s="347"/>
      <c r="AG38" s="348"/>
      <c r="AH38" s="349">
        <f t="shared" ref="AH38:AH52" si="56">IFERROR(BJ41+AB38+AD38,0)</f>
        <v>10000</v>
      </c>
      <c r="AI38" s="350"/>
      <c r="AJ38" s="68">
        <f t="shared" ref="AJ38:AJ51" si="57">IFERROR((SUM(CV41:DA41)+AF38),0)</f>
        <v>3</v>
      </c>
      <c r="AK38" s="67">
        <v>0</v>
      </c>
      <c r="AL38" s="68">
        <v>0</v>
      </c>
      <c r="AM38" s="68">
        <v>0</v>
      </c>
      <c r="AN38" s="68">
        <v>0</v>
      </c>
      <c r="AO38" s="68">
        <v>0</v>
      </c>
      <c r="AP38" s="68">
        <v>0</v>
      </c>
      <c r="AQ38" s="346"/>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199"/>
      <c r="BU38" s="199"/>
      <c r="BV38" s="199"/>
      <c r="BW38" s="199"/>
      <c r="BX38" s="199"/>
      <c r="BY38" s="199"/>
      <c r="BZ38" s="199"/>
      <c r="CA38" s="199"/>
      <c r="CB38" s="199"/>
      <c r="CC38" s="199"/>
      <c r="CD38" s="199"/>
      <c r="CE38" s="199"/>
      <c r="CF38" s="222"/>
      <c r="CG38" s="222"/>
      <c r="CH38" s="222"/>
      <c r="CI38" s="222"/>
      <c r="CJ38" s="199"/>
      <c r="CK38" s="199"/>
      <c r="CL38" s="199"/>
      <c r="CM38" s="199"/>
      <c r="CN38" s="199"/>
      <c r="CO38" s="199"/>
      <c r="CP38" s="199"/>
      <c r="CQ38" s="199"/>
      <c r="CR38" s="199"/>
      <c r="CS38" s="199"/>
      <c r="CT38" s="199"/>
      <c r="CU38" s="199"/>
      <c r="CV38" s="199"/>
      <c r="CW38" s="199"/>
      <c r="CX38" s="199"/>
      <c r="CY38" s="199"/>
      <c r="CZ38" s="199"/>
      <c r="DA38" s="199"/>
      <c r="DB38" s="199"/>
      <c r="DC38" s="199"/>
    </row>
    <row r="39" spans="1:107" s="200" customFormat="1" ht="22.5" customHeight="1" x14ac:dyDescent="0.2">
      <c r="A39" s="15">
        <v>3</v>
      </c>
      <c r="B39" s="223" t="str">
        <f t="shared" si="55"/>
        <v xml:space="preserve">Ogre </v>
      </c>
      <c r="C39" s="254" t="s">
        <v>1846</v>
      </c>
      <c r="D39" s="362" t="s">
        <v>1847</v>
      </c>
      <c r="E39" s="363"/>
      <c r="F39" s="362" t="s">
        <v>1850</v>
      </c>
      <c r="G39" s="363"/>
      <c r="H39" s="315" t="s">
        <v>1847</v>
      </c>
      <c r="I39" s="342"/>
      <c r="J39" s="342"/>
      <c r="K39" s="316"/>
      <c r="L39" s="362"/>
      <c r="M39" s="363"/>
      <c r="N39" s="315"/>
      <c r="O39" s="316"/>
      <c r="P39" s="362"/>
      <c r="Q39" s="363"/>
      <c r="R39" s="315"/>
      <c r="S39" s="316"/>
      <c r="T39" s="362"/>
      <c r="U39" s="363"/>
      <c r="V39" s="315"/>
      <c r="W39" s="316"/>
      <c r="X39" s="362"/>
      <c r="Y39" s="363"/>
      <c r="Z39" s="315"/>
      <c r="AA39" s="316"/>
      <c r="AB39" s="351">
        <v>0</v>
      </c>
      <c r="AC39" s="352"/>
      <c r="AD39" s="353"/>
      <c r="AE39" s="354"/>
      <c r="AF39" s="347"/>
      <c r="AG39" s="348"/>
      <c r="AH39" s="349">
        <f t="shared" si="56"/>
        <v>20000</v>
      </c>
      <c r="AI39" s="350"/>
      <c r="AJ39" s="68">
        <f t="shared" si="57"/>
        <v>7</v>
      </c>
      <c r="AK39" s="67">
        <v>0</v>
      </c>
      <c r="AL39" s="68">
        <v>0</v>
      </c>
      <c r="AM39" s="68">
        <v>0</v>
      </c>
      <c r="AN39" s="68">
        <v>0</v>
      </c>
      <c r="AO39" s="68">
        <v>0</v>
      </c>
      <c r="AP39" s="68">
        <v>0</v>
      </c>
      <c r="AQ39" s="346"/>
      <c r="AR39" s="199"/>
      <c r="AS39" s="199"/>
      <c r="AT39" s="199"/>
      <c r="AU39" s="199"/>
      <c r="AV39" s="199"/>
      <c r="AW39" s="199"/>
      <c r="AX39" s="199"/>
      <c r="AY39" s="201" t="s">
        <v>195</v>
      </c>
      <c r="AZ39" s="202" t="s">
        <v>196</v>
      </c>
      <c r="BA39" s="202" t="s">
        <v>197</v>
      </c>
      <c r="BB39" s="202" t="s">
        <v>198</v>
      </c>
      <c r="BC39" s="202" t="s">
        <v>199</v>
      </c>
      <c r="BD39" s="202" t="s">
        <v>200</v>
      </c>
      <c r="BE39" s="202" t="s">
        <v>201</v>
      </c>
      <c r="BF39" s="202" t="s">
        <v>202</v>
      </c>
      <c r="BG39" s="202" t="s">
        <v>203</v>
      </c>
      <c r="BH39" s="202" t="s">
        <v>204</v>
      </c>
      <c r="BI39" s="202" t="s">
        <v>205</v>
      </c>
      <c r="BJ39" s="202" t="s">
        <v>206</v>
      </c>
      <c r="BK39" s="197"/>
      <c r="BL39" s="384" t="s">
        <v>207</v>
      </c>
      <c r="BM39" s="385"/>
      <c r="BN39" s="385"/>
      <c r="BO39" s="385"/>
      <c r="BP39" s="385"/>
      <c r="BQ39" s="385"/>
      <c r="BR39" s="197"/>
      <c r="BS39" s="197"/>
      <c r="BT39" s="384" t="s">
        <v>208</v>
      </c>
      <c r="BU39" s="385"/>
      <c r="BV39" s="385"/>
      <c r="BW39" s="385"/>
      <c r="BX39" s="385"/>
      <c r="BY39" s="385"/>
      <c r="BZ39" s="197"/>
      <c r="CA39" s="384" t="s">
        <v>209</v>
      </c>
      <c r="CB39" s="385"/>
      <c r="CC39" s="385"/>
      <c r="CD39" s="385"/>
      <c r="CE39" s="385"/>
      <c r="CF39" s="385"/>
      <c r="CG39" s="197"/>
      <c r="CH39" s="384" t="s">
        <v>210</v>
      </c>
      <c r="CI39" s="385"/>
      <c r="CJ39" s="385"/>
      <c r="CK39" s="385"/>
      <c r="CL39" s="385"/>
      <c r="CM39" s="385"/>
      <c r="CN39" s="197"/>
      <c r="CO39" s="384" t="s">
        <v>211</v>
      </c>
      <c r="CP39" s="385"/>
      <c r="CQ39" s="385"/>
      <c r="CR39" s="385"/>
      <c r="CS39" s="385"/>
      <c r="CT39" s="385"/>
      <c r="CU39" s="197"/>
      <c r="CV39" s="384" t="s">
        <v>212</v>
      </c>
      <c r="CW39" s="385"/>
      <c r="CX39" s="385"/>
      <c r="CY39" s="385"/>
      <c r="CZ39" s="385"/>
      <c r="DA39" s="385"/>
      <c r="DB39" s="199"/>
      <c r="DC39" s="199"/>
    </row>
    <row r="40" spans="1:107" s="200" customFormat="1" ht="22.5" customHeight="1" x14ac:dyDescent="0.2">
      <c r="A40" s="15">
        <v>4</v>
      </c>
      <c r="B40" s="25" t="str">
        <f t="shared" si="55"/>
        <v xml:space="preserve">Ogre </v>
      </c>
      <c r="C40" s="253"/>
      <c r="D40" s="315"/>
      <c r="E40" s="316"/>
      <c r="F40" s="315"/>
      <c r="G40" s="316"/>
      <c r="H40" s="315"/>
      <c r="I40" s="342"/>
      <c r="J40" s="342"/>
      <c r="K40" s="316"/>
      <c r="L40" s="315"/>
      <c r="M40" s="316"/>
      <c r="N40" s="315"/>
      <c r="O40" s="316"/>
      <c r="P40" s="315"/>
      <c r="Q40" s="316"/>
      <c r="R40" s="315"/>
      <c r="S40" s="316"/>
      <c r="T40" s="315"/>
      <c r="U40" s="316"/>
      <c r="V40" s="315"/>
      <c r="W40" s="316"/>
      <c r="X40" s="315"/>
      <c r="Y40" s="316"/>
      <c r="Z40" s="315"/>
      <c r="AA40" s="316"/>
      <c r="AB40" s="351">
        <v>0</v>
      </c>
      <c r="AC40" s="352"/>
      <c r="AD40" s="353"/>
      <c r="AE40" s="354"/>
      <c r="AF40" s="347"/>
      <c r="AG40" s="348"/>
      <c r="AH40" s="349">
        <f t="shared" si="56"/>
        <v>0</v>
      </c>
      <c r="AI40" s="350"/>
      <c r="AJ40" s="68">
        <f t="shared" si="57"/>
        <v>0</v>
      </c>
      <c r="AK40" s="67">
        <v>0</v>
      </c>
      <c r="AL40" s="68">
        <v>0</v>
      </c>
      <c r="AM40" s="68">
        <v>0</v>
      </c>
      <c r="AN40" s="68">
        <v>0</v>
      </c>
      <c r="AO40" s="68">
        <v>0</v>
      </c>
      <c r="AP40" s="68">
        <v>0</v>
      </c>
      <c r="AQ40" s="346"/>
      <c r="AR40" s="199"/>
      <c r="AS40" s="199"/>
      <c r="AT40" s="199"/>
      <c r="AU40" s="199"/>
      <c r="AV40" s="199"/>
      <c r="AW40" s="199"/>
      <c r="AX40" s="199"/>
      <c r="AY40" s="8">
        <f t="shared" ref="AY40:AY53" si="58">B37</f>
        <v>0</v>
      </c>
      <c r="AZ40" s="8">
        <f>IFERROR((VLOOKUP($BP$1&amp;B37,Teams!D:S,12,0)),0)</f>
        <v>0</v>
      </c>
      <c r="BA40" s="8">
        <f>IFERROR((VLOOKUP($BP$1&amp;B37,Teams!D:S,13,0)),0)</f>
        <v>0</v>
      </c>
      <c r="BB40" s="8">
        <f>IFERROR((VLOOKUP($BP$1&amp;B37,Teams!D:S,14,0)),0)</f>
        <v>0</v>
      </c>
      <c r="BC40" s="8">
        <f>IFERROR((VLOOKUP($BP$1&amp;B37,Teams!D:S,15,0)),0)</f>
        <v>0</v>
      </c>
      <c r="BD40" s="8">
        <f>IFERROR((VLOOKUP($BP$1&amp;B37,Teams!D:S,16,0)),0)</f>
        <v>0</v>
      </c>
      <c r="BE40" s="8">
        <v>20000</v>
      </c>
      <c r="BF40" s="8">
        <v>10000</v>
      </c>
      <c r="BG40" s="8">
        <v>40000</v>
      </c>
      <c r="BH40" s="8">
        <v>20000</v>
      </c>
      <c r="BI40" s="8">
        <v>80000</v>
      </c>
      <c r="BJ40" s="8">
        <f>SUM(CH40:CT40)</f>
        <v>0</v>
      </c>
      <c r="BK40"/>
      <c r="BL40" s="8">
        <f>IF(C37="",0,(VLOOKUP(C37,$CD$59:$CE$159,2,0)))</f>
        <v>0</v>
      </c>
      <c r="BM40" s="8">
        <f>IF(F37="",0,(VLOOKUP(F37,$CD$59:$CE$159,2,0)))</f>
        <v>0</v>
      </c>
      <c r="BN40" s="8">
        <f>IF(L37="",0,(VLOOKUP(L37,$CD$59:$CE$159,2,0)))</f>
        <v>0</v>
      </c>
      <c r="BO40" s="8">
        <f>IF(P37="",0,(VLOOKUP(P37,$CD$59:$CE$159,2,0)))</f>
        <v>0</v>
      </c>
      <c r="BP40" s="8">
        <f>IF(T37="",0,(VLOOKUP(T37,$CD$59:$CE$159,2,0)))</f>
        <v>0</v>
      </c>
      <c r="BQ40" s="8">
        <f>IF(X37="",0,(VLOOKUP(X37,$CD$59:$CE$159,2,0)))</f>
        <v>0</v>
      </c>
      <c r="BR40"/>
      <c r="BS40"/>
      <c r="BT40" s="8">
        <f>(IF(BL40="G",AZ40,IF(BL40="A",BA40,IF(BL40="S",BB40,IF(BL40="P",BC40,IF(BL40="M",BD40,IF(BL40="X",0,IF(OR(BL40="MA",BL40="AV",BL40="ST",BL40="PA",BL40="AG"),"STAT",0))))))))</f>
        <v>0</v>
      </c>
      <c r="BU40" s="8">
        <f t="shared" ref="BU40:BU53" si="59">(IF(BM40="G",AZ40,IF(BM40="A",BA40,IF(BM40="S",BB40,IF(BM40="P",BC40,IF(BM40="M",BD40,IF(BM40="X",0,IF(OR(BM40="MA",BM40="AV",BM40="ST",BM40="PA",BM40="AG"),"STAT",0))))))))</f>
        <v>0</v>
      </c>
      <c r="BV40" s="8">
        <f t="shared" ref="BV40:BV53" si="60">(IF(BN40="G",AZ40,IF(BN40="A",BA40,IF(BN40="S",BB40,IF(BN40="P",BC40,IF(BN40="M",BD40,IF(BN40="X",0,IF(OR(BN40="MA",BN40="AV",BN40="ST",BN40="PA",BN40="AG"),"STAT",0))))))))</f>
        <v>0</v>
      </c>
      <c r="BW40" s="8">
        <f t="shared" ref="BW40:BW53" si="61">(IF(BO40="G",AZ40,IF(BO40="A",BA40,IF(BO40="S",BB40,IF(BO40="P",BC40,IF(BO40="M",BD40,IF(BO40="X",0,IF(OR(BO40="MA",BO40="AV",BO40="ST",BO40="PA",BO40="AG"),"STAT",0))))))))</f>
        <v>0</v>
      </c>
      <c r="BX40" s="8">
        <f t="shared" ref="BX40:BX53" si="62">(IF(BP40="G",AZ40,IF(BP40="A",BA40,IF(BP40="S",BB40,IF(BP40="P",BC40,IF(BP40="M",BD40,IF(BP40="X",0,IF(OR(BP40="MA",BP40="AV",BP40="ST",BP40="PA",BP40="AG"),"STAT",0))))))))</f>
        <v>0</v>
      </c>
      <c r="BY40" s="8">
        <f t="shared" ref="BY40:BY53" si="63">(IF(BQ40="G",AZ40,IF(BQ40="A",BA40,IF(BQ40="S",BB40,IF(BQ40="P",BC40,IF(BQ40="M",BD40,IF(BQ40="X",0,IF(OR(BQ40="MA",BQ40="AV",BQ40="ST",BQ40="PA",BQ40="AG"),"STAT",0))))))))</f>
        <v>0</v>
      </c>
      <c r="BZ40" s="8"/>
      <c r="CA40" s="8">
        <f t="shared" ref="CA40:CA54" si="64">IF(D37="Chosen","Chosen",(IF(D37="Scelto","Chosen",(IF(D37="Elegida","Chosen",(IF(D37="Gewählt","Chosen",(IF(D37="Choisie","Chosen",(IF(D37="Random","Random",(IF(D37="Casuale","Random",(IF(D37="Aleatoria","Random",(IF(D37="Zufällig","Random",(IF(D37="Aléatoire","Random",0)))))))))))))))))))</f>
        <v>0</v>
      </c>
      <c r="CB40" s="8">
        <f t="shared" ref="CB40:CB54" si="65">IF(H37="Chosen","Chosen",(IF(H37="Scelto","Chosen",(IF(H37="Elegida","Chosen",(IF(H37="Gewählt","Chosen",(IF(H37="Choisie","Chosen",(IF(H37="Random","Random",(IF(H37="Casuale","Random",(IF(H37="Aleatoria","Random",(IF(H37="Zufällig","Random",(IF(H37="Aléatoire","Random",0)))))))))))))))))))</f>
        <v>0</v>
      </c>
      <c r="CC40" s="8">
        <f t="shared" ref="CC40:CC54" si="66">IF(N37="Chosen","Chosen",(IF(N37="Scelto","Chosen",(IF(N37="Elegida","Chosen",(IF(N37="Gewählt","Chosen",(IF(N37="Choisie","Chosen",(IF(N37="Random","Random",(IF(N37="Casuale","Random",(IF(N37="Aleatoria","Random",(IF(N37="Zufällig","Random",(IF(N37="Aléatoire","Random",0)))))))))))))))))))</f>
        <v>0</v>
      </c>
      <c r="CD40" s="8">
        <f t="shared" ref="CD40:CD54" si="67">IF(R37="Chosen","Chosen",(IF(R37="Scelto","Chosen",(IF(R37="Elegida","Chosen",(IF(R37="Gewählt","Chosen",(IF(R37="Choisie","Chosen",(IF(R37="Random","Random",(IF(R37="Casuale","Random",(IF(R37="Aleatoria","Random",(IF(R37="Zufällig","Random",(IF(R37="Aléatoire","Random",0)))))))))))))))))))</f>
        <v>0</v>
      </c>
      <c r="CE40" s="8">
        <f t="shared" ref="CE40:CE54" si="68">IF(V37="Chosen","Chosen",(IF(V37="Scelto","Chosen",(IF(V37="Elegida","Chosen",(IF(V37="Gewählt","Chosen",(IF(V37="Choisie","Chosen",(IF(V37="Random","Random",(IF(V37="Casuale","Random",(IF(V37="Aleatoria","Random",(IF(V37="Zufällig","Random",(IF(V37="Aléatoire","Random",0)))))))))))))))))))</f>
        <v>0</v>
      </c>
      <c r="CF40" s="8">
        <f t="shared" ref="CF40:CF54" si="69">IF(Z37="Chosen","Chosen",(IF(Z37="Scelto","Chosen",(IF(Z37="Elegida","Chosen",(IF(Z37="Gewählt","Chosen",(IF(Z37="Choisie","Chosen",(IF(Z37="Random","Random",(IF(Z37="Casuale","Random",(IF(Z37="Aleatoria","Random",(IF(Z37="Zufällig","Random",(IF(Z37="Aléatoire","Random",0)))))))))))))))))))</f>
        <v>0</v>
      </c>
      <c r="CG40" s="8"/>
      <c r="CH40" s="8">
        <f>IF(AND(BT40="P",CA40="Random"),10000,IF(AND(BT40="P",CA40="Chosen"),20000,IF(AND(BT40="S",CA40="Random"),20000,IF(AND(BT40="S",CA40="Chosen"),40000,0))))</f>
        <v>0</v>
      </c>
      <c r="CI40" s="8">
        <f t="shared" ref="CI40:CI53" si="70">IF(AND(BU40="P",CB40="Random"),10000,IF(AND(BU40="P",CB40="Chosen"),20000,IF(AND(BU40="S",CB40="Random"),20000,IF(AND(BU40="S",CB40="Chosen"),40000,0))))</f>
        <v>0</v>
      </c>
      <c r="CJ40" s="8">
        <f t="shared" ref="CJ40:CJ53" si="71">IF(AND(BV40="P",CC40="Random"),10000,IF(AND(BV40="P",CC40="Chosen"),20000,IF(AND(BV40="S",CC40="Random"),20000,IF(AND(BV40="S",CC40="Chosen"),40000,0))))</f>
        <v>0</v>
      </c>
      <c r="CK40" s="8">
        <f t="shared" ref="CK40:CK53" si="72">IF(AND(BW40="P",CD40="Random"),10000,IF(AND(BW40="P",CD40="Chosen"),20000,IF(AND(BW40="S",CD40="Random"),20000,IF(AND(BW40="S",CD40="Chosen"),40000,0))))</f>
        <v>0</v>
      </c>
      <c r="CL40" s="8">
        <f t="shared" ref="CL40:CL53" si="73">IF(AND(BX40="P",CE40="Random"),10000,IF(AND(BX40="P",CE40="Chosen"),20000,IF(AND(BX40="S",CE40="Random"),20000,IF(AND(BX40="S",CE40="Chosen"),40000,0))))</f>
        <v>0</v>
      </c>
      <c r="CM40" s="8">
        <f t="shared" ref="CM40:CM53" si="74">IF(AND(BY40="P",CF40="Random"),10000,IF(AND(BY40="P",CF40="Chosen"),20000,IF(AND(BY40="S",CF40="Random"),20000,IF(AND(BY40="S",CF40="Chosen"),40000,0))))</f>
        <v>0</v>
      </c>
      <c r="CN40" s="8"/>
      <c r="CO40" s="8">
        <f t="shared" ref="CO40:CO53" si="75">IF(BL40="AV",10000,IF(BL40="MA",20000,IF(BL40="PA",20000,IF(BL40="AG",40000,IF(BL40="ST",80000,0)))))</f>
        <v>0</v>
      </c>
      <c r="CP40" s="8">
        <f t="shared" ref="CP40:CP53" si="76">IF(BM40="AV",10000,IF(BM40="MA",20000,IF(BM40="PA",20000,IF(BM40="AG",40000,IF(BM40="ST",80000,0)))))</f>
        <v>0</v>
      </c>
      <c r="CQ40" s="8">
        <f t="shared" ref="CQ40:CQ53" si="77">IF(BN40="AV",10000,IF(BN40="MA",20000,IF(BN40="PA",20000,IF(BN40="AG",40000,IF(BN40="ST",80000,0)))))</f>
        <v>0</v>
      </c>
      <c r="CR40" s="8">
        <f t="shared" ref="CR40:CR53" si="78">IF(BO40="AV",10000,IF(BO40="MA",20000,IF(BO40="PA",20000,IF(BO40="AG",40000,IF(BO40="ST",80000,0)))))</f>
        <v>0</v>
      </c>
      <c r="CS40" s="8">
        <f t="shared" ref="CS40:CS53" si="79">IF(BP40="AV",10000,IF(BP40="MA",20000,IF(BP40="PA",20000,IF(BP40="AG",40000,IF(BP40="ST",80000,0)))))</f>
        <v>0</v>
      </c>
      <c r="CT40" s="8">
        <f t="shared" ref="CT40:CT53" si="80">IF(BQ40="AV",10000,IF(BQ40="MA",20000,IF(BQ40="PA",20000,IF(BQ40="AG",40000,IF(BQ40="ST",80000,0)))))</f>
        <v>0</v>
      </c>
      <c r="CU40" s="8"/>
      <c r="CV40" s="8">
        <f t="shared" ref="CV40:CV53" si="81">IF(AND(BT40="P",CA40="Random"),3,IF(AND(BT40="P",CA40="Chosen"),6,IF(AND(BT40="S",CA40="Random"),6,IF(AND(BT40="S",CA40="Chosen"),12,IF(OR(BT40="STAT"),18,0)))))</f>
        <v>0</v>
      </c>
      <c r="CW40" s="8">
        <f t="shared" ref="CW40:CW53" si="82">IF(AND(BU40="P",CB40="Random"),4,IF(AND(BU40="P",CB40="Chosen"),8,IF(AND(BU40="S",CB40="Random"),8,IF(AND(BU40="S",CB40="Chosen"),14,IF(OR(BU40="STAT"),20,0)))))</f>
        <v>0</v>
      </c>
      <c r="CX40" s="8">
        <f t="shared" ref="CX40:CX53" si="83">IF(AND(BV40="P",CC40="Random"),6,IF(AND(BV40="P",CC40="Chosen"),12,IF(AND(BV40="S",CC40="Random"),12,IF(AND(BV40="S",CC40="Chosen"),18,IF(OR(BV40="STAT"),24,0)))))</f>
        <v>0</v>
      </c>
      <c r="CY40" s="8">
        <f t="shared" ref="CY40:CY53" si="84">IF(AND(BW40="P",CD40="Random"),8,IF(AND(BW40="P",CD40="Chosen"),16,IF(AND(BW40="S",CD40="Random"),16,IF(AND(BW40="S",CD40="Chosen"),22,IF(OR(BW40="STAT"),28,0)))))</f>
        <v>0</v>
      </c>
      <c r="CZ40" s="8">
        <f t="shared" ref="CZ40:CZ53" si="85">IF(AND(BX40="P",CE40="Random"),10,IF(AND(BX40="P",CE40="Chosen"),20,IF(AND(BX40="S",CE40="Random"),20,IF(AND(BX40="S",CE40="Chosen"),26,IF(OR(BX40="STAT"),32,0)))))</f>
        <v>0</v>
      </c>
      <c r="DA40" s="8">
        <f t="shared" ref="DA40:DA53" si="86">IF(AND(BY40="P",CF40="Random"),15,IF(AND(BY40="P",CF40="Chosen"),30,IF(AND(BY40="S",CF40="Random"),30,IF(AND(BY40="S",CF40="Chosen"),40,IF(OR(BY40="STAT"),50,0)))))</f>
        <v>0</v>
      </c>
      <c r="DB40" s="199"/>
      <c r="DC40" s="199"/>
    </row>
    <row r="41" spans="1:107" s="200" customFormat="1" ht="22.5" customHeight="1" x14ac:dyDescent="0.2">
      <c r="A41" s="15">
        <v>5</v>
      </c>
      <c r="B41" s="25" t="str">
        <f t="shared" si="55"/>
        <v xml:space="preserve">Ogre </v>
      </c>
      <c r="C41" s="253"/>
      <c r="D41" s="315"/>
      <c r="E41" s="316"/>
      <c r="F41" s="315"/>
      <c r="G41" s="316"/>
      <c r="H41" s="315"/>
      <c r="I41" s="342"/>
      <c r="J41" s="342"/>
      <c r="K41" s="316"/>
      <c r="L41" s="315"/>
      <c r="M41" s="316"/>
      <c r="N41" s="315"/>
      <c r="O41" s="316"/>
      <c r="P41" s="315"/>
      <c r="Q41" s="316"/>
      <c r="R41" s="315"/>
      <c r="S41" s="316"/>
      <c r="T41" s="315"/>
      <c r="U41" s="316"/>
      <c r="V41" s="315"/>
      <c r="W41" s="316"/>
      <c r="X41" s="315"/>
      <c r="Y41" s="316"/>
      <c r="Z41" s="315"/>
      <c r="AA41" s="316"/>
      <c r="AB41" s="351">
        <v>0</v>
      </c>
      <c r="AC41" s="352"/>
      <c r="AD41" s="353"/>
      <c r="AE41" s="354"/>
      <c r="AF41" s="353"/>
      <c r="AG41" s="354"/>
      <c r="AH41" s="349">
        <f t="shared" si="56"/>
        <v>0</v>
      </c>
      <c r="AI41" s="350"/>
      <c r="AJ41" s="68">
        <f t="shared" si="57"/>
        <v>0</v>
      </c>
      <c r="AK41" s="67">
        <v>0</v>
      </c>
      <c r="AL41" s="68">
        <v>0</v>
      </c>
      <c r="AM41" s="68">
        <v>0</v>
      </c>
      <c r="AN41" s="68">
        <v>0</v>
      </c>
      <c r="AO41" s="68">
        <v>0</v>
      </c>
      <c r="AP41" s="68">
        <v>0</v>
      </c>
      <c r="AQ41" s="346"/>
      <c r="AR41" s="199"/>
      <c r="AS41" s="199"/>
      <c r="AT41" s="199"/>
      <c r="AU41" s="199"/>
      <c r="AV41" s="199"/>
      <c r="AW41" s="199"/>
      <c r="AX41" s="199"/>
      <c r="AY41" s="8" t="str">
        <f t="shared" si="58"/>
        <v xml:space="preserve">Ogre </v>
      </c>
      <c r="AZ41" s="8" t="str">
        <f>IFERROR((VLOOKUP($BP$1&amp;B38,Teams!D:S,12,0)),0)</f>
        <v>S</v>
      </c>
      <c r="BA41" s="8" t="str">
        <f>IFERROR((VLOOKUP($BP$1&amp;B38,Teams!D:S,13,0)),0)</f>
        <v>S</v>
      </c>
      <c r="BB41" s="8" t="str">
        <f>IFERROR((VLOOKUP($BP$1&amp;B38,Teams!D:S,14,0)),0)</f>
        <v>P</v>
      </c>
      <c r="BC41" s="8" t="str">
        <f>IFERROR((VLOOKUP($BP$1&amp;B38,Teams!D:S,15,0)),0)</f>
        <v>S</v>
      </c>
      <c r="BD41" s="8">
        <f>IFERROR((VLOOKUP($BP$1&amp;B38,Teams!D:S,16,0)),0)</f>
        <v>0</v>
      </c>
      <c r="BE41" s="8">
        <v>20000</v>
      </c>
      <c r="BF41" s="8">
        <v>10000</v>
      </c>
      <c r="BG41" s="8">
        <v>40000</v>
      </c>
      <c r="BH41" s="8">
        <v>20000</v>
      </c>
      <c r="BI41" s="8">
        <v>80000</v>
      </c>
      <c r="BJ41" s="8">
        <f t="shared" ref="BJ41:BJ53" si="87">SUM(CH41:CT41)</f>
        <v>10000</v>
      </c>
      <c r="BK41"/>
      <c r="BL41" s="8" t="str">
        <f t="shared" ref="BL41:BL55" si="88">IF(C38="",0,(VLOOKUP(C38,$CD$59:$CE$159,2,0)))</f>
        <v>S</v>
      </c>
      <c r="BM41" s="8">
        <f t="shared" ref="BM41:BM55" si="89">IF(F38="",0,(VLOOKUP(F38,$CD$59:$CE$159,2,0)))</f>
        <v>0</v>
      </c>
      <c r="BN41" s="8">
        <f t="shared" ref="BN41:BN55" si="90">IF(L38="",0,(VLOOKUP(L38,$CD$59:$CE$159,2,0)))</f>
        <v>0</v>
      </c>
      <c r="BO41" s="8">
        <f t="shared" ref="BO41:BO55" si="91">IF(P38="",0,(VLOOKUP(P38,$CD$59:$CE$159,2,0)))</f>
        <v>0</v>
      </c>
      <c r="BP41" s="8">
        <f t="shared" ref="BP41:BP55" si="92">IF(T38="",0,(VLOOKUP(T38,$CD$59:$CE$159,2,0)))</f>
        <v>0</v>
      </c>
      <c r="BQ41" s="8">
        <f t="shared" ref="BQ41:BQ55" si="93">IF(X38="",0,(VLOOKUP(X38,$CD$59:$CE$159,2,0)))</f>
        <v>0</v>
      </c>
      <c r="BR41"/>
      <c r="BS41"/>
      <c r="BT41" s="8" t="str">
        <f t="shared" ref="BT41:BT53" si="94">(IF(BL41="G",AZ41,IF(BL41="A",BA41,IF(BL41="S",BB41,IF(BL41="P",BC41,IF(BL41="M",BD41,IF(BL41="X",0,IF(OR(BL41="MA",BL41="AV",BL41="ST",BL41="PA",BL41="AG"),"STAT",0))))))))</f>
        <v>P</v>
      </c>
      <c r="BU41" s="8">
        <f t="shared" si="59"/>
        <v>0</v>
      </c>
      <c r="BV41" s="8">
        <f t="shared" si="60"/>
        <v>0</v>
      </c>
      <c r="BW41" s="8">
        <f t="shared" si="61"/>
        <v>0</v>
      </c>
      <c r="BX41" s="8">
        <f t="shared" si="62"/>
        <v>0</v>
      </c>
      <c r="BY41" s="8">
        <f t="shared" si="63"/>
        <v>0</v>
      </c>
      <c r="BZ41" s="8"/>
      <c r="CA41" s="8" t="str">
        <f t="shared" si="64"/>
        <v>Random</v>
      </c>
      <c r="CB41" s="8">
        <f t="shared" si="65"/>
        <v>0</v>
      </c>
      <c r="CC41" s="8">
        <f t="shared" si="66"/>
        <v>0</v>
      </c>
      <c r="CD41" s="8">
        <f t="shared" si="67"/>
        <v>0</v>
      </c>
      <c r="CE41" s="8">
        <f t="shared" si="68"/>
        <v>0</v>
      </c>
      <c r="CF41" s="8">
        <f t="shared" si="69"/>
        <v>0</v>
      </c>
      <c r="CG41" s="8"/>
      <c r="CH41" s="8">
        <f t="shared" ref="CH41:CH53" si="95">IF(AND(BT41="P",CA41="Random"),10000,IF(AND(BT41="P",CA41="Chosen"),20000,IF(AND(BT41="S",CA41="Random"),20000,IF(AND(BT41="S",CA41="Chosen"),40000,0))))</f>
        <v>10000</v>
      </c>
      <c r="CI41" s="8">
        <f t="shared" si="70"/>
        <v>0</v>
      </c>
      <c r="CJ41" s="8">
        <f t="shared" si="71"/>
        <v>0</v>
      </c>
      <c r="CK41" s="8">
        <f t="shared" si="72"/>
        <v>0</v>
      </c>
      <c r="CL41" s="8">
        <f t="shared" si="73"/>
        <v>0</v>
      </c>
      <c r="CM41" s="8">
        <f t="shared" si="74"/>
        <v>0</v>
      </c>
      <c r="CN41" s="8"/>
      <c r="CO41" s="8">
        <f t="shared" si="75"/>
        <v>0</v>
      </c>
      <c r="CP41" s="8">
        <f t="shared" si="76"/>
        <v>0</v>
      </c>
      <c r="CQ41" s="8">
        <f t="shared" si="77"/>
        <v>0</v>
      </c>
      <c r="CR41" s="8">
        <f t="shared" si="78"/>
        <v>0</v>
      </c>
      <c r="CS41" s="8">
        <f t="shared" si="79"/>
        <v>0</v>
      </c>
      <c r="CT41" s="8">
        <f t="shared" si="80"/>
        <v>0</v>
      </c>
      <c r="CU41" s="8"/>
      <c r="CV41" s="8">
        <f t="shared" si="81"/>
        <v>3</v>
      </c>
      <c r="CW41" s="8">
        <f t="shared" si="82"/>
        <v>0</v>
      </c>
      <c r="CX41" s="8">
        <f t="shared" si="83"/>
        <v>0</v>
      </c>
      <c r="CY41" s="8">
        <f t="shared" si="84"/>
        <v>0</v>
      </c>
      <c r="CZ41" s="8">
        <f t="shared" si="85"/>
        <v>0</v>
      </c>
      <c r="DA41" s="8">
        <f t="shared" si="86"/>
        <v>0</v>
      </c>
      <c r="DB41" s="199"/>
      <c r="DC41" s="199"/>
    </row>
    <row r="42" spans="1:107" s="200" customFormat="1" ht="22.5" customHeight="1" x14ac:dyDescent="0.2">
      <c r="A42" s="15">
        <v>6</v>
      </c>
      <c r="B42" s="25" t="str">
        <f t="shared" si="55"/>
        <v xml:space="preserve">Ogre </v>
      </c>
      <c r="C42" s="253" t="s">
        <v>1851</v>
      </c>
      <c r="D42" s="315" t="s">
        <v>1847</v>
      </c>
      <c r="E42" s="316"/>
      <c r="F42" s="315"/>
      <c r="G42" s="316"/>
      <c r="H42" s="315"/>
      <c r="I42" s="342"/>
      <c r="J42" s="342"/>
      <c r="K42" s="316"/>
      <c r="L42" s="315"/>
      <c r="M42" s="316"/>
      <c r="N42" s="315"/>
      <c r="O42" s="316"/>
      <c r="P42" s="315"/>
      <c r="Q42" s="316"/>
      <c r="R42" s="315"/>
      <c r="S42" s="316"/>
      <c r="T42" s="315"/>
      <c r="U42" s="316"/>
      <c r="V42" s="315"/>
      <c r="W42" s="316"/>
      <c r="X42" s="315"/>
      <c r="Y42" s="316"/>
      <c r="Z42" s="315"/>
      <c r="AA42" s="316"/>
      <c r="AB42" s="351">
        <v>0</v>
      </c>
      <c r="AC42" s="352"/>
      <c r="AD42" s="353"/>
      <c r="AE42" s="354"/>
      <c r="AF42" s="353"/>
      <c r="AG42" s="354"/>
      <c r="AH42" s="349">
        <f t="shared" si="56"/>
        <v>10000</v>
      </c>
      <c r="AI42" s="350"/>
      <c r="AJ42" s="68">
        <f t="shared" si="57"/>
        <v>3</v>
      </c>
      <c r="AK42" s="67">
        <v>0</v>
      </c>
      <c r="AL42" s="68">
        <v>0</v>
      </c>
      <c r="AM42" s="68">
        <v>0</v>
      </c>
      <c r="AN42" s="68">
        <v>0</v>
      </c>
      <c r="AO42" s="68">
        <v>0</v>
      </c>
      <c r="AP42" s="68">
        <v>0</v>
      </c>
      <c r="AQ42" s="346"/>
      <c r="AR42" s="199"/>
      <c r="AS42" s="199"/>
      <c r="AT42" s="199"/>
      <c r="AU42" s="199"/>
      <c r="AV42" s="199"/>
      <c r="AW42" s="199"/>
      <c r="AX42" s="199"/>
      <c r="AY42" s="8" t="str">
        <f t="shared" si="58"/>
        <v xml:space="preserve">Ogre </v>
      </c>
      <c r="AZ42" s="8" t="str">
        <f>IFERROR((VLOOKUP($BP$1&amp;B39,Teams!D:S,12,0)),0)</f>
        <v>S</v>
      </c>
      <c r="BA42" s="8" t="str">
        <f>IFERROR((VLOOKUP($BP$1&amp;B39,Teams!D:S,13,0)),0)</f>
        <v>S</v>
      </c>
      <c r="BB42" s="8" t="str">
        <f>IFERROR((VLOOKUP($BP$1&amp;B39,Teams!D:S,14,0)),0)</f>
        <v>P</v>
      </c>
      <c r="BC42" s="8" t="str">
        <f>IFERROR((VLOOKUP($BP$1&amp;B39,Teams!D:S,15,0)),0)</f>
        <v>S</v>
      </c>
      <c r="BD42" s="8">
        <f>IFERROR((VLOOKUP($BP$1&amp;B39,Teams!D:S,16,0)),0)</f>
        <v>0</v>
      </c>
      <c r="BE42" s="8">
        <v>20000</v>
      </c>
      <c r="BF42" s="8">
        <v>10000</v>
      </c>
      <c r="BG42" s="8">
        <v>40000</v>
      </c>
      <c r="BH42" s="8">
        <v>20000</v>
      </c>
      <c r="BI42" s="8">
        <v>80000</v>
      </c>
      <c r="BJ42" s="8">
        <f t="shared" si="87"/>
        <v>20000</v>
      </c>
      <c r="BK42"/>
      <c r="BL42" s="8" t="str">
        <f t="shared" si="88"/>
        <v>S</v>
      </c>
      <c r="BM42" s="8" t="str">
        <f t="shared" si="89"/>
        <v>S</v>
      </c>
      <c r="BN42" s="8">
        <f t="shared" si="90"/>
        <v>0</v>
      </c>
      <c r="BO42" s="8">
        <f t="shared" si="91"/>
        <v>0</v>
      </c>
      <c r="BP42" s="8">
        <f t="shared" si="92"/>
        <v>0</v>
      </c>
      <c r="BQ42" s="8">
        <f t="shared" si="93"/>
        <v>0</v>
      </c>
      <c r="BR42"/>
      <c r="BS42"/>
      <c r="BT42" s="8" t="str">
        <f t="shared" si="94"/>
        <v>P</v>
      </c>
      <c r="BU42" s="8" t="str">
        <f t="shared" si="59"/>
        <v>P</v>
      </c>
      <c r="BV42" s="8">
        <f t="shared" si="60"/>
        <v>0</v>
      </c>
      <c r="BW42" s="8">
        <f t="shared" si="61"/>
        <v>0</v>
      </c>
      <c r="BX42" s="8">
        <f t="shared" si="62"/>
        <v>0</v>
      </c>
      <c r="BY42" s="8">
        <f t="shared" si="63"/>
        <v>0</v>
      </c>
      <c r="BZ42" s="8"/>
      <c r="CA42" s="8" t="str">
        <f t="shared" si="64"/>
        <v>Random</v>
      </c>
      <c r="CB42" s="8" t="str">
        <f t="shared" si="65"/>
        <v>Random</v>
      </c>
      <c r="CC42" s="8">
        <f t="shared" si="66"/>
        <v>0</v>
      </c>
      <c r="CD42" s="8">
        <f t="shared" si="67"/>
        <v>0</v>
      </c>
      <c r="CE42" s="8">
        <f t="shared" si="68"/>
        <v>0</v>
      </c>
      <c r="CF42" s="8">
        <f t="shared" si="69"/>
        <v>0</v>
      </c>
      <c r="CG42" s="8"/>
      <c r="CH42" s="8">
        <f t="shared" si="95"/>
        <v>10000</v>
      </c>
      <c r="CI42" s="8">
        <f t="shared" si="70"/>
        <v>10000</v>
      </c>
      <c r="CJ42" s="8">
        <f t="shared" si="71"/>
        <v>0</v>
      </c>
      <c r="CK42" s="8">
        <f t="shared" si="72"/>
        <v>0</v>
      </c>
      <c r="CL42" s="8">
        <f t="shared" si="73"/>
        <v>0</v>
      </c>
      <c r="CM42" s="8">
        <f t="shared" si="74"/>
        <v>0</v>
      </c>
      <c r="CN42" s="8"/>
      <c r="CO42" s="8">
        <f t="shared" si="75"/>
        <v>0</v>
      </c>
      <c r="CP42" s="8">
        <f t="shared" si="76"/>
        <v>0</v>
      </c>
      <c r="CQ42" s="8">
        <f t="shared" si="77"/>
        <v>0</v>
      </c>
      <c r="CR42" s="8">
        <f t="shared" si="78"/>
        <v>0</v>
      </c>
      <c r="CS42" s="8">
        <f t="shared" si="79"/>
        <v>0</v>
      </c>
      <c r="CT42" s="8">
        <f t="shared" si="80"/>
        <v>0</v>
      </c>
      <c r="CU42" s="8"/>
      <c r="CV42" s="8">
        <f t="shared" si="81"/>
        <v>3</v>
      </c>
      <c r="CW42" s="8">
        <f t="shared" si="82"/>
        <v>4</v>
      </c>
      <c r="CX42" s="8">
        <f t="shared" si="83"/>
        <v>0</v>
      </c>
      <c r="CY42" s="8">
        <f t="shared" si="84"/>
        <v>0</v>
      </c>
      <c r="CZ42" s="8">
        <f t="shared" si="85"/>
        <v>0</v>
      </c>
      <c r="DA42" s="8">
        <f t="shared" si="86"/>
        <v>0</v>
      </c>
      <c r="DB42" s="199"/>
      <c r="DC42" s="199"/>
    </row>
    <row r="43" spans="1:107" s="200" customFormat="1" ht="22.5" customHeight="1" x14ac:dyDescent="0.2">
      <c r="A43" s="15">
        <v>7</v>
      </c>
      <c r="B43" s="25" t="str">
        <f t="shared" si="55"/>
        <v>Gnoblar</v>
      </c>
      <c r="C43" s="253"/>
      <c r="D43" s="315"/>
      <c r="E43" s="316"/>
      <c r="F43" s="315"/>
      <c r="G43" s="316"/>
      <c r="H43" s="315"/>
      <c r="I43" s="342"/>
      <c r="J43" s="342"/>
      <c r="K43" s="316"/>
      <c r="L43" s="315"/>
      <c r="M43" s="316"/>
      <c r="N43" s="315"/>
      <c r="O43" s="316"/>
      <c r="P43" s="315"/>
      <c r="Q43" s="316"/>
      <c r="R43" s="315"/>
      <c r="S43" s="316"/>
      <c r="T43" s="315"/>
      <c r="U43" s="316"/>
      <c r="V43" s="315"/>
      <c r="W43" s="316"/>
      <c r="X43" s="315"/>
      <c r="Y43" s="316"/>
      <c r="Z43" s="315"/>
      <c r="AA43" s="316"/>
      <c r="AB43" s="351">
        <v>0</v>
      </c>
      <c r="AC43" s="352"/>
      <c r="AD43" s="353"/>
      <c r="AE43" s="354"/>
      <c r="AF43" s="353"/>
      <c r="AG43" s="354"/>
      <c r="AH43" s="349">
        <f t="shared" si="56"/>
        <v>0</v>
      </c>
      <c r="AI43" s="350"/>
      <c r="AJ43" s="68">
        <f t="shared" si="57"/>
        <v>0</v>
      </c>
      <c r="AK43" s="67">
        <v>0</v>
      </c>
      <c r="AL43" s="68">
        <v>0</v>
      </c>
      <c r="AM43" s="68">
        <v>0</v>
      </c>
      <c r="AN43" s="68">
        <v>0</v>
      </c>
      <c r="AO43" s="68">
        <v>0</v>
      </c>
      <c r="AP43" s="68">
        <v>0</v>
      </c>
      <c r="AQ43" s="346"/>
      <c r="AR43" s="199"/>
      <c r="AS43" s="199"/>
      <c r="AT43" s="199"/>
      <c r="AU43" s="199"/>
      <c r="AV43" s="199"/>
      <c r="AW43" s="199"/>
      <c r="AX43" s="199"/>
      <c r="AY43" s="8" t="str">
        <f t="shared" si="58"/>
        <v xml:space="preserve">Ogre </v>
      </c>
      <c r="AZ43" s="8" t="str">
        <f>IFERROR((VLOOKUP($BP$1&amp;B40,Teams!D:S,12,0)),0)</f>
        <v>S</v>
      </c>
      <c r="BA43" s="8" t="str">
        <f>IFERROR((VLOOKUP($BP$1&amp;B40,Teams!D:S,13,0)),0)</f>
        <v>S</v>
      </c>
      <c r="BB43" s="8" t="str">
        <f>IFERROR((VLOOKUP($BP$1&amp;B40,Teams!D:S,14,0)),0)</f>
        <v>P</v>
      </c>
      <c r="BC43" s="8" t="str">
        <f>IFERROR((VLOOKUP($BP$1&amp;B40,Teams!D:S,15,0)),0)</f>
        <v>S</v>
      </c>
      <c r="BD43" s="8">
        <f>IFERROR((VLOOKUP($BP$1&amp;B40,Teams!D:S,16,0)),0)</f>
        <v>0</v>
      </c>
      <c r="BE43" s="8">
        <v>20000</v>
      </c>
      <c r="BF43" s="8">
        <v>10000</v>
      </c>
      <c r="BG43" s="8">
        <v>40000</v>
      </c>
      <c r="BH43" s="8">
        <v>20000</v>
      </c>
      <c r="BI43" s="8">
        <v>80000</v>
      </c>
      <c r="BJ43" s="8">
        <f t="shared" si="87"/>
        <v>0</v>
      </c>
      <c r="BK43"/>
      <c r="BL43" s="8">
        <f t="shared" si="88"/>
        <v>0</v>
      </c>
      <c r="BM43" s="8">
        <f t="shared" si="89"/>
        <v>0</v>
      </c>
      <c r="BN43" s="8">
        <f t="shared" si="90"/>
        <v>0</v>
      </c>
      <c r="BO43" s="8">
        <f t="shared" si="91"/>
        <v>0</v>
      </c>
      <c r="BP43" s="8">
        <f t="shared" si="92"/>
        <v>0</v>
      </c>
      <c r="BQ43" s="8">
        <f t="shared" si="93"/>
        <v>0</v>
      </c>
      <c r="BR43"/>
      <c r="BS43"/>
      <c r="BT43" s="8">
        <f t="shared" si="94"/>
        <v>0</v>
      </c>
      <c r="BU43" s="8">
        <f t="shared" si="59"/>
        <v>0</v>
      </c>
      <c r="BV43" s="8">
        <f t="shared" si="60"/>
        <v>0</v>
      </c>
      <c r="BW43" s="8">
        <f t="shared" si="61"/>
        <v>0</v>
      </c>
      <c r="BX43" s="8">
        <f t="shared" si="62"/>
        <v>0</v>
      </c>
      <c r="BY43" s="8">
        <f t="shared" si="63"/>
        <v>0</v>
      </c>
      <c r="BZ43" s="8"/>
      <c r="CA43" s="8">
        <f t="shared" si="64"/>
        <v>0</v>
      </c>
      <c r="CB43" s="8">
        <f t="shared" si="65"/>
        <v>0</v>
      </c>
      <c r="CC43" s="8">
        <f t="shared" si="66"/>
        <v>0</v>
      </c>
      <c r="CD43" s="8">
        <f t="shared" si="67"/>
        <v>0</v>
      </c>
      <c r="CE43" s="8">
        <f t="shared" si="68"/>
        <v>0</v>
      </c>
      <c r="CF43" s="8">
        <f t="shared" si="69"/>
        <v>0</v>
      </c>
      <c r="CG43" s="8"/>
      <c r="CH43" s="8">
        <f t="shared" si="95"/>
        <v>0</v>
      </c>
      <c r="CI43" s="8">
        <f t="shared" si="70"/>
        <v>0</v>
      </c>
      <c r="CJ43" s="8">
        <f t="shared" si="71"/>
        <v>0</v>
      </c>
      <c r="CK43" s="8">
        <f t="shared" si="72"/>
        <v>0</v>
      </c>
      <c r="CL43" s="8">
        <f t="shared" si="73"/>
        <v>0</v>
      </c>
      <c r="CM43" s="8">
        <f t="shared" si="74"/>
        <v>0</v>
      </c>
      <c r="CN43" s="8"/>
      <c r="CO43" s="8">
        <f t="shared" si="75"/>
        <v>0</v>
      </c>
      <c r="CP43" s="8">
        <f t="shared" si="76"/>
        <v>0</v>
      </c>
      <c r="CQ43" s="8">
        <f t="shared" si="77"/>
        <v>0</v>
      </c>
      <c r="CR43" s="8">
        <f t="shared" si="78"/>
        <v>0</v>
      </c>
      <c r="CS43" s="8">
        <f t="shared" si="79"/>
        <v>0</v>
      </c>
      <c r="CT43" s="8">
        <f t="shared" si="80"/>
        <v>0</v>
      </c>
      <c r="CU43" s="8"/>
      <c r="CV43" s="8">
        <f t="shared" si="81"/>
        <v>0</v>
      </c>
      <c r="CW43" s="8">
        <f t="shared" si="82"/>
        <v>0</v>
      </c>
      <c r="CX43" s="8">
        <f t="shared" si="83"/>
        <v>0</v>
      </c>
      <c r="CY43" s="8">
        <f t="shared" si="84"/>
        <v>0</v>
      </c>
      <c r="CZ43" s="8">
        <f t="shared" si="85"/>
        <v>0</v>
      </c>
      <c r="DA43" s="8">
        <f t="shared" si="86"/>
        <v>0</v>
      </c>
      <c r="DB43" s="199"/>
      <c r="DC43" s="199"/>
    </row>
    <row r="44" spans="1:107" s="200" customFormat="1" ht="22.5" customHeight="1" x14ac:dyDescent="0.2">
      <c r="A44" s="15">
        <v>8</v>
      </c>
      <c r="B44" s="25" t="str">
        <f t="shared" si="55"/>
        <v>Gnoblar</v>
      </c>
      <c r="C44" s="253" t="s">
        <v>510</v>
      </c>
      <c r="D44" s="315" t="s">
        <v>1847</v>
      </c>
      <c r="E44" s="316"/>
      <c r="F44" s="315"/>
      <c r="G44" s="316"/>
      <c r="H44" s="315"/>
      <c r="I44" s="342"/>
      <c r="J44" s="342"/>
      <c r="K44" s="316"/>
      <c r="L44" s="315"/>
      <c r="M44" s="316"/>
      <c r="N44" s="315"/>
      <c r="O44" s="316"/>
      <c r="P44" s="315"/>
      <c r="Q44" s="316"/>
      <c r="R44" s="315"/>
      <c r="S44" s="316"/>
      <c r="T44" s="315"/>
      <c r="U44" s="316"/>
      <c r="V44" s="315"/>
      <c r="W44" s="316"/>
      <c r="X44" s="315"/>
      <c r="Y44" s="316"/>
      <c r="Z44" s="315"/>
      <c r="AA44" s="316"/>
      <c r="AB44" s="351">
        <v>0</v>
      </c>
      <c r="AC44" s="352"/>
      <c r="AD44" s="353"/>
      <c r="AE44" s="354"/>
      <c r="AF44" s="353"/>
      <c r="AG44" s="354"/>
      <c r="AH44" s="349">
        <f t="shared" si="56"/>
        <v>10000</v>
      </c>
      <c r="AI44" s="350"/>
      <c r="AJ44" s="68">
        <f t="shared" si="57"/>
        <v>3</v>
      </c>
      <c r="AK44" s="67">
        <v>0</v>
      </c>
      <c r="AL44" s="68">
        <v>0</v>
      </c>
      <c r="AM44" s="68">
        <v>0</v>
      </c>
      <c r="AN44" s="68">
        <v>0</v>
      </c>
      <c r="AO44" s="68">
        <v>0</v>
      </c>
      <c r="AP44" s="68">
        <v>0</v>
      </c>
      <c r="AQ44" s="346"/>
      <c r="AR44" s="199"/>
      <c r="AS44" s="199"/>
      <c r="AT44" s="199"/>
      <c r="AU44" s="199"/>
      <c r="AV44" s="199"/>
      <c r="AW44" s="199"/>
      <c r="AX44" s="199"/>
      <c r="AY44" s="8" t="str">
        <f t="shared" si="58"/>
        <v xml:space="preserve">Ogre </v>
      </c>
      <c r="AZ44" s="8" t="str">
        <f>IFERROR((VLOOKUP($BP$1&amp;B41,Teams!D:S,12,0)),0)</f>
        <v>S</v>
      </c>
      <c r="BA44" s="8" t="str">
        <f>IFERROR((VLOOKUP($BP$1&amp;B41,Teams!D:S,13,0)),0)</f>
        <v>S</v>
      </c>
      <c r="BB44" s="8" t="str">
        <f>IFERROR((VLOOKUP($BP$1&amp;B41,Teams!D:S,14,0)),0)</f>
        <v>P</v>
      </c>
      <c r="BC44" s="8" t="str">
        <f>IFERROR((VLOOKUP($BP$1&amp;B41,Teams!D:S,15,0)),0)</f>
        <v>S</v>
      </c>
      <c r="BD44" s="8">
        <f>IFERROR((VLOOKUP($BP$1&amp;B41,Teams!D:S,16,0)),0)</f>
        <v>0</v>
      </c>
      <c r="BE44" s="8">
        <v>20000</v>
      </c>
      <c r="BF44" s="8">
        <v>10000</v>
      </c>
      <c r="BG44" s="8">
        <v>40000</v>
      </c>
      <c r="BH44" s="8">
        <v>20000</v>
      </c>
      <c r="BI44" s="8">
        <v>80000</v>
      </c>
      <c r="BJ44" s="8">
        <f t="shared" si="87"/>
        <v>0</v>
      </c>
      <c r="BK44"/>
      <c r="BL44" s="8">
        <f t="shared" si="88"/>
        <v>0</v>
      </c>
      <c r="BM44" s="8">
        <f t="shared" si="89"/>
        <v>0</v>
      </c>
      <c r="BN44" s="8">
        <f t="shared" si="90"/>
        <v>0</v>
      </c>
      <c r="BO44" s="8">
        <f t="shared" si="91"/>
        <v>0</v>
      </c>
      <c r="BP44" s="8">
        <f t="shared" si="92"/>
        <v>0</v>
      </c>
      <c r="BQ44" s="8">
        <f t="shared" si="93"/>
        <v>0</v>
      </c>
      <c r="BR44"/>
      <c r="BS44"/>
      <c r="BT44" s="8">
        <f t="shared" si="94"/>
        <v>0</v>
      </c>
      <c r="BU44" s="8">
        <f t="shared" si="59"/>
        <v>0</v>
      </c>
      <c r="BV44" s="8">
        <f t="shared" si="60"/>
        <v>0</v>
      </c>
      <c r="BW44" s="8">
        <f t="shared" si="61"/>
        <v>0</v>
      </c>
      <c r="BX44" s="8">
        <f t="shared" si="62"/>
        <v>0</v>
      </c>
      <c r="BY44" s="8">
        <f t="shared" si="63"/>
        <v>0</v>
      </c>
      <c r="BZ44" s="8"/>
      <c r="CA44" s="8">
        <f t="shared" si="64"/>
        <v>0</v>
      </c>
      <c r="CB44" s="8">
        <f t="shared" si="65"/>
        <v>0</v>
      </c>
      <c r="CC44" s="8">
        <f t="shared" si="66"/>
        <v>0</v>
      </c>
      <c r="CD44" s="8">
        <f t="shared" si="67"/>
        <v>0</v>
      </c>
      <c r="CE44" s="8">
        <f t="shared" si="68"/>
        <v>0</v>
      </c>
      <c r="CF44" s="8">
        <f t="shared" si="69"/>
        <v>0</v>
      </c>
      <c r="CG44" s="8"/>
      <c r="CH44" s="8">
        <f t="shared" si="95"/>
        <v>0</v>
      </c>
      <c r="CI44" s="8">
        <f t="shared" si="70"/>
        <v>0</v>
      </c>
      <c r="CJ44" s="8">
        <f t="shared" si="71"/>
        <v>0</v>
      </c>
      <c r="CK44" s="8">
        <f t="shared" si="72"/>
        <v>0</v>
      </c>
      <c r="CL44" s="8">
        <f t="shared" si="73"/>
        <v>0</v>
      </c>
      <c r="CM44" s="8">
        <f t="shared" si="74"/>
        <v>0</v>
      </c>
      <c r="CN44" s="8"/>
      <c r="CO44" s="8">
        <f t="shared" si="75"/>
        <v>0</v>
      </c>
      <c r="CP44" s="8">
        <f t="shared" si="76"/>
        <v>0</v>
      </c>
      <c r="CQ44" s="8">
        <f t="shared" si="77"/>
        <v>0</v>
      </c>
      <c r="CR44" s="8">
        <f t="shared" si="78"/>
        <v>0</v>
      </c>
      <c r="CS44" s="8">
        <f t="shared" si="79"/>
        <v>0</v>
      </c>
      <c r="CT44" s="8">
        <f t="shared" si="80"/>
        <v>0</v>
      </c>
      <c r="CU44" s="8"/>
      <c r="CV44" s="8">
        <f t="shared" si="81"/>
        <v>0</v>
      </c>
      <c r="CW44" s="8">
        <f t="shared" si="82"/>
        <v>0</v>
      </c>
      <c r="CX44" s="8">
        <f t="shared" si="83"/>
        <v>0</v>
      </c>
      <c r="CY44" s="8">
        <f t="shared" si="84"/>
        <v>0</v>
      </c>
      <c r="CZ44" s="8">
        <f t="shared" si="85"/>
        <v>0</v>
      </c>
      <c r="DA44" s="8">
        <f t="shared" si="86"/>
        <v>0</v>
      </c>
      <c r="DB44" s="199"/>
      <c r="DC44" s="199"/>
    </row>
    <row r="45" spans="1:107" s="200" customFormat="1" ht="22.5" customHeight="1" x14ac:dyDescent="0.2">
      <c r="A45" s="15">
        <v>9</v>
      </c>
      <c r="B45" s="25" t="str">
        <f t="shared" si="55"/>
        <v>Gnoblar</v>
      </c>
      <c r="C45" s="253"/>
      <c r="D45" s="315"/>
      <c r="E45" s="316"/>
      <c r="F45" s="315"/>
      <c r="G45" s="316"/>
      <c r="H45" s="315"/>
      <c r="I45" s="342"/>
      <c r="J45" s="342"/>
      <c r="K45" s="316"/>
      <c r="L45" s="315"/>
      <c r="M45" s="316"/>
      <c r="N45" s="315"/>
      <c r="O45" s="316"/>
      <c r="P45" s="315"/>
      <c r="Q45" s="316"/>
      <c r="R45" s="315"/>
      <c r="S45" s="316"/>
      <c r="T45" s="315"/>
      <c r="U45" s="316"/>
      <c r="V45" s="315"/>
      <c r="W45" s="316"/>
      <c r="X45" s="315"/>
      <c r="Y45" s="316"/>
      <c r="Z45" s="315"/>
      <c r="AA45" s="316"/>
      <c r="AB45" s="351">
        <v>0</v>
      </c>
      <c r="AC45" s="352"/>
      <c r="AD45" s="353"/>
      <c r="AE45" s="354"/>
      <c r="AF45" s="353"/>
      <c r="AG45" s="354"/>
      <c r="AH45" s="349">
        <f t="shared" si="56"/>
        <v>0</v>
      </c>
      <c r="AI45" s="350"/>
      <c r="AJ45" s="68">
        <f t="shared" si="57"/>
        <v>0</v>
      </c>
      <c r="AK45" s="67">
        <v>0</v>
      </c>
      <c r="AL45" s="68">
        <v>0</v>
      </c>
      <c r="AM45" s="68">
        <v>0</v>
      </c>
      <c r="AN45" s="68">
        <v>0</v>
      </c>
      <c r="AO45" s="68">
        <v>0</v>
      </c>
      <c r="AP45" s="68">
        <v>0</v>
      </c>
      <c r="AQ45" s="346"/>
      <c r="AR45" s="199"/>
      <c r="AS45" s="199"/>
      <c r="AT45" s="199"/>
      <c r="AU45" s="199"/>
      <c r="AV45" s="199"/>
      <c r="AW45" s="199"/>
      <c r="AX45" s="199"/>
      <c r="AY45" s="8" t="str">
        <f t="shared" si="58"/>
        <v xml:space="preserve">Ogre </v>
      </c>
      <c r="AZ45" s="8" t="str">
        <f>IFERROR((VLOOKUP($BP$1&amp;B42,Teams!D:S,12,0)),0)</f>
        <v>S</v>
      </c>
      <c r="BA45" s="8" t="str">
        <f>IFERROR((VLOOKUP($BP$1&amp;B42,Teams!D:S,13,0)),0)</f>
        <v>S</v>
      </c>
      <c r="BB45" s="8" t="str">
        <f>IFERROR((VLOOKUP($BP$1&amp;B42,Teams!D:S,14,0)),0)</f>
        <v>P</v>
      </c>
      <c r="BC45" s="8" t="str">
        <f>IFERROR((VLOOKUP($BP$1&amp;B42,Teams!D:S,15,0)),0)</f>
        <v>S</v>
      </c>
      <c r="BD45" s="8">
        <f>IFERROR((VLOOKUP($BP$1&amp;B42,Teams!D:S,16,0)),0)</f>
        <v>0</v>
      </c>
      <c r="BE45" s="8">
        <v>20000</v>
      </c>
      <c r="BF45" s="8">
        <v>10000</v>
      </c>
      <c r="BG45" s="8">
        <v>40000</v>
      </c>
      <c r="BH45" s="8">
        <v>20000</v>
      </c>
      <c r="BI45" s="8">
        <v>80000</v>
      </c>
      <c r="BJ45" s="8">
        <f t="shared" si="87"/>
        <v>10000</v>
      </c>
      <c r="BK45" s="197"/>
      <c r="BL45" s="8" t="str">
        <f t="shared" si="88"/>
        <v>S</v>
      </c>
      <c r="BM45" s="8">
        <f t="shared" si="89"/>
        <v>0</v>
      </c>
      <c r="BN45" s="8">
        <f t="shared" si="90"/>
        <v>0</v>
      </c>
      <c r="BO45" s="8">
        <f t="shared" si="91"/>
        <v>0</v>
      </c>
      <c r="BP45" s="8">
        <f t="shared" si="92"/>
        <v>0</v>
      </c>
      <c r="BQ45" s="8">
        <f t="shared" si="93"/>
        <v>0</v>
      </c>
      <c r="BR45"/>
      <c r="BS45"/>
      <c r="BT45" s="8" t="str">
        <f t="shared" si="94"/>
        <v>P</v>
      </c>
      <c r="BU45" s="8">
        <f t="shared" si="59"/>
        <v>0</v>
      </c>
      <c r="BV45" s="8">
        <f t="shared" si="60"/>
        <v>0</v>
      </c>
      <c r="BW45" s="8">
        <f t="shared" si="61"/>
        <v>0</v>
      </c>
      <c r="BX45" s="8">
        <f t="shared" si="62"/>
        <v>0</v>
      </c>
      <c r="BY45" s="8">
        <f t="shared" si="63"/>
        <v>0</v>
      </c>
      <c r="BZ45" s="8"/>
      <c r="CA45" s="8" t="str">
        <f t="shared" si="64"/>
        <v>Random</v>
      </c>
      <c r="CB45" s="8">
        <f t="shared" si="65"/>
        <v>0</v>
      </c>
      <c r="CC45" s="8">
        <f t="shared" si="66"/>
        <v>0</v>
      </c>
      <c r="CD45" s="8">
        <f t="shared" si="67"/>
        <v>0</v>
      </c>
      <c r="CE45" s="8">
        <f t="shared" si="68"/>
        <v>0</v>
      </c>
      <c r="CF45" s="8">
        <f t="shared" si="69"/>
        <v>0</v>
      </c>
      <c r="CG45" s="8"/>
      <c r="CH45" s="8">
        <f t="shared" si="95"/>
        <v>10000</v>
      </c>
      <c r="CI45" s="8">
        <f t="shared" si="70"/>
        <v>0</v>
      </c>
      <c r="CJ45" s="8">
        <f t="shared" si="71"/>
        <v>0</v>
      </c>
      <c r="CK45" s="8">
        <f t="shared" si="72"/>
        <v>0</v>
      </c>
      <c r="CL45" s="8">
        <f t="shared" si="73"/>
        <v>0</v>
      </c>
      <c r="CM45" s="8">
        <f t="shared" si="74"/>
        <v>0</v>
      </c>
      <c r="CN45" s="8"/>
      <c r="CO45" s="8">
        <f t="shared" si="75"/>
        <v>0</v>
      </c>
      <c r="CP45" s="8">
        <f t="shared" si="76"/>
        <v>0</v>
      </c>
      <c r="CQ45" s="8">
        <f t="shared" si="77"/>
        <v>0</v>
      </c>
      <c r="CR45" s="8">
        <f t="shared" si="78"/>
        <v>0</v>
      </c>
      <c r="CS45" s="8">
        <f t="shared" si="79"/>
        <v>0</v>
      </c>
      <c r="CT45" s="8">
        <f t="shared" si="80"/>
        <v>0</v>
      </c>
      <c r="CU45" s="8"/>
      <c r="CV45" s="8">
        <f t="shared" si="81"/>
        <v>3</v>
      </c>
      <c r="CW45" s="8">
        <f t="shared" si="82"/>
        <v>0</v>
      </c>
      <c r="CX45" s="8">
        <f t="shared" si="83"/>
        <v>0</v>
      </c>
      <c r="CY45" s="8">
        <f t="shared" si="84"/>
        <v>0</v>
      </c>
      <c r="CZ45" s="8">
        <f t="shared" si="85"/>
        <v>0</v>
      </c>
      <c r="DA45" s="8">
        <f t="shared" si="86"/>
        <v>0</v>
      </c>
      <c r="DB45" s="199"/>
      <c r="DC45" s="199"/>
    </row>
    <row r="46" spans="1:107" s="200" customFormat="1" ht="22.5" customHeight="1" x14ac:dyDescent="0.2">
      <c r="A46" s="15">
        <v>10</v>
      </c>
      <c r="B46" s="25" t="str">
        <f t="shared" si="55"/>
        <v>Gnoblar</v>
      </c>
      <c r="C46" s="253"/>
      <c r="D46" s="315"/>
      <c r="E46" s="316"/>
      <c r="F46" s="315"/>
      <c r="G46" s="316"/>
      <c r="H46" s="315"/>
      <c r="I46" s="342"/>
      <c r="J46" s="342"/>
      <c r="K46" s="316"/>
      <c r="L46" s="315"/>
      <c r="M46" s="316"/>
      <c r="N46" s="315"/>
      <c r="O46" s="316"/>
      <c r="P46" s="315"/>
      <c r="Q46" s="316"/>
      <c r="R46" s="315"/>
      <c r="S46" s="316"/>
      <c r="T46" s="315"/>
      <c r="U46" s="316"/>
      <c r="V46" s="315"/>
      <c r="W46" s="316"/>
      <c r="X46" s="315"/>
      <c r="Y46" s="316"/>
      <c r="Z46" s="315"/>
      <c r="AA46" s="316"/>
      <c r="AB46" s="351">
        <v>0</v>
      </c>
      <c r="AC46" s="352"/>
      <c r="AD46" s="353"/>
      <c r="AE46" s="354"/>
      <c r="AF46" s="353"/>
      <c r="AG46" s="354"/>
      <c r="AH46" s="349">
        <f t="shared" si="56"/>
        <v>0</v>
      </c>
      <c r="AI46" s="350"/>
      <c r="AJ46" s="68">
        <f t="shared" si="57"/>
        <v>0</v>
      </c>
      <c r="AK46" s="67">
        <v>0</v>
      </c>
      <c r="AL46" s="68">
        <v>0</v>
      </c>
      <c r="AM46" s="68">
        <v>0</v>
      </c>
      <c r="AN46" s="68">
        <v>0</v>
      </c>
      <c r="AO46" s="68">
        <v>0</v>
      </c>
      <c r="AP46" s="68">
        <v>0</v>
      </c>
      <c r="AQ46" s="346"/>
      <c r="AR46" s="199"/>
      <c r="AS46" s="199"/>
      <c r="AT46" s="199"/>
      <c r="AU46" s="199"/>
      <c r="AV46" s="199"/>
      <c r="AW46" s="199"/>
      <c r="AX46" s="199"/>
      <c r="AY46" s="8" t="str">
        <f t="shared" si="58"/>
        <v>Gnoblar</v>
      </c>
      <c r="AZ46" s="8" t="str">
        <f>IFERROR((VLOOKUP($BP$1&amp;B43,Teams!D:S,12,0)),0)</f>
        <v>S</v>
      </c>
      <c r="BA46" s="8" t="str">
        <f>IFERROR((VLOOKUP($BP$1&amp;B43,Teams!D:S,13,0)),0)</f>
        <v>P</v>
      </c>
      <c r="BB46" s="8" t="str">
        <f>IFERROR((VLOOKUP($BP$1&amp;B43,Teams!D:S,14,0)),0)</f>
        <v>S</v>
      </c>
      <c r="BC46" s="8">
        <f>IFERROR((VLOOKUP($BP$1&amp;B43,Teams!D:S,15,0)),0)</f>
        <v>0</v>
      </c>
      <c r="BD46" s="8">
        <f>IFERROR((VLOOKUP($BP$1&amp;B43,Teams!D:S,16,0)),0)</f>
        <v>0</v>
      </c>
      <c r="BE46" s="8">
        <v>20000</v>
      </c>
      <c r="BF46" s="8">
        <v>10000</v>
      </c>
      <c r="BG46" s="8">
        <v>40000</v>
      </c>
      <c r="BH46" s="8">
        <v>20000</v>
      </c>
      <c r="BI46" s="8">
        <v>80000</v>
      </c>
      <c r="BJ46" s="8">
        <f t="shared" si="87"/>
        <v>0</v>
      </c>
      <c r="BK46" s="197"/>
      <c r="BL46" s="8">
        <f t="shared" si="88"/>
        <v>0</v>
      </c>
      <c r="BM46" s="8">
        <f t="shared" si="89"/>
        <v>0</v>
      </c>
      <c r="BN46" s="8">
        <f t="shared" si="90"/>
        <v>0</v>
      </c>
      <c r="BO46" s="8">
        <f t="shared" si="91"/>
        <v>0</v>
      </c>
      <c r="BP46" s="8">
        <f t="shared" si="92"/>
        <v>0</v>
      </c>
      <c r="BQ46" s="8">
        <f t="shared" si="93"/>
        <v>0</v>
      </c>
      <c r="BR46"/>
      <c r="BS46"/>
      <c r="BT46" s="8">
        <f t="shared" si="94"/>
        <v>0</v>
      </c>
      <c r="BU46" s="8">
        <f t="shared" si="59"/>
        <v>0</v>
      </c>
      <c r="BV46" s="8">
        <f t="shared" si="60"/>
        <v>0</v>
      </c>
      <c r="BW46" s="8">
        <f t="shared" si="61"/>
        <v>0</v>
      </c>
      <c r="BX46" s="8">
        <f t="shared" si="62"/>
        <v>0</v>
      </c>
      <c r="BY46" s="8">
        <f t="shared" si="63"/>
        <v>0</v>
      </c>
      <c r="BZ46" s="8"/>
      <c r="CA46" s="8">
        <f t="shared" si="64"/>
        <v>0</v>
      </c>
      <c r="CB46" s="8">
        <f t="shared" si="65"/>
        <v>0</v>
      </c>
      <c r="CC46" s="8">
        <f t="shared" si="66"/>
        <v>0</v>
      </c>
      <c r="CD46" s="8">
        <f t="shared" si="67"/>
        <v>0</v>
      </c>
      <c r="CE46" s="8">
        <f t="shared" si="68"/>
        <v>0</v>
      </c>
      <c r="CF46" s="8">
        <f t="shared" si="69"/>
        <v>0</v>
      </c>
      <c r="CG46" s="8"/>
      <c r="CH46" s="8">
        <f t="shared" si="95"/>
        <v>0</v>
      </c>
      <c r="CI46" s="8">
        <f t="shared" si="70"/>
        <v>0</v>
      </c>
      <c r="CJ46" s="8">
        <f t="shared" si="71"/>
        <v>0</v>
      </c>
      <c r="CK46" s="8">
        <f t="shared" si="72"/>
        <v>0</v>
      </c>
      <c r="CL46" s="8">
        <f t="shared" si="73"/>
        <v>0</v>
      </c>
      <c r="CM46" s="8">
        <f t="shared" si="74"/>
        <v>0</v>
      </c>
      <c r="CN46" s="8"/>
      <c r="CO46" s="8">
        <f t="shared" si="75"/>
        <v>0</v>
      </c>
      <c r="CP46" s="8">
        <f t="shared" si="76"/>
        <v>0</v>
      </c>
      <c r="CQ46" s="8">
        <f t="shared" si="77"/>
        <v>0</v>
      </c>
      <c r="CR46" s="8">
        <f t="shared" si="78"/>
        <v>0</v>
      </c>
      <c r="CS46" s="8">
        <f t="shared" si="79"/>
        <v>0</v>
      </c>
      <c r="CT46" s="8">
        <f t="shared" si="80"/>
        <v>0</v>
      </c>
      <c r="CU46" s="8"/>
      <c r="CV46" s="8">
        <f t="shared" si="81"/>
        <v>0</v>
      </c>
      <c r="CW46" s="8">
        <f t="shared" si="82"/>
        <v>0</v>
      </c>
      <c r="CX46" s="8">
        <f t="shared" si="83"/>
        <v>0</v>
      </c>
      <c r="CY46" s="8">
        <f t="shared" si="84"/>
        <v>0</v>
      </c>
      <c r="CZ46" s="8">
        <f t="shared" si="85"/>
        <v>0</v>
      </c>
      <c r="DA46" s="8">
        <f t="shared" si="86"/>
        <v>0</v>
      </c>
      <c r="DB46" s="199"/>
      <c r="DC46" s="199"/>
    </row>
    <row r="47" spans="1:107" s="200" customFormat="1" ht="22.5" customHeight="1" x14ac:dyDescent="0.2">
      <c r="A47" s="15">
        <v>11</v>
      </c>
      <c r="B47" s="25">
        <f t="shared" si="55"/>
        <v>0</v>
      </c>
      <c r="C47" s="253"/>
      <c r="D47" s="315"/>
      <c r="E47" s="316"/>
      <c r="F47" s="315"/>
      <c r="G47" s="316"/>
      <c r="H47" s="315"/>
      <c r="I47" s="342"/>
      <c r="J47" s="342"/>
      <c r="K47" s="316"/>
      <c r="L47" s="315"/>
      <c r="M47" s="316"/>
      <c r="N47" s="315"/>
      <c r="O47" s="316"/>
      <c r="P47" s="315"/>
      <c r="Q47" s="316"/>
      <c r="R47" s="315"/>
      <c r="S47" s="316"/>
      <c r="T47" s="315"/>
      <c r="U47" s="316"/>
      <c r="V47" s="315"/>
      <c r="W47" s="316"/>
      <c r="X47" s="315"/>
      <c r="Y47" s="316"/>
      <c r="Z47" s="315"/>
      <c r="AA47" s="316"/>
      <c r="AB47" s="351">
        <v>0</v>
      </c>
      <c r="AC47" s="352"/>
      <c r="AD47" s="353"/>
      <c r="AE47" s="354"/>
      <c r="AF47" s="353"/>
      <c r="AG47" s="354"/>
      <c r="AH47" s="349">
        <f t="shared" si="56"/>
        <v>0</v>
      </c>
      <c r="AI47" s="350"/>
      <c r="AJ47" s="68">
        <f t="shared" si="57"/>
        <v>0</v>
      </c>
      <c r="AK47" s="67">
        <v>0</v>
      </c>
      <c r="AL47" s="68">
        <v>0</v>
      </c>
      <c r="AM47" s="68">
        <v>0</v>
      </c>
      <c r="AN47" s="68">
        <v>0</v>
      </c>
      <c r="AO47" s="68">
        <v>0</v>
      </c>
      <c r="AP47" s="68">
        <v>0</v>
      </c>
      <c r="AQ47" s="346"/>
      <c r="AR47" s="199"/>
      <c r="AS47" s="199"/>
      <c r="AT47" s="199"/>
      <c r="AU47" s="199"/>
      <c r="AV47" s="199"/>
      <c r="AW47" s="199"/>
      <c r="AX47" s="199"/>
      <c r="AY47" s="8" t="str">
        <f t="shared" si="58"/>
        <v>Gnoblar</v>
      </c>
      <c r="AZ47" s="8" t="str">
        <f>IFERROR((VLOOKUP($BP$1&amp;B44,Teams!D:S,12,0)),0)</f>
        <v>S</v>
      </c>
      <c r="BA47" s="8" t="str">
        <f>IFERROR((VLOOKUP($BP$1&amp;B44,Teams!D:S,13,0)),0)</f>
        <v>P</v>
      </c>
      <c r="BB47" s="8" t="str">
        <f>IFERROR((VLOOKUP($BP$1&amp;B44,Teams!D:S,14,0)),0)</f>
        <v>S</v>
      </c>
      <c r="BC47" s="8">
        <f>IFERROR((VLOOKUP($BP$1&amp;B44,Teams!D:S,15,0)),0)</f>
        <v>0</v>
      </c>
      <c r="BD47" s="8">
        <f>IFERROR((VLOOKUP($BP$1&amp;B44,Teams!D:S,16,0)),0)</f>
        <v>0</v>
      </c>
      <c r="BE47" s="8">
        <v>20000</v>
      </c>
      <c r="BF47" s="8">
        <v>10000</v>
      </c>
      <c r="BG47" s="8">
        <v>40000</v>
      </c>
      <c r="BH47" s="8">
        <v>20000</v>
      </c>
      <c r="BI47" s="8">
        <v>80000</v>
      </c>
      <c r="BJ47" s="8">
        <f t="shared" si="87"/>
        <v>10000</v>
      </c>
      <c r="BK47" s="197"/>
      <c r="BL47" s="8" t="str">
        <f t="shared" si="88"/>
        <v>A</v>
      </c>
      <c r="BM47" s="8">
        <f t="shared" si="89"/>
        <v>0</v>
      </c>
      <c r="BN47" s="8">
        <f t="shared" si="90"/>
        <v>0</v>
      </c>
      <c r="BO47" s="8">
        <f t="shared" si="91"/>
        <v>0</v>
      </c>
      <c r="BP47" s="8">
        <f t="shared" si="92"/>
        <v>0</v>
      </c>
      <c r="BQ47" s="8">
        <f t="shared" si="93"/>
        <v>0</v>
      </c>
      <c r="BR47"/>
      <c r="BS47"/>
      <c r="BT47" s="8" t="str">
        <f t="shared" si="94"/>
        <v>P</v>
      </c>
      <c r="BU47" s="8">
        <f t="shared" si="59"/>
        <v>0</v>
      </c>
      <c r="BV47" s="8">
        <f t="shared" si="60"/>
        <v>0</v>
      </c>
      <c r="BW47" s="8">
        <f t="shared" si="61"/>
        <v>0</v>
      </c>
      <c r="BX47" s="8">
        <f t="shared" si="62"/>
        <v>0</v>
      </c>
      <c r="BY47" s="8">
        <f t="shared" si="63"/>
        <v>0</v>
      </c>
      <c r="BZ47" s="8"/>
      <c r="CA47" s="8" t="str">
        <f t="shared" si="64"/>
        <v>Random</v>
      </c>
      <c r="CB47" s="8">
        <f t="shared" si="65"/>
        <v>0</v>
      </c>
      <c r="CC47" s="8">
        <f t="shared" si="66"/>
        <v>0</v>
      </c>
      <c r="CD47" s="8">
        <f t="shared" si="67"/>
        <v>0</v>
      </c>
      <c r="CE47" s="8">
        <f t="shared" si="68"/>
        <v>0</v>
      </c>
      <c r="CF47" s="8">
        <f t="shared" si="69"/>
        <v>0</v>
      </c>
      <c r="CG47" s="8"/>
      <c r="CH47" s="8">
        <f t="shared" si="95"/>
        <v>10000</v>
      </c>
      <c r="CI47" s="8">
        <f t="shared" si="70"/>
        <v>0</v>
      </c>
      <c r="CJ47" s="8">
        <f t="shared" si="71"/>
        <v>0</v>
      </c>
      <c r="CK47" s="8">
        <f t="shared" si="72"/>
        <v>0</v>
      </c>
      <c r="CL47" s="8">
        <f t="shared" si="73"/>
        <v>0</v>
      </c>
      <c r="CM47" s="8">
        <f t="shared" si="74"/>
        <v>0</v>
      </c>
      <c r="CN47" s="8"/>
      <c r="CO47" s="8">
        <f t="shared" si="75"/>
        <v>0</v>
      </c>
      <c r="CP47" s="8">
        <f t="shared" si="76"/>
        <v>0</v>
      </c>
      <c r="CQ47" s="8">
        <f t="shared" si="77"/>
        <v>0</v>
      </c>
      <c r="CR47" s="8">
        <f t="shared" si="78"/>
        <v>0</v>
      </c>
      <c r="CS47" s="8">
        <f t="shared" si="79"/>
        <v>0</v>
      </c>
      <c r="CT47" s="8">
        <f t="shared" si="80"/>
        <v>0</v>
      </c>
      <c r="CU47" s="8"/>
      <c r="CV47" s="8">
        <f t="shared" si="81"/>
        <v>3</v>
      </c>
      <c r="CW47" s="8">
        <f t="shared" si="82"/>
        <v>0</v>
      </c>
      <c r="CX47" s="8">
        <f t="shared" si="83"/>
        <v>0</v>
      </c>
      <c r="CY47" s="8">
        <f t="shared" si="84"/>
        <v>0</v>
      </c>
      <c r="CZ47" s="8">
        <f t="shared" si="85"/>
        <v>0</v>
      </c>
      <c r="DA47" s="8">
        <f t="shared" si="86"/>
        <v>0</v>
      </c>
      <c r="DB47" s="199"/>
      <c r="DC47" s="199"/>
    </row>
    <row r="48" spans="1:107" s="200" customFormat="1" ht="22.5" customHeight="1" x14ac:dyDescent="0.2">
      <c r="A48" s="15">
        <v>12</v>
      </c>
      <c r="B48" s="25" t="str">
        <f t="shared" si="55"/>
        <v>Gnoblar</v>
      </c>
      <c r="C48" s="253"/>
      <c r="D48" s="315"/>
      <c r="E48" s="316"/>
      <c r="F48" s="315"/>
      <c r="G48" s="316"/>
      <c r="H48" s="315"/>
      <c r="I48" s="342"/>
      <c r="J48" s="342"/>
      <c r="K48" s="316"/>
      <c r="L48" s="315"/>
      <c r="M48" s="316"/>
      <c r="N48" s="315"/>
      <c r="O48" s="316"/>
      <c r="P48" s="315"/>
      <c r="Q48" s="316"/>
      <c r="R48" s="315"/>
      <c r="S48" s="316"/>
      <c r="T48" s="315"/>
      <c r="U48" s="316"/>
      <c r="V48" s="315"/>
      <c r="W48" s="316"/>
      <c r="X48" s="315"/>
      <c r="Y48" s="316"/>
      <c r="Z48" s="315"/>
      <c r="AA48" s="316"/>
      <c r="AB48" s="351">
        <v>0</v>
      </c>
      <c r="AC48" s="352"/>
      <c r="AD48" s="353"/>
      <c r="AE48" s="354"/>
      <c r="AF48" s="353"/>
      <c r="AG48" s="354"/>
      <c r="AH48" s="349">
        <f t="shared" si="56"/>
        <v>0</v>
      </c>
      <c r="AI48" s="350"/>
      <c r="AJ48" s="68">
        <f t="shared" si="57"/>
        <v>0</v>
      </c>
      <c r="AK48" s="67">
        <v>0</v>
      </c>
      <c r="AL48" s="68">
        <v>0</v>
      </c>
      <c r="AM48" s="68">
        <v>0</v>
      </c>
      <c r="AN48" s="68">
        <v>0</v>
      </c>
      <c r="AO48" s="68">
        <v>0</v>
      </c>
      <c r="AP48" s="68">
        <v>0</v>
      </c>
      <c r="AQ48" s="346"/>
      <c r="AR48" s="199"/>
      <c r="AS48" s="199"/>
      <c r="AT48" s="199"/>
      <c r="AU48" s="199"/>
      <c r="AV48" s="199"/>
      <c r="AW48" s="199"/>
      <c r="AX48" s="199"/>
      <c r="AY48" s="8" t="str">
        <f t="shared" si="58"/>
        <v>Gnoblar</v>
      </c>
      <c r="AZ48" s="8" t="str">
        <f>IFERROR((VLOOKUP($BP$1&amp;B45,Teams!D:S,12,0)),0)</f>
        <v>S</v>
      </c>
      <c r="BA48" s="8" t="str">
        <f>IFERROR((VLOOKUP($BP$1&amp;B45,Teams!D:S,13,0)),0)</f>
        <v>P</v>
      </c>
      <c r="BB48" s="8" t="str">
        <f>IFERROR((VLOOKUP($BP$1&amp;B45,Teams!D:S,14,0)),0)</f>
        <v>S</v>
      </c>
      <c r="BC48" s="8">
        <f>IFERROR((VLOOKUP($BP$1&amp;B45,Teams!D:S,15,0)),0)</f>
        <v>0</v>
      </c>
      <c r="BD48" s="8">
        <f>IFERROR((VLOOKUP($BP$1&amp;B45,Teams!D:S,16,0)),0)</f>
        <v>0</v>
      </c>
      <c r="BE48" s="8">
        <v>20000</v>
      </c>
      <c r="BF48" s="8">
        <v>10000</v>
      </c>
      <c r="BG48" s="8">
        <v>40000</v>
      </c>
      <c r="BH48" s="8">
        <v>20000</v>
      </c>
      <c r="BI48" s="8">
        <v>80000</v>
      </c>
      <c r="BJ48" s="8">
        <f t="shared" si="87"/>
        <v>0</v>
      </c>
      <c r="BK48" s="197"/>
      <c r="BL48" s="8">
        <f t="shared" si="88"/>
        <v>0</v>
      </c>
      <c r="BM48" s="8">
        <f t="shared" si="89"/>
        <v>0</v>
      </c>
      <c r="BN48" s="8">
        <f t="shared" si="90"/>
        <v>0</v>
      </c>
      <c r="BO48" s="8">
        <f t="shared" si="91"/>
        <v>0</v>
      </c>
      <c r="BP48" s="8">
        <f t="shared" si="92"/>
        <v>0</v>
      </c>
      <c r="BQ48" s="8">
        <f t="shared" si="93"/>
        <v>0</v>
      </c>
      <c r="BR48"/>
      <c r="BS48"/>
      <c r="BT48" s="8">
        <f t="shared" si="94"/>
        <v>0</v>
      </c>
      <c r="BU48" s="8">
        <f t="shared" si="59"/>
        <v>0</v>
      </c>
      <c r="BV48" s="8">
        <f t="shared" si="60"/>
        <v>0</v>
      </c>
      <c r="BW48" s="8">
        <f t="shared" si="61"/>
        <v>0</v>
      </c>
      <c r="BX48" s="8">
        <f t="shared" si="62"/>
        <v>0</v>
      </c>
      <c r="BY48" s="8">
        <f t="shared" si="63"/>
        <v>0</v>
      </c>
      <c r="BZ48" s="8"/>
      <c r="CA48" s="8">
        <f t="shared" si="64"/>
        <v>0</v>
      </c>
      <c r="CB48" s="8">
        <f t="shared" si="65"/>
        <v>0</v>
      </c>
      <c r="CC48" s="8">
        <f t="shared" si="66"/>
        <v>0</v>
      </c>
      <c r="CD48" s="8">
        <f t="shared" si="67"/>
        <v>0</v>
      </c>
      <c r="CE48" s="8">
        <f t="shared" si="68"/>
        <v>0</v>
      </c>
      <c r="CF48" s="8">
        <f t="shared" si="69"/>
        <v>0</v>
      </c>
      <c r="CG48" s="8"/>
      <c r="CH48" s="8">
        <f t="shared" si="95"/>
        <v>0</v>
      </c>
      <c r="CI48" s="8">
        <f t="shared" si="70"/>
        <v>0</v>
      </c>
      <c r="CJ48" s="8">
        <f t="shared" si="71"/>
        <v>0</v>
      </c>
      <c r="CK48" s="8">
        <f t="shared" si="72"/>
        <v>0</v>
      </c>
      <c r="CL48" s="8">
        <f t="shared" si="73"/>
        <v>0</v>
      </c>
      <c r="CM48" s="8">
        <f t="shared" si="74"/>
        <v>0</v>
      </c>
      <c r="CN48" s="8"/>
      <c r="CO48" s="8">
        <f t="shared" si="75"/>
        <v>0</v>
      </c>
      <c r="CP48" s="8">
        <f t="shared" si="76"/>
        <v>0</v>
      </c>
      <c r="CQ48" s="8">
        <f t="shared" si="77"/>
        <v>0</v>
      </c>
      <c r="CR48" s="8">
        <f t="shared" si="78"/>
        <v>0</v>
      </c>
      <c r="CS48" s="8">
        <f t="shared" si="79"/>
        <v>0</v>
      </c>
      <c r="CT48" s="8">
        <f t="shared" si="80"/>
        <v>0</v>
      </c>
      <c r="CU48" s="8"/>
      <c r="CV48" s="8">
        <f t="shared" si="81"/>
        <v>0</v>
      </c>
      <c r="CW48" s="8">
        <f t="shared" si="82"/>
        <v>0</v>
      </c>
      <c r="CX48" s="8">
        <f t="shared" si="83"/>
        <v>0</v>
      </c>
      <c r="CY48" s="8">
        <f t="shared" si="84"/>
        <v>0</v>
      </c>
      <c r="CZ48" s="8">
        <f t="shared" si="85"/>
        <v>0</v>
      </c>
      <c r="DA48" s="8">
        <f t="shared" si="86"/>
        <v>0</v>
      </c>
      <c r="DB48" s="199"/>
      <c r="DC48" s="199"/>
    </row>
    <row r="49" spans="1:107" s="200" customFormat="1" ht="22.5" customHeight="1" x14ac:dyDescent="0.2">
      <c r="A49" s="15">
        <v>13</v>
      </c>
      <c r="B49" s="25" t="str">
        <f t="shared" si="55"/>
        <v>Journey Gnoblar</v>
      </c>
      <c r="C49" s="253"/>
      <c r="D49" s="315"/>
      <c r="E49" s="316"/>
      <c r="F49" s="315"/>
      <c r="G49" s="316"/>
      <c r="H49" s="315"/>
      <c r="I49" s="342"/>
      <c r="J49" s="342"/>
      <c r="K49" s="316"/>
      <c r="L49" s="315"/>
      <c r="M49" s="316"/>
      <c r="N49" s="315"/>
      <c r="O49" s="316"/>
      <c r="P49" s="315"/>
      <c r="Q49" s="316"/>
      <c r="R49" s="315"/>
      <c r="S49" s="316"/>
      <c r="T49" s="315"/>
      <c r="U49" s="316"/>
      <c r="V49" s="315"/>
      <c r="W49" s="316"/>
      <c r="X49" s="315"/>
      <c r="Y49" s="316"/>
      <c r="Z49" s="315"/>
      <c r="AA49" s="316"/>
      <c r="AB49" s="351">
        <v>0</v>
      </c>
      <c r="AC49" s="352"/>
      <c r="AD49" s="353"/>
      <c r="AE49" s="354"/>
      <c r="AF49" s="353"/>
      <c r="AG49" s="354"/>
      <c r="AH49" s="349">
        <f t="shared" si="56"/>
        <v>0</v>
      </c>
      <c r="AI49" s="350"/>
      <c r="AJ49" s="68">
        <f t="shared" si="57"/>
        <v>0</v>
      </c>
      <c r="AK49" s="67">
        <v>0</v>
      </c>
      <c r="AL49" s="68">
        <v>0</v>
      </c>
      <c r="AM49" s="68">
        <v>0</v>
      </c>
      <c r="AN49" s="68">
        <v>0</v>
      </c>
      <c r="AO49" s="68">
        <v>0</v>
      </c>
      <c r="AP49" s="68">
        <v>0</v>
      </c>
      <c r="AQ49" s="346"/>
      <c r="AR49" s="199"/>
      <c r="AS49" s="199"/>
      <c r="AT49" s="199"/>
      <c r="AU49" s="199"/>
      <c r="AV49" s="199"/>
      <c r="AW49" s="199"/>
      <c r="AX49" s="199"/>
      <c r="AY49" s="8" t="str">
        <f t="shared" si="58"/>
        <v>Gnoblar</v>
      </c>
      <c r="AZ49" s="8" t="str">
        <f>IFERROR((VLOOKUP($BP$1&amp;B46,Teams!D:S,12,0)),0)</f>
        <v>S</v>
      </c>
      <c r="BA49" s="8" t="str">
        <f>IFERROR((VLOOKUP($BP$1&amp;B46,Teams!D:S,13,0)),0)</f>
        <v>P</v>
      </c>
      <c r="BB49" s="8" t="str">
        <f>IFERROR((VLOOKUP($BP$1&amp;B46,Teams!D:S,14,0)),0)</f>
        <v>S</v>
      </c>
      <c r="BC49" s="8">
        <f>IFERROR((VLOOKUP($BP$1&amp;B46,Teams!D:S,15,0)),0)</f>
        <v>0</v>
      </c>
      <c r="BD49" s="8">
        <f>IFERROR((VLOOKUP($BP$1&amp;B46,Teams!D:S,16,0)),0)</f>
        <v>0</v>
      </c>
      <c r="BE49" s="8">
        <v>20000</v>
      </c>
      <c r="BF49" s="8">
        <v>10000</v>
      </c>
      <c r="BG49" s="8">
        <v>40000</v>
      </c>
      <c r="BH49" s="8">
        <v>20000</v>
      </c>
      <c r="BI49" s="8">
        <v>80000</v>
      </c>
      <c r="BJ49" s="8">
        <f t="shared" si="87"/>
        <v>0</v>
      </c>
      <c r="BK49" s="197"/>
      <c r="BL49" s="8">
        <f t="shared" si="88"/>
        <v>0</v>
      </c>
      <c r="BM49" s="8">
        <f t="shared" si="89"/>
        <v>0</v>
      </c>
      <c r="BN49" s="8">
        <f t="shared" si="90"/>
        <v>0</v>
      </c>
      <c r="BO49" s="8">
        <f t="shared" si="91"/>
        <v>0</v>
      </c>
      <c r="BP49" s="8">
        <f t="shared" si="92"/>
        <v>0</v>
      </c>
      <c r="BQ49" s="8">
        <f t="shared" si="93"/>
        <v>0</v>
      </c>
      <c r="BR49"/>
      <c r="BS49"/>
      <c r="BT49" s="8">
        <f t="shared" si="94"/>
        <v>0</v>
      </c>
      <c r="BU49" s="8">
        <f t="shared" si="59"/>
        <v>0</v>
      </c>
      <c r="BV49" s="8">
        <f t="shared" si="60"/>
        <v>0</v>
      </c>
      <c r="BW49" s="8">
        <f t="shared" si="61"/>
        <v>0</v>
      </c>
      <c r="BX49" s="8">
        <f t="shared" si="62"/>
        <v>0</v>
      </c>
      <c r="BY49" s="8">
        <f t="shared" si="63"/>
        <v>0</v>
      </c>
      <c r="BZ49" s="8"/>
      <c r="CA49" s="8">
        <f t="shared" si="64"/>
        <v>0</v>
      </c>
      <c r="CB49" s="8">
        <f t="shared" si="65"/>
        <v>0</v>
      </c>
      <c r="CC49" s="8">
        <f t="shared" si="66"/>
        <v>0</v>
      </c>
      <c r="CD49" s="8">
        <f t="shared" si="67"/>
        <v>0</v>
      </c>
      <c r="CE49" s="8">
        <f t="shared" si="68"/>
        <v>0</v>
      </c>
      <c r="CF49" s="8">
        <f t="shared" si="69"/>
        <v>0</v>
      </c>
      <c r="CG49" s="8"/>
      <c r="CH49" s="8">
        <f t="shared" si="95"/>
        <v>0</v>
      </c>
      <c r="CI49" s="8">
        <f t="shared" si="70"/>
        <v>0</v>
      </c>
      <c r="CJ49" s="8">
        <f t="shared" si="71"/>
        <v>0</v>
      </c>
      <c r="CK49" s="8">
        <f t="shared" si="72"/>
        <v>0</v>
      </c>
      <c r="CL49" s="8">
        <f t="shared" si="73"/>
        <v>0</v>
      </c>
      <c r="CM49" s="8">
        <f t="shared" si="74"/>
        <v>0</v>
      </c>
      <c r="CN49" s="8"/>
      <c r="CO49" s="8">
        <f t="shared" si="75"/>
        <v>0</v>
      </c>
      <c r="CP49" s="8">
        <f t="shared" si="76"/>
        <v>0</v>
      </c>
      <c r="CQ49" s="8">
        <f t="shared" si="77"/>
        <v>0</v>
      </c>
      <c r="CR49" s="8">
        <f t="shared" si="78"/>
        <v>0</v>
      </c>
      <c r="CS49" s="8">
        <f t="shared" si="79"/>
        <v>0</v>
      </c>
      <c r="CT49" s="8">
        <f t="shared" si="80"/>
        <v>0</v>
      </c>
      <c r="CU49" s="8"/>
      <c r="CV49" s="8">
        <f t="shared" si="81"/>
        <v>0</v>
      </c>
      <c r="CW49" s="8">
        <f t="shared" si="82"/>
        <v>0</v>
      </c>
      <c r="CX49" s="8">
        <f t="shared" si="83"/>
        <v>0</v>
      </c>
      <c r="CY49" s="8">
        <f t="shared" si="84"/>
        <v>0</v>
      </c>
      <c r="CZ49" s="8">
        <f t="shared" si="85"/>
        <v>0</v>
      </c>
      <c r="DA49" s="8">
        <f t="shared" si="86"/>
        <v>0</v>
      </c>
      <c r="DB49" s="199"/>
      <c r="DC49" s="199"/>
    </row>
    <row r="50" spans="1:107" s="200" customFormat="1" ht="22.5" customHeight="1" x14ac:dyDescent="0.2">
      <c r="A50" s="15">
        <v>14</v>
      </c>
      <c r="B50" s="25">
        <f t="shared" si="55"/>
        <v>0</v>
      </c>
      <c r="C50" s="253"/>
      <c r="D50" s="315"/>
      <c r="E50" s="316"/>
      <c r="F50" s="315"/>
      <c r="G50" s="316"/>
      <c r="H50" s="315"/>
      <c r="I50" s="342"/>
      <c r="J50" s="342"/>
      <c r="K50" s="316"/>
      <c r="L50" s="315"/>
      <c r="M50" s="316"/>
      <c r="N50" s="315"/>
      <c r="O50" s="316"/>
      <c r="P50" s="315"/>
      <c r="Q50" s="316"/>
      <c r="R50" s="315"/>
      <c r="S50" s="316"/>
      <c r="T50" s="315"/>
      <c r="U50" s="316"/>
      <c r="V50" s="315"/>
      <c r="W50" s="316"/>
      <c r="X50" s="315"/>
      <c r="Y50" s="316"/>
      <c r="Z50" s="315"/>
      <c r="AA50" s="316"/>
      <c r="AB50" s="351">
        <v>0</v>
      </c>
      <c r="AC50" s="352"/>
      <c r="AD50" s="353"/>
      <c r="AE50" s="354"/>
      <c r="AF50" s="353"/>
      <c r="AG50" s="354"/>
      <c r="AH50" s="349">
        <f t="shared" si="56"/>
        <v>0</v>
      </c>
      <c r="AI50" s="350"/>
      <c r="AJ50" s="68">
        <f t="shared" si="57"/>
        <v>0</v>
      </c>
      <c r="AK50" s="67">
        <v>0</v>
      </c>
      <c r="AL50" s="68">
        <v>0</v>
      </c>
      <c r="AM50" s="68">
        <v>0</v>
      </c>
      <c r="AN50" s="68">
        <v>0</v>
      </c>
      <c r="AO50" s="68">
        <v>0</v>
      </c>
      <c r="AP50" s="68">
        <v>0</v>
      </c>
      <c r="AQ50" s="346"/>
      <c r="AR50" s="199"/>
      <c r="AS50" s="199"/>
      <c r="AT50" s="199"/>
      <c r="AU50" s="199"/>
      <c r="AV50" s="199"/>
      <c r="AW50" s="199"/>
      <c r="AX50" s="199"/>
      <c r="AY50" s="8">
        <f t="shared" si="58"/>
        <v>0</v>
      </c>
      <c r="AZ50" s="8">
        <f>IFERROR((VLOOKUP($BP$1&amp;B47,Teams!D:S,12,0)),0)</f>
        <v>0</v>
      </c>
      <c r="BA50" s="8">
        <f>IFERROR((VLOOKUP($BP$1&amp;B47,Teams!D:S,13,0)),0)</f>
        <v>0</v>
      </c>
      <c r="BB50" s="8">
        <f>IFERROR((VLOOKUP($BP$1&amp;B47,Teams!D:S,14,0)),0)</f>
        <v>0</v>
      </c>
      <c r="BC50" s="8">
        <f>IFERROR((VLOOKUP($BP$1&amp;B47,Teams!D:S,15,0)),0)</f>
        <v>0</v>
      </c>
      <c r="BD50" s="8">
        <f>IFERROR((VLOOKUP($BP$1&amp;B47,Teams!D:S,16,0)),0)</f>
        <v>0</v>
      </c>
      <c r="BE50" s="8">
        <v>20000</v>
      </c>
      <c r="BF50" s="8">
        <v>10000</v>
      </c>
      <c r="BG50" s="8">
        <v>40000</v>
      </c>
      <c r="BH50" s="8">
        <v>20000</v>
      </c>
      <c r="BI50" s="8">
        <v>80000</v>
      </c>
      <c r="BJ50" s="8">
        <f t="shared" si="87"/>
        <v>0</v>
      </c>
      <c r="BK50" s="197"/>
      <c r="BL50" s="8">
        <f t="shared" si="88"/>
        <v>0</v>
      </c>
      <c r="BM50" s="8">
        <f t="shared" si="89"/>
        <v>0</v>
      </c>
      <c r="BN50" s="8">
        <f t="shared" si="90"/>
        <v>0</v>
      </c>
      <c r="BO50" s="8">
        <f t="shared" si="91"/>
        <v>0</v>
      </c>
      <c r="BP50" s="8">
        <f t="shared" si="92"/>
        <v>0</v>
      </c>
      <c r="BQ50" s="8">
        <f t="shared" si="93"/>
        <v>0</v>
      </c>
      <c r="BR50"/>
      <c r="BS50"/>
      <c r="BT50" s="8">
        <f t="shared" si="94"/>
        <v>0</v>
      </c>
      <c r="BU50" s="8">
        <f t="shared" si="59"/>
        <v>0</v>
      </c>
      <c r="BV50" s="8">
        <f t="shared" si="60"/>
        <v>0</v>
      </c>
      <c r="BW50" s="8">
        <f t="shared" si="61"/>
        <v>0</v>
      </c>
      <c r="BX50" s="8">
        <f t="shared" si="62"/>
        <v>0</v>
      </c>
      <c r="BY50" s="8">
        <f t="shared" si="63"/>
        <v>0</v>
      </c>
      <c r="BZ50" s="8"/>
      <c r="CA50" s="8">
        <f t="shared" si="64"/>
        <v>0</v>
      </c>
      <c r="CB50" s="8">
        <f t="shared" si="65"/>
        <v>0</v>
      </c>
      <c r="CC50" s="8">
        <f t="shared" si="66"/>
        <v>0</v>
      </c>
      <c r="CD50" s="8">
        <f t="shared" si="67"/>
        <v>0</v>
      </c>
      <c r="CE50" s="8">
        <f t="shared" si="68"/>
        <v>0</v>
      </c>
      <c r="CF50" s="8">
        <f t="shared" si="69"/>
        <v>0</v>
      </c>
      <c r="CG50" s="8"/>
      <c r="CH50" s="8">
        <f t="shared" si="95"/>
        <v>0</v>
      </c>
      <c r="CI50" s="8">
        <f t="shared" si="70"/>
        <v>0</v>
      </c>
      <c r="CJ50" s="8">
        <f t="shared" si="71"/>
        <v>0</v>
      </c>
      <c r="CK50" s="8">
        <f t="shared" si="72"/>
        <v>0</v>
      </c>
      <c r="CL50" s="8">
        <f t="shared" si="73"/>
        <v>0</v>
      </c>
      <c r="CM50" s="8">
        <f t="shared" si="74"/>
        <v>0</v>
      </c>
      <c r="CN50" s="8"/>
      <c r="CO50" s="8">
        <f t="shared" si="75"/>
        <v>0</v>
      </c>
      <c r="CP50" s="8">
        <f t="shared" si="76"/>
        <v>0</v>
      </c>
      <c r="CQ50" s="8">
        <f t="shared" si="77"/>
        <v>0</v>
      </c>
      <c r="CR50" s="8">
        <f t="shared" si="78"/>
        <v>0</v>
      </c>
      <c r="CS50" s="8">
        <f t="shared" si="79"/>
        <v>0</v>
      </c>
      <c r="CT50" s="8">
        <f t="shared" si="80"/>
        <v>0</v>
      </c>
      <c r="CU50" s="8"/>
      <c r="CV50" s="8">
        <f t="shared" si="81"/>
        <v>0</v>
      </c>
      <c r="CW50" s="8">
        <f t="shared" si="82"/>
        <v>0</v>
      </c>
      <c r="CX50" s="8">
        <f t="shared" si="83"/>
        <v>0</v>
      </c>
      <c r="CY50" s="8">
        <f t="shared" si="84"/>
        <v>0</v>
      </c>
      <c r="CZ50" s="8">
        <f t="shared" si="85"/>
        <v>0</v>
      </c>
      <c r="DA50" s="8">
        <f t="shared" si="86"/>
        <v>0</v>
      </c>
      <c r="DB50" s="199"/>
      <c r="DC50" s="199"/>
    </row>
    <row r="51" spans="1:107" s="200" customFormat="1" ht="22.5" customHeight="1" x14ac:dyDescent="0.2">
      <c r="A51" s="15">
        <v>15</v>
      </c>
      <c r="B51" s="25">
        <f t="shared" si="55"/>
        <v>0</v>
      </c>
      <c r="C51" s="253"/>
      <c r="D51" s="315"/>
      <c r="E51" s="316"/>
      <c r="F51" s="315"/>
      <c r="G51" s="316"/>
      <c r="H51" s="315"/>
      <c r="I51" s="342"/>
      <c r="J51" s="342"/>
      <c r="K51" s="316"/>
      <c r="L51" s="315"/>
      <c r="M51" s="316"/>
      <c r="N51" s="315"/>
      <c r="O51" s="316"/>
      <c r="P51" s="315"/>
      <c r="Q51" s="316"/>
      <c r="R51" s="315"/>
      <c r="S51" s="316"/>
      <c r="T51" s="315"/>
      <c r="U51" s="316"/>
      <c r="V51" s="315"/>
      <c r="W51" s="316"/>
      <c r="X51" s="315"/>
      <c r="Y51" s="316"/>
      <c r="Z51" s="315"/>
      <c r="AA51" s="316"/>
      <c r="AB51" s="351">
        <v>0</v>
      </c>
      <c r="AC51" s="352"/>
      <c r="AD51" s="353"/>
      <c r="AE51" s="354"/>
      <c r="AF51" s="353"/>
      <c r="AG51" s="354"/>
      <c r="AH51" s="349">
        <f t="shared" si="56"/>
        <v>0</v>
      </c>
      <c r="AI51" s="350"/>
      <c r="AJ51" s="68">
        <f t="shared" si="57"/>
        <v>0</v>
      </c>
      <c r="AK51" s="67">
        <v>0</v>
      </c>
      <c r="AL51" s="68">
        <v>0</v>
      </c>
      <c r="AM51" s="68">
        <v>0</v>
      </c>
      <c r="AN51" s="68">
        <v>0</v>
      </c>
      <c r="AO51" s="68">
        <v>0</v>
      </c>
      <c r="AP51" s="68">
        <v>0</v>
      </c>
      <c r="AQ51" s="346"/>
      <c r="AR51" s="199"/>
      <c r="AS51" s="199"/>
      <c r="AT51" s="199"/>
      <c r="AU51" s="199"/>
      <c r="AV51" s="199"/>
      <c r="AW51" s="199"/>
      <c r="AX51" s="199"/>
      <c r="AY51" s="8" t="str">
        <f t="shared" si="58"/>
        <v>Gnoblar</v>
      </c>
      <c r="AZ51" s="8" t="str">
        <f>IFERROR((VLOOKUP($BP$1&amp;B48,Teams!D:S,12,0)),0)</f>
        <v>S</v>
      </c>
      <c r="BA51" s="8" t="str">
        <f>IFERROR((VLOOKUP($BP$1&amp;B48,Teams!D:S,13,0)),0)</f>
        <v>P</v>
      </c>
      <c r="BB51" s="8" t="str">
        <f>IFERROR((VLOOKUP($BP$1&amp;B48,Teams!D:S,14,0)),0)</f>
        <v>S</v>
      </c>
      <c r="BC51" s="8">
        <f>IFERROR((VLOOKUP($BP$1&amp;B48,Teams!D:S,15,0)),0)</f>
        <v>0</v>
      </c>
      <c r="BD51" s="8">
        <f>IFERROR((VLOOKUP($BP$1&amp;B48,Teams!D:S,16,0)),0)</f>
        <v>0</v>
      </c>
      <c r="BE51" s="8">
        <v>20000</v>
      </c>
      <c r="BF51" s="8">
        <v>10000</v>
      </c>
      <c r="BG51" s="8">
        <v>40000</v>
      </c>
      <c r="BH51" s="8">
        <v>20000</v>
      </c>
      <c r="BI51" s="8">
        <v>80000</v>
      </c>
      <c r="BJ51" s="8">
        <f t="shared" si="87"/>
        <v>0</v>
      </c>
      <c r="BK51" s="197"/>
      <c r="BL51" s="8">
        <f t="shared" si="88"/>
        <v>0</v>
      </c>
      <c r="BM51" s="8">
        <f t="shared" si="89"/>
        <v>0</v>
      </c>
      <c r="BN51" s="8">
        <f t="shared" si="90"/>
        <v>0</v>
      </c>
      <c r="BO51" s="8">
        <f t="shared" si="91"/>
        <v>0</v>
      </c>
      <c r="BP51" s="8">
        <f t="shared" si="92"/>
        <v>0</v>
      </c>
      <c r="BQ51" s="8">
        <f t="shared" si="93"/>
        <v>0</v>
      </c>
      <c r="BR51"/>
      <c r="BS51"/>
      <c r="BT51" s="8">
        <f t="shared" si="94"/>
        <v>0</v>
      </c>
      <c r="BU51" s="8">
        <f t="shared" si="59"/>
        <v>0</v>
      </c>
      <c r="BV51" s="8">
        <f t="shared" si="60"/>
        <v>0</v>
      </c>
      <c r="BW51" s="8">
        <f t="shared" si="61"/>
        <v>0</v>
      </c>
      <c r="BX51" s="8">
        <f t="shared" si="62"/>
        <v>0</v>
      </c>
      <c r="BY51" s="8">
        <f t="shared" si="63"/>
        <v>0</v>
      </c>
      <c r="BZ51" s="8"/>
      <c r="CA51" s="8">
        <f t="shared" si="64"/>
        <v>0</v>
      </c>
      <c r="CB51" s="8">
        <f t="shared" si="65"/>
        <v>0</v>
      </c>
      <c r="CC51" s="8">
        <f t="shared" si="66"/>
        <v>0</v>
      </c>
      <c r="CD51" s="8">
        <f t="shared" si="67"/>
        <v>0</v>
      </c>
      <c r="CE51" s="8">
        <f t="shared" si="68"/>
        <v>0</v>
      </c>
      <c r="CF51" s="8">
        <f t="shared" si="69"/>
        <v>0</v>
      </c>
      <c r="CG51" s="8"/>
      <c r="CH51" s="8">
        <f t="shared" si="95"/>
        <v>0</v>
      </c>
      <c r="CI51" s="8">
        <f t="shared" si="70"/>
        <v>0</v>
      </c>
      <c r="CJ51" s="8">
        <f t="shared" si="71"/>
        <v>0</v>
      </c>
      <c r="CK51" s="8">
        <f t="shared" si="72"/>
        <v>0</v>
      </c>
      <c r="CL51" s="8">
        <f t="shared" si="73"/>
        <v>0</v>
      </c>
      <c r="CM51" s="8">
        <f t="shared" si="74"/>
        <v>0</v>
      </c>
      <c r="CN51" s="8"/>
      <c r="CO51" s="8">
        <f t="shared" si="75"/>
        <v>0</v>
      </c>
      <c r="CP51" s="8">
        <f t="shared" si="76"/>
        <v>0</v>
      </c>
      <c r="CQ51" s="8">
        <f t="shared" si="77"/>
        <v>0</v>
      </c>
      <c r="CR51" s="8">
        <f t="shared" si="78"/>
        <v>0</v>
      </c>
      <c r="CS51" s="8">
        <f t="shared" si="79"/>
        <v>0</v>
      </c>
      <c r="CT51" s="8">
        <f t="shared" si="80"/>
        <v>0</v>
      </c>
      <c r="CU51" s="8"/>
      <c r="CV51" s="8">
        <f t="shared" si="81"/>
        <v>0</v>
      </c>
      <c r="CW51" s="8">
        <f t="shared" si="82"/>
        <v>0</v>
      </c>
      <c r="CX51" s="8">
        <f t="shared" si="83"/>
        <v>0</v>
      </c>
      <c r="CY51" s="8">
        <f t="shared" si="84"/>
        <v>0</v>
      </c>
      <c r="CZ51" s="8">
        <f t="shared" si="85"/>
        <v>0</v>
      </c>
      <c r="DA51" s="8">
        <f t="shared" si="86"/>
        <v>0</v>
      </c>
      <c r="DB51" s="199"/>
      <c r="DC51" s="199"/>
    </row>
    <row r="52" spans="1:107" s="200" customFormat="1" ht="22.5" customHeight="1" x14ac:dyDescent="0.2">
      <c r="A52" s="15">
        <v>16</v>
      </c>
      <c r="B52" s="25">
        <f>D17</f>
        <v>0</v>
      </c>
      <c r="C52" s="254"/>
      <c r="D52" s="362"/>
      <c r="E52" s="363"/>
      <c r="F52" s="362"/>
      <c r="G52" s="363"/>
      <c r="H52" s="315"/>
      <c r="I52" s="342"/>
      <c r="J52" s="342"/>
      <c r="K52" s="316"/>
      <c r="L52" s="362"/>
      <c r="M52" s="363"/>
      <c r="N52" s="315"/>
      <c r="O52" s="316"/>
      <c r="P52" s="362"/>
      <c r="Q52" s="363"/>
      <c r="R52" s="315"/>
      <c r="S52" s="316"/>
      <c r="T52" s="362"/>
      <c r="U52" s="363"/>
      <c r="V52" s="315"/>
      <c r="W52" s="316"/>
      <c r="X52" s="362"/>
      <c r="Y52" s="363"/>
      <c r="Z52" s="315"/>
      <c r="AA52" s="316"/>
      <c r="AB52" s="351">
        <v>0</v>
      </c>
      <c r="AC52" s="352"/>
      <c r="AD52" s="353"/>
      <c r="AE52" s="354"/>
      <c r="AF52" s="353"/>
      <c r="AG52" s="354"/>
      <c r="AH52" s="349">
        <f t="shared" si="56"/>
        <v>0</v>
      </c>
      <c r="AI52" s="350"/>
      <c r="AJ52" s="68">
        <f>IFERROR((SUM(CV55:DA55)+AF52),0)</f>
        <v>0</v>
      </c>
      <c r="AK52" s="69">
        <v>0</v>
      </c>
      <c r="AL52" s="68">
        <v>0</v>
      </c>
      <c r="AM52" s="68">
        <v>0</v>
      </c>
      <c r="AN52" s="68">
        <v>0</v>
      </c>
      <c r="AO52" s="68">
        <v>0</v>
      </c>
      <c r="AP52" s="68">
        <v>0</v>
      </c>
      <c r="AQ52" s="346"/>
      <c r="AR52" s="199"/>
      <c r="AS52" s="199"/>
      <c r="AT52" s="199"/>
      <c r="AU52" s="199"/>
      <c r="AV52" s="199"/>
      <c r="AW52" s="199"/>
      <c r="AX52" s="199"/>
      <c r="AY52" s="8" t="str">
        <f t="shared" si="58"/>
        <v>Journey Gnoblar</v>
      </c>
      <c r="AZ52" s="8" t="str">
        <f>IFERROR((VLOOKUP($BP$1&amp;B49,Teams!D:S,12,0)),0)</f>
        <v>S</v>
      </c>
      <c r="BA52" s="8" t="str">
        <f>IFERROR((VLOOKUP($BP$1&amp;B49,Teams!D:S,13,0)),0)</f>
        <v>P</v>
      </c>
      <c r="BB52" s="8" t="str">
        <f>IFERROR((VLOOKUP($BP$1&amp;B49,Teams!D:S,14,0)),0)</f>
        <v>S</v>
      </c>
      <c r="BC52" s="8">
        <f>IFERROR((VLOOKUP($BP$1&amp;B49,Teams!D:S,15,0)),0)</f>
        <v>0</v>
      </c>
      <c r="BD52" s="8">
        <f>IFERROR((VLOOKUP($BP$1&amp;B49,Teams!D:S,16,0)),0)</f>
        <v>0</v>
      </c>
      <c r="BE52" s="8">
        <v>20000</v>
      </c>
      <c r="BF52" s="8">
        <v>10000</v>
      </c>
      <c r="BG52" s="8">
        <v>40000</v>
      </c>
      <c r="BH52" s="8">
        <v>20000</v>
      </c>
      <c r="BI52" s="8">
        <v>80000</v>
      </c>
      <c r="BJ52" s="8">
        <f t="shared" si="87"/>
        <v>0</v>
      </c>
      <c r="BK52" s="197"/>
      <c r="BL52" s="8">
        <f t="shared" si="88"/>
        <v>0</v>
      </c>
      <c r="BM52" s="8">
        <f t="shared" si="89"/>
        <v>0</v>
      </c>
      <c r="BN52" s="8">
        <f t="shared" si="90"/>
        <v>0</v>
      </c>
      <c r="BO52" s="8">
        <f t="shared" si="91"/>
        <v>0</v>
      </c>
      <c r="BP52" s="8">
        <f t="shared" si="92"/>
        <v>0</v>
      </c>
      <c r="BQ52" s="8">
        <f t="shared" si="93"/>
        <v>0</v>
      </c>
      <c r="BR52"/>
      <c r="BS52"/>
      <c r="BT52" s="8">
        <f t="shared" si="94"/>
        <v>0</v>
      </c>
      <c r="BU52" s="8">
        <f t="shared" si="59"/>
        <v>0</v>
      </c>
      <c r="BV52" s="8">
        <f t="shared" si="60"/>
        <v>0</v>
      </c>
      <c r="BW52" s="8">
        <f t="shared" si="61"/>
        <v>0</v>
      </c>
      <c r="BX52" s="8">
        <f t="shared" si="62"/>
        <v>0</v>
      </c>
      <c r="BY52" s="8">
        <f t="shared" si="63"/>
        <v>0</v>
      </c>
      <c r="BZ52" s="8"/>
      <c r="CA52" s="8">
        <f t="shared" si="64"/>
        <v>0</v>
      </c>
      <c r="CB52" s="8">
        <f t="shared" si="65"/>
        <v>0</v>
      </c>
      <c r="CC52" s="8">
        <f t="shared" si="66"/>
        <v>0</v>
      </c>
      <c r="CD52" s="8">
        <f t="shared" si="67"/>
        <v>0</v>
      </c>
      <c r="CE52" s="8">
        <f t="shared" si="68"/>
        <v>0</v>
      </c>
      <c r="CF52" s="8">
        <f t="shared" si="69"/>
        <v>0</v>
      </c>
      <c r="CG52" s="8"/>
      <c r="CH52" s="8">
        <f t="shared" si="95"/>
        <v>0</v>
      </c>
      <c r="CI52" s="8">
        <f t="shared" si="70"/>
        <v>0</v>
      </c>
      <c r="CJ52" s="8">
        <f t="shared" si="71"/>
        <v>0</v>
      </c>
      <c r="CK52" s="8">
        <f t="shared" si="72"/>
        <v>0</v>
      </c>
      <c r="CL52" s="8">
        <f t="shared" si="73"/>
        <v>0</v>
      </c>
      <c r="CM52" s="8">
        <f t="shared" si="74"/>
        <v>0</v>
      </c>
      <c r="CN52" s="8"/>
      <c r="CO52" s="8">
        <f t="shared" si="75"/>
        <v>0</v>
      </c>
      <c r="CP52" s="8">
        <f t="shared" si="76"/>
        <v>0</v>
      </c>
      <c r="CQ52" s="8">
        <f t="shared" si="77"/>
        <v>0</v>
      </c>
      <c r="CR52" s="8">
        <f t="shared" si="78"/>
        <v>0</v>
      </c>
      <c r="CS52" s="8">
        <f t="shared" si="79"/>
        <v>0</v>
      </c>
      <c r="CT52" s="8">
        <f t="shared" si="80"/>
        <v>0</v>
      </c>
      <c r="CU52" s="8"/>
      <c r="CV52" s="8">
        <f t="shared" si="81"/>
        <v>0</v>
      </c>
      <c r="CW52" s="8">
        <f t="shared" si="82"/>
        <v>0</v>
      </c>
      <c r="CX52" s="8">
        <f t="shared" si="83"/>
        <v>0</v>
      </c>
      <c r="CY52" s="8">
        <f t="shared" si="84"/>
        <v>0</v>
      </c>
      <c r="CZ52" s="8">
        <f t="shared" si="85"/>
        <v>0</v>
      </c>
      <c r="DA52" s="8">
        <f t="shared" si="86"/>
        <v>0</v>
      </c>
      <c r="DB52" s="199"/>
      <c r="DC52" s="199"/>
    </row>
    <row r="53" spans="1:107" s="200" customFormat="1" ht="15" customHeight="1" x14ac:dyDescent="0.2">
      <c r="A53" s="345"/>
      <c r="B53" s="345"/>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345"/>
      <c r="AP53" s="345"/>
      <c r="AQ53" s="346"/>
      <c r="AR53" s="199"/>
      <c r="AS53" s="199"/>
      <c r="AT53" s="199"/>
      <c r="AU53" s="199"/>
      <c r="AV53" s="199"/>
      <c r="AW53" s="199"/>
      <c r="AX53" s="199"/>
      <c r="AY53" s="8">
        <f t="shared" si="58"/>
        <v>0</v>
      </c>
      <c r="AZ53" s="8">
        <f>IFERROR((VLOOKUP($BP$1&amp;B50,Teams!D:S,12,0)),0)</f>
        <v>0</v>
      </c>
      <c r="BA53" s="8">
        <f>IFERROR((VLOOKUP($BP$1&amp;B50,Teams!D:S,13,0)),0)</f>
        <v>0</v>
      </c>
      <c r="BB53" s="8">
        <f>IFERROR((VLOOKUP($BP$1&amp;B50,Teams!D:S,14,0)),0)</f>
        <v>0</v>
      </c>
      <c r="BC53" s="8">
        <f>IFERROR((VLOOKUP($BP$1&amp;B50,Teams!D:S,15,0)),0)</f>
        <v>0</v>
      </c>
      <c r="BD53" s="8">
        <f>IFERROR((VLOOKUP($BP$1&amp;B50,Teams!D:S,16,0)),0)</f>
        <v>0</v>
      </c>
      <c r="BE53" s="8">
        <v>20000</v>
      </c>
      <c r="BF53" s="8">
        <v>10000</v>
      </c>
      <c r="BG53" s="8">
        <v>40000</v>
      </c>
      <c r="BH53" s="8">
        <v>20000</v>
      </c>
      <c r="BI53" s="8">
        <v>80000</v>
      </c>
      <c r="BJ53" s="8">
        <f t="shared" si="87"/>
        <v>0</v>
      </c>
      <c r="BK53" s="197"/>
      <c r="BL53" s="8">
        <f t="shared" si="88"/>
        <v>0</v>
      </c>
      <c r="BM53" s="8">
        <f t="shared" si="89"/>
        <v>0</v>
      </c>
      <c r="BN53" s="8">
        <f t="shared" si="90"/>
        <v>0</v>
      </c>
      <c r="BO53" s="8">
        <f t="shared" si="91"/>
        <v>0</v>
      </c>
      <c r="BP53" s="8">
        <f t="shared" si="92"/>
        <v>0</v>
      </c>
      <c r="BQ53" s="8">
        <f t="shared" si="93"/>
        <v>0</v>
      </c>
      <c r="BR53"/>
      <c r="BS53"/>
      <c r="BT53" s="8">
        <f t="shared" si="94"/>
        <v>0</v>
      </c>
      <c r="BU53" s="8">
        <f t="shared" si="59"/>
        <v>0</v>
      </c>
      <c r="BV53" s="8">
        <f t="shared" si="60"/>
        <v>0</v>
      </c>
      <c r="BW53" s="8">
        <f t="shared" si="61"/>
        <v>0</v>
      </c>
      <c r="BX53" s="8">
        <f t="shared" si="62"/>
        <v>0</v>
      </c>
      <c r="BY53" s="8">
        <f t="shared" si="63"/>
        <v>0</v>
      </c>
      <c r="BZ53" s="8"/>
      <c r="CA53" s="8">
        <f t="shared" si="64"/>
        <v>0</v>
      </c>
      <c r="CB53" s="8">
        <f t="shared" si="65"/>
        <v>0</v>
      </c>
      <c r="CC53" s="8">
        <f t="shared" si="66"/>
        <v>0</v>
      </c>
      <c r="CD53" s="8">
        <f t="shared" si="67"/>
        <v>0</v>
      </c>
      <c r="CE53" s="8">
        <f t="shared" si="68"/>
        <v>0</v>
      </c>
      <c r="CF53" s="8">
        <f t="shared" si="69"/>
        <v>0</v>
      </c>
      <c r="CG53" s="8"/>
      <c r="CH53" s="8">
        <f t="shared" si="95"/>
        <v>0</v>
      </c>
      <c r="CI53" s="8">
        <f t="shared" si="70"/>
        <v>0</v>
      </c>
      <c r="CJ53" s="8">
        <f t="shared" si="71"/>
        <v>0</v>
      </c>
      <c r="CK53" s="8">
        <f t="shared" si="72"/>
        <v>0</v>
      </c>
      <c r="CL53" s="8">
        <f t="shared" si="73"/>
        <v>0</v>
      </c>
      <c r="CM53" s="8">
        <f t="shared" si="74"/>
        <v>0</v>
      </c>
      <c r="CN53" s="8"/>
      <c r="CO53" s="8">
        <f t="shared" si="75"/>
        <v>0</v>
      </c>
      <c r="CP53" s="8">
        <f t="shared" si="76"/>
        <v>0</v>
      </c>
      <c r="CQ53" s="8">
        <f t="shared" si="77"/>
        <v>0</v>
      </c>
      <c r="CR53" s="8">
        <f t="shared" si="78"/>
        <v>0</v>
      </c>
      <c r="CS53" s="8">
        <f t="shared" si="79"/>
        <v>0</v>
      </c>
      <c r="CT53" s="8">
        <f t="shared" si="80"/>
        <v>0</v>
      </c>
      <c r="CU53" s="8"/>
      <c r="CV53" s="8">
        <f t="shared" si="81"/>
        <v>0</v>
      </c>
      <c r="CW53" s="8">
        <f t="shared" si="82"/>
        <v>0</v>
      </c>
      <c r="CX53" s="8">
        <f t="shared" si="83"/>
        <v>0</v>
      </c>
      <c r="CY53" s="8">
        <f t="shared" si="84"/>
        <v>0</v>
      </c>
      <c r="CZ53" s="8">
        <f t="shared" si="85"/>
        <v>0</v>
      </c>
      <c r="DA53" s="8">
        <f t="shared" si="86"/>
        <v>0</v>
      </c>
      <c r="DB53" s="199"/>
      <c r="DC53" s="199"/>
    </row>
    <row r="54" spans="1:107" ht="22.5" hidden="1" customHeight="1" x14ac:dyDescent="0.2">
      <c r="A54" s="38"/>
      <c r="B54" s="38"/>
      <c r="C54" s="38"/>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3"/>
      <c r="AR54" s="7"/>
      <c r="AS54" s="38"/>
      <c r="AT54" s="38"/>
      <c r="AU54" s="38"/>
      <c r="AV54" s="38"/>
      <c r="AW54" s="38"/>
      <c r="AX54" s="38"/>
      <c r="AY54" s="8">
        <f t="shared" ref="AY54:AY55" si="96">B51</f>
        <v>0</v>
      </c>
      <c r="AZ54" s="8">
        <f>IFERROR((VLOOKUP($BP$1&amp;B51,Teams!D:S,12,0)),0)</f>
        <v>0</v>
      </c>
      <c r="BA54" s="8">
        <f>IFERROR((VLOOKUP($BP$1&amp;B51,Teams!D:S,13,0)),0)</f>
        <v>0</v>
      </c>
      <c r="BB54" s="8">
        <f>IFERROR((VLOOKUP($BP$1&amp;B51,Teams!D:S,14,0)),0)</f>
        <v>0</v>
      </c>
      <c r="BC54" s="8">
        <f>IFERROR((VLOOKUP($BP$1&amp;B51,Teams!D:S,15,0)),0)</f>
        <v>0</v>
      </c>
      <c r="BD54" s="8">
        <f>IFERROR((VLOOKUP($BP$1&amp;B51,Teams!D:S,16,0)),0)</f>
        <v>0</v>
      </c>
      <c r="BE54" s="8">
        <v>20000</v>
      </c>
      <c r="BF54" s="8">
        <v>10000</v>
      </c>
      <c r="BG54" s="8">
        <v>40000</v>
      </c>
      <c r="BH54" s="8">
        <v>20000</v>
      </c>
      <c r="BI54" s="8">
        <v>80000</v>
      </c>
      <c r="BJ54" s="8">
        <f t="shared" ref="BJ54" si="97">SUM(CH54:CT54)</f>
        <v>0</v>
      </c>
      <c r="BK54" s="8"/>
      <c r="BL54" s="8">
        <f t="shared" si="88"/>
        <v>0</v>
      </c>
      <c r="BM54" s="8">
        <f t="shared" si="89"/>
        <v>0</v>
      </c>
      <c r="BN54" s="8">
        <f t="shared" si="90"/>
        <v>0</v>
      </c>
      <c r="BO54" s="8">
        <f t="shared" si="91"/>
        <v>0</v>
      </c>
      <c r="BP54" s="8">
        <f t="shared" si="92"/>
        <v>0</v>
      </c>
      <c r="BQ54" s="8">
        <f t="shared" si="93"/>
        <v>0</v>
      </c>
      <c r="BT54" s="8">
        <f t="shared" ref="BT54:BT55" si="98">(IF(BL54="G",AZ54,IF(BL54="A",BA54,IF(BL54="S",BB54,IF(BL54="P",BC54,IF(BL54="M",BD54,IF(BL54="X",0,IF(OR(BL54="MA",BL54="AV",BL54="ST",BL54="PA",BL54="AG"),"STAT",0))))))))</f>
        <v>0</v>
      </c>
      <c r="BU54" s="8">
        <f t="shared" ref="BU54:BU55" si="99">(IF(BM54="G",AZ54,IF(BM54="A",BA54,IF(BM54="S",BB54,IF(BM54="P",BC54,IF(BM54="M",BD54,IF(BM54="X",0,IF(OR(BM54="MA",BM54="AV",BM54="ST",BM54="PA",BM54="AG"),"STAT",0))))))))</f>
        <v>0</v>
      </c>
      <c r="BV54" s="8">
        <f t="shared" ref="BV54:BV55" si="100">(IF(BN54="G",AZ54,IF(BN54="A",BA54,IF(BN54="S",BB54,IF(BN54="P",BC54,IF(BN54="M",BD54,IF(BN54="X",0,IF(OR(BN54="MA",BN54="AV",BN54="ST",BN54="PA",BN54="AG"),"STAT",0))))))))</f>
        <v>0</v>
      </c>
      <c r="BW54" s="8">
        <f t="shared" ref="BW54:BW55" si="101">(IF(BO54="G",AZ54,IF(BO54="A",BA54,IF(BO54="S",BB54,IF(BO54="P",BC54,IF(BO54="M",BD54,IF(BO54="X",0,IF(OR(BO54="MA",BO54="AV",BO54="ST",BO54="PA",BO54="AG"),"STAT",0))))))))</f>
        <v>0</v>
      </c>
      <c r="BX54" s="8">
        <f t="shared" ref="BX54:BX55" si="102">(IF(BP54="G",AZ54,IF(BP54="A",BA54,IF(BP54="S",BB54,IF(BP54="P",BC54,IF(BP54="M",BD54,IF(BP54="X",0,IF(OR(BP54="MA",BP54="AV",BP54="ST",BP54="PA",BP54="AG"),"STAT",0))))))))</f>
        <v>0</v>
      </c>
      <c r="BY54" s="8">
        <f t="shared" ref="BY54:BY55" si="103">(IF(BQ54="G",AZ54,IF(BQ54="A",BA54,IF(BQ54="S",BB54,IF(BQ54="P",BC54,IF(BQ54="M",BD54,IF(BQ54="X",0,IF(OR(BQ54="MA",BQ54="AV",BQ54="ST",BQ54="PA",BQ54="AG"),"STAT",0))))))))</f>
        <v>0</v>
      </c>
      <c r="BZ54" s="8"/>
      <c r="CA54" s="8">
        <f t="shared" si="64"/>
        <v>0</v>
      </c>
      <c r="CB54" s="8">
        <f t="shared" si="65"/>
        <v>0</v>
      </c>
      <c r="CC54" s="8">
        <f t="shared" si="66"/>
        <v>0</v>
      </c>
      <c r="CD54" s="8">
        <f t="shared" si="67"/>
        <v>0</v>
      </c>
      <c r="CE54" s="8">
        <f t="shared" si="68"/>
        <v>0</v>
      </c>
      <c r="CF54" s="8">
        <f t="shared" si="69"/>
        <v>0</v>
      </c>
      <c r="CG54" s="8"/>
      <c r="CH54" s="8">
        <f t="shared" ref="CH54:CM54" si="104">IF(AND(BT54="P",CA54="Random"),10000,IF(AND(BT54="P",CA54="Chosen"),20000,IF(AND(BT54="S",CA54="Random"),20000,IF(AND(BT54="S",CA54="Chosen"),40000,0))))</f>
        <v>0</v>
      </c>
      <c r="CI54" s="8">
        <f t="shared" si="104"/>
        <v>0</v>
      </c>
      <c r="CJ54" s="8">
        <f t="shared" si="104"/>
        <v>0</v>
      </c>
      <c r="CK54" s="8">
        <f t="shared" si="104"/>
        <v>0</v>
      </c>
      <c r="CL54" s="8">
        <f t="shared" si="104"/>
        <v>0</v>
      </c>
      <c r="CM54" s="8">
        <f t="shared" si="104"/>
        <v>0</v>
      </c>
      <c r="CN54" s="8"/>
      <c r="CO54" s="8">
        <f t="shared" ref="CO54:CT54" si="105">IF(BL54="AV",10000,IF(BL54="MA",20000,IF(BL54="PA",20000,IF(BL54="AG",40000,IF(BL54="ST",80000,0)))))</f>
        <v>0</v>
      </c>
      <c r="CP54" s="8">
        <f t="shared" si="105"/>
        <v>0</v>
      </c>
      <c r="CQ54" s="8">
        <f t="shared" si="105"/>
        <v>0</v>
      </c>
      <c r="CR54" s="8">
        <f t="shared" si="105"/>
        <v>0</v>
      </c>
      <c r="CS54" s="8">
        <f t="shared" si="105"/>
        <v>0</v>
      </c>
      <c r="CT54" s="8">
        <f t="shared" si="105"/>
        <v>0</v>
      </c>
      <c r="CU54" s="8"/>
      <c r="CV54" s="8">
        <f t="shared" ref="CV54:CV55" si="106">IF(AND(BT54="P",CA54="Random"),3,IF(AND(BT54="P",CA54="Chosen"),6,IF(AND(BT54="S",CA54="Random"),6,IF(AND(BT54="S",CA54="Chosen"),12,IF(OR(BT54="STAT"),18,0)))))</f>
        <v>0</v>
      </c>
      <c r="CW54" s="8">
        <f t="shared" ref="CW54:CW55" si="107">IF(AND(BU54="P",CB54="Random"),4,IF(AND(BU54="P",CB54="Chosen"),8,IF(AND(BU54="S",CB54="Random"),8,IF(AND(BU54="S",CB54="Chosen"),14,IF(OR(BU54="STAT"),20,0)))))</f>
        <v>0</v>
      </c>
      <c r="CX54" s="8">
        <f t="shared" ref="CX54:CX55" si="108">IF(AND(BV54="P",CC54="Random"),6,IF(AND(BV54="P",CC54="Chosen"),12,IF(AND(BV54="S",CC54="Random"),12,IF(AND(BV54="S",CC54="Chosen"),18,IF(OR(BV54="STAT"),24,0)))))</f>
        <v>0</v>
      </c>
      <c r="CY54" s="8">
        <f t="shared" ref="CY54:CY55" si="109">IF(AND(BW54="P",CD54="Random"),8,IF(AND(BW54="P",CD54="Chosen"),16,IF(AND(BW54="S",CD54="Random"),16,IF(AND(BW54="S",CD54="Chosen"),22,IF(OR(BW54="STAT"),28,0)))))</f>
        <v>0</v>
      </c>
      <c r="CZ54" s="8">
        <f t="shared" ref="CZ54:CZ55" si="110">IF(AND(BX54="P",CE54="Random"),10,IF(AND(BX54="P",CE54="Chosen"),20,IF(AND(BX54="S",CE54="Random"),20,IF(AND(BX54="S",CE54="Chosen"),26,IF(OR(BX54="STAT"),32,0)))))</f>
        <v>0</v>
      </c>
      <c r="DA54" s="8">
        <f t="shared" ref="DA54:DA55" si="111">IF(AND(BY54="P",CF54="Random"),15,IF(AND(BY54="P",CF54="Chosen"),30,IF(AND(BY54="S",CF54="Random"),30,IF(AND(BY54="S",CF54="Chosen"),40,IF(OR(BY54="STAT"),50,0)))))</f>
        <v>0</v>
      </c>
      <c r="DB54" s="8"/>
      <c r="DC54" s="8"/>
    </row>
    <row r="55" spans="1:107" ht="22.5" hidden="1" customHeight="1" x14ac:dyDescent="0.2">
      <c r="A55" s="38"/>
      <c r="B55" s="38"/>
      <c r="C55" s="38"/>
      <c r="D55" s="44"/>
      <c r="E55" s="44"/>
      <c r="F55" s="44"/>
      <c r="G55" s="44"/>
      <c r="H55" s="45"/>
      <c r="I55" s="45"/>
      <c r="J55" s="45"/>
      <c r="K55" s="44"/>
      <c r="L55" s="44"/>
      <c r="M55" s="44"/>
      <c r="N55" s="46"/>
      <c r="O55" s="46"/>
      <c r="P55" s="44"/>
      <c r="Q55" s="44"/>
      <c r="R55" s="44"/>
      <c r="S55" s="44"/>
      <c r="T55" s="47"/>
      <c r="U55" s="44"/>
      <c r="V55" s="44"/>
      <c r="W55" s="44"/>
      <c r="X55" s="44"/>
      <c r="Y55" s="47"/>
      <c r="Z55" s="44"/>
      <c r="AA55" s="44"/>
      <c r="AB55" s="44"/>
      <c r="AC55" s="44"/>
      <c r="AD55" s="47"/>
      <c r="AE55" s="44"/>
      <c r="AF55" s="44"/>
      <c r="AG55" s="44"/>
      <c r="AH55" s="44"/>
      <c r="AI55" s="47"/>
      <c r="AJ55" s="44"/>
      <c r="AK55" s="44"/>
      <c r="AL55" s="44"/>
      <c r="AM55" s="44"/>
      <c r="AN55" s="47"/>
      <c r="AO55" s="38"/>
      <c r="AP55" s="38"/>
      <c r="AQ55" s="43"/>
      <c r="AR55" s="7"/>
      <c r="AS55" s="38"/>
      <c r="AT55" s="38"/>
      <c r="AU55" s="38"/>
      <c r="AV55" s="38"/>
      <c r="AW55" s="38"/>
      <c r="AX55" s="38"/>
      <c r="AY55" s="8">
        <f t="shared" si="96"/>
        <v>0</v>
      </c>
      <c r="AZ55" s="8">
        <f>IFERROR((VLOOKUP($BP$1&amp;B52,Teams!D:S,12,0)),0)</f>
        <v>0</v>
      </c>
      <c r="BA55" s="8">
        <f>IFERROR((VLOOKUP($BP$1&amp;B52,Teams!D:S,13,0)),0)</f>
        <v>0</v>
      </c>
      <c r="BB55" s="8">
        <f>IFERROR((VLOOKUP($BP$1&amp;B52,Teams!D:S,14,0)),0)</f>
        <v>0</v>
      </c>
      <c r="BC55" s="8">
        <f>IFERROR((VLOOKUP($BP$1&amp;B52,Teams!D:S,15,0)),0)</f>
        <v>0</v>
      </c>
      <c r="BD55" s="8">
        <f>IFERROR((VLOOKUP($BP$1&amp;B52,Teams!D:S,16,0)),0)</f>
        <v>0</v>
      </c>
      <c r="BE55" s="8">
        <v>20000</v>
      </c>
      <c r="BF55" s="8">
        <v>10000</v>
      </c>
      <c r="BG55" s="8">
        <v>40000</v>
      </c>
      <c r="BH55" s="8">
        <v>20000</v>
      </c>
      <c r="BI55" s="8">
        <v>80000</v>
      </c>
      <c r="BJ55" s="8">
        <f>SUM(CH55:CT55)</f>
        <v>0</v>
      </c>
      <c r="BK55" s="8"/>
      <c r="BL55" s="8">
        <f t="shared" si="88"/>
        <v>0</v>
      </c>
      <c r="BM55" s="8">
        <f t="shared" si="89"/>
        <v>0</v>
      </c>
      <c r="BN55" s="8">
        <f t="shared" si="90"/>
        <v>0</v>
      </c>
      <c r="BO55" s="8">
        <f t="shared" si="91"/>
        <v>0</v>
      </c>
      <c r="BP55" s="8">
        <f t="shared" si="92"/>
        <v>0</v>
      </c>
      <c r="BQ55" s="8">
        <f t="shared" si="93"/>
        <v>0</v>
      </c>
      <c r="BT55" s="8">
        <f t="shared" si="98"/>
        <v>0</v>
      </c>
      <c r="BU55" s="8">
        <f t="shared" si="99"/>
        <v>0</v>
      </c>
      <c r="BV55" s="8">
        <f t="shared" si="100"/>
        <v>0</v>
      </c>
      <c r="BW55" s="8">
        <f t="shared" si="101"/>
        <v>0</v>
      </c>
      <c r="BX55" s="8">
        <f t="shared" si="102"/>
        <v>0</v>
      </c>
      <c r="BY55" s="8">
        <f t="shared" si="103"/>
        <v>0</v>
      </c>
      <c r="BZ55" s="8"/>
      <c r="CA55" s="8">
        <f>IF(D52="Chosen","Chosen",(IF(D52="Scelto","Chosen",(IF(D52="Elegida","Chosen",(IF(D52="Gewählt","Chosen",(IF(D52="Choisie","Chosen",(IF(D52="Random","Random",(IF(D52="Casuale","Random",(IF(D52="Aleatoria","Random",(IF(D52="Zufällig","Random",(IF(D52="Aléatoire","Random",0)))))))))))))))))))</f>
        <v>0</v>
      </c>
      <c r="CB55" s="8">
        <f>IF(H52="Chosen","Chosen",(IF(H52="Scelto","Chosen",(IF(H52="Elegida","Chosen",(IF(H52="Gewählt","Chosen",(IF(H52="Choisie","Chosen",(IF(H52="Random","Random",(IF(H52="Casuale","Random",(IF(H52="Aleatoria","Random",(IF(H52="Zufällig","Random",(IF(H52="Aléatoire","Random",0)))))))))))))))))))</f>
        <v>0</v>
      </c>
      <c r="CC55" s="8">
        <f>IF(N52="Chosen","Chosen",(IF(N52="Scelto","Chosen",(IF(N52="Elegida","Chosen",(IF(N52="Gewählt","Chosen",(IF(N52="Choisie","Chosen",(IF(N52="Random","Random",(IF(N52="Casuale","Random",(IF(N52="Aleatoria","Random",(IF(N52="Zufällig","Random",(IF(N52="Aléatoire","Random",0)))))))))))))))))))</f>
        <v>0</v>
      </c>
      <c r="CD55" s="8">
        <f>IF(R52="Chosen","Chosen",(IF(R52="Scelto","Chosen",(IF(R52="Elegida","Chosen",(IF(R52="Gewählt","Chosen",(IF(R52="Choisie","Chosen",(IF(R52="Random","Random",(IF(R52="Casuale","Random",(IF(R52="Aleatoria","Random",(IF(R52="Zufällig","Random",(IF(R52="Aléatoire","Random",0)))))))))))))))))))</f>
        <v>0</v>
      </c>
      <c r="CE55" s="8">
        <f>IF(V52="Chosen","Chosen",(IF(V52="Scelto","Chosen",(IF(V52="Elegida","Chosen",(IF(V52="Gewählt","Chosen",(IF(V52="Choisie","Chosen",(IF(V52="Random","Random",(IF(V52="Casuale","Random",(IF(V52="Aleatoria","Random",(IF(V52="Zufällig","Random",(IF(V52="Aléatoire","Random",0)))))))))))))))))))</f>
        <v>0</v>
      </c>
      <c r="CF55" s="8">
        <f>IF(Z52="Chosen","Chosen",(IF(Z52="Scelto","Chosen",(IF(Z52="Elegida","Chosen",(IF(Z52="Gewählt","Chosen",(IF(Z52="Choisie","Chosen",(IF(Z52="Random","Random",(IF(Z52="Casuale","Random",(IF(Z52="Aleatoria","Random",(IF(Z52="Zufällig","Random",(IF(Z52="Aléatoire","Random",0)))))))))))))))))))</f>
        <v>0</v>
      </c>
      <c r="CG55" s="8"/>
      <c r="CH55" s="8">
        <f>IF(AND(BT55="P",CA55="Random"),10000,IF(AND(BT55="P",CA55="Chosen"),20000,IF(AND(BT55="S",CA55="Random"),20000,IF(AND(BT55="S",CA55="Chosen"),40000,0))))</f>
        <v>0</v>
      </c>
      <c r="CI55" s="8">
        <f t="shared" ref="CI55:CM55" si="112">IF(AND(BU55="P",CB55="Random"),10000,IF(AND(BU55="P",CB55="Chosen"),20000,IF(AND(BU55="S",CB55="Random"),20000,IF(AND(BU55="S",CB55="Chosen"),40000,0))))</f>
        <v>0</v>
      </c>
      <c r="CJ55" s="8">
        <f t="shared" si="112"/>
        <v>0</v>
      </c>
      <c r="CK55" s="8">
        <f t="shared" si="112"/>
        <v>0</v>
      </c>
      <c r="CL55" s="8">
        <f t="shared" si="112"/>
        <v>0</v>
      </c>
      <c r="CM55" s="8">
        <f t="shared" si="112"/>
        <v>0</v>
      </c>
      <c r="CN55" s="8"/>
      <c r="CO55" s="8">
        <f>IF(BL55="AV",10000,IF(BL55="MA",20000,IF(BL55="PA",20000,IF(BL55="AG",40000,IF(BL55="ST",80000,0)))))</f>
        <v>0</v>
      </c>
      <c r="CP55" s="8">
        <f t="shared" ref="CP55:CT55" si="113">IF(BM55="AV",10000,IF(BM55="MA",20000,IF(BM55="PA",20000,IF(BM55="AG",40000,IF(BM55="ST",80000,0)))))</f>
        <v>0</v>
      </c>
      <c r="CQ55" s="8">
        <f t="shared" si="113"/>
        <v>0</v>
      </c>
      <c r="CR55" s="8">
        <f t="shared" si="113"/>
        <v>0</v>
      </c>
      <c r="CS55" s="8">
        <f t="shared" si="113"/>
        <v>0</v>
      </c>
      <c r="CT55" s="8">
        <f t="shared" si="113"/>
        <v>0</v>
      </c>
      <c r="CU55" s="8"/>
      <c r="CV55" s="8">
        <f t="shared" si="106"/>
        <v>0</v>
      </c>
      <c r="CW55" s="8">
        <f t="shared" si="107"/>
        <v>0</v>
      </c>
      <c r="CX55" s="8">
        <f t="shared" si="108"/>
        <v>0</v>
      </c>
      <c r="CY55" s="8">
        <f t="shared" si="109"/>
        <v>0</v>
      </c>
      <c r="CZ55" s="8">
        <f t="shared" si="110"/>
        <v>0</v>
      </c>
      <c r="DA55" s="8">
        <f t="shared" si="111"/>
        <v>0</v>
      </c>
      <c r="DB55" s="8"/>
      <c r="DC55" s="8"/>
    </row>
    <row r="56" spans="1:107" ht="22.5" hidden="1" customHeight="1" x14ac:dyDescent="0.2">
      <c r="A56" s="38"/>
      <c r="B56" s="38"/>
      <c r="C56" s="38"/>
      <c r="D56" s="44"/>
      <c r="E56" s="44"/>
      <c r="F56" s="44"/>
      <c r="G56" s="44"/>
      <c r="H56" s="45"/>
      <c r="I56" s="45"/>
      <c r="J56" s="45"/>
      <c r="K56" s="44"/>
      <c r="L56" s="44"/>
      <c r="M56" s="44"/>
      <c r="N56" s="46"/>
      <c r="O56" s="46"/>
      <c r="P56" s="44"/>
      <c r="Q56" s="44"/>
      <c r="R56" s="44"/>
      <c r="S56" s="44"/>
      <c r="T56" s="47"/>
      <c r="U56" s="44"/>
      <c r="V56" s="44"/>
      <c r="W56" s="44"/>
      <c r="X56" s="44"/>
      <c r="Y56" s="47"/>
      <c r="Z56" s="44"/>
      <c r="AA56" s="44"/>
      <c r="AB56" s="44"/>
      <c r="AC56" s="44"/>
      <c r="AD56" s="47"/>
      <c r="AE56" s="44"/>
      <c r="AF56" s="44"/>
      <c r="AG56" s="44"/>
      <c r="AH56" s="44"/>
      <c r="AI56" s="47"/>
      <c r="AJ56" s="44"/>
      <c r="AK56" s="44"/>
      <c r="AL56" s="44"/>
      <c r="AM56" s="44"/>
      <c r="AN56" s="47"/>
      <c r="AO56" s="38"/>
      <c r="AP56" s="38"/>
      <c r="AQ56" s="43"/>
      <c r="AR56" s="7"/>
      <c r="AS56" s="38"/>
      <c r="AT56" s="38"/>
      <c r="AU56" s="38"/>
      <c r="AV56" s="38"/>
      <c r="AW56" s="38"/>
      <c r="AX56" s="38"/>
      <c r="AY56" s="8"/>
      <c r="AZ56" s="8"/>
      <c r="BA56" s="8"/>
      <c r="BB56" s="8"/>
      <c r="BC56" s="8"/>
      <c r="BD56" s="8"/>
      <c r="BE56" s="8"/>
      <c r="BF56" s="8"/>
      <c r="BG56" s="8"/>
      <c r="BH56" s="8"/>
      <c r="BI56" s="8"/>
      <c r="BJ56" s="8"/>
      <c r="BK56" s="8"/>
      <c r="BL56" s="8"/>
      <c r="BM56" s="8"/>
      <c r="BN56" s="8"/>
      <c r="BO56" s="8"/>
      <c r="BP56" s="8"/>
      <c r="BQ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row>
    <row r="57" spans="1:107" ht="22.5" hidden="1" customHeight="1" x14ac:dyDescent="0.2">
      <c r="A57" s="38"/>
      <c r="B57" s="38"/>
      <c r="C57" s="38"/>
      <c r="D57" s="44"/>
      <c r="E57" s="44"/>
      <c r="F57" s="44"/>
      <c r="G57" s="44"/>
      <c r="H57" s="45"/>
      <c r="I57" s="45"/>
      <c r="J57" s="45"/>
      <c r="K57" s="44"/>
      <c r="L57" s="44"/>
      <c r="M57" s="44"/>
      <c r="N57" s="44"/>
      <c r="O57" s="47"/>
      <c r="P57" s="44"/>
      <c r="Q57" s="44"/>
      <c r="R57" s="44"/>
      <c r="S57" s="44"/>
      <c r="T57" s="47"/>
      <c r="U57" s="44"/>
      <c r="V57" s="44"/>
      <c r="W57" s="44"/>
      <c r="X57" s="44"/>
      <c r="Y57" s="47"/>
      <c r="Z57" s="44"/>
      <c r="AA57" s="44"/>
      <c r="AB57" s="44"/>
      <c r="AC57" s="44"/>
      <c r="AD57" s="47"/>
      <c r="AE57" s="44"/>
      <c r="AF57" s="44"/>
      <c r="AG57" s="44"/>
      <c r="AH57" s="44"/>
      <c r="AI57" s="47"/>
      <c r="AJ57" s="44"/>
      <c r="AK57" s="44"/>
      <c r="AL57" s="44"/>
      <c r="AM57" s="48"/>
      <c r="AN57" s="48"/>
      <c r="AO57" s="38"/>
      <c r="AP57" s="38"/>
      <c r="AQ57" s="43"/>
      <c r="AR57" s="7"/>
      <c r="AS57" s="38"/>
      <c r="AT57" s="38"/>
      <c r="AU57" s="38"/>
      <c r="AV57" s="38"/>
      <c r="AW57" s="38"/>
      <c r="AX57" s="38"/>
      <c r="AY57" s="8"/>
      <c r="AZ57" s="8"/>
      <c r="BA57" s="8"/>
      <c r="BB57" s="8"/>
      <c r="BC57" s="8"/>
      <c r="BD57" s="8"/>
      <c r="BE57" s="8"/>
      <c r="BF57" s="8"/>
      <c r="BJ57" s="49"/>
      <c r="BK57" s="49"/>
      <c r="BL57" s="8"/>
      <c r="BN57" s="8"/>
      <c r="BO57" s="8"/>
      <c r="BP57" s="8"/>
      <c r="BT57" s="50"/>
      <c r="BU57" s="8"/>
      <c r="BV57" s="9"/>
      <c r="BW57" s="9"/>
      <c r="BX57" s="8"/>
      <c r="BY57" s="8"/>
      <c r="BZ57" s="8"/>
      <c r="CA57" s="8"/>
      <c r="CB57" s="9"/>
      <c r="CC57" s="8"/>
      <c r="CD57" s="8"/>
      <c r="CE57" s="8"/>
      <c r="CG57" s="8"/>
      <c r="CH57" s="8">
        <f>VLOOKUP(CH58,Teams!$D:$T,17,FALSE)</f>
        <v>0</v>
      </c>
      <c r="CI57" s="8" t="str">
        <f>VLOOKUP(CI58,Teams!$D:$T,17,FALSE)</f>
        <v>M</v>
      </c>
      <c r="CJ57" s="8" t="str">
        <f>VLOOKUP(CJ58,Teams!$D:$T,17,FALSE)</f>
        <v>M</v>
      </c>
      <c r="CK57" s="8" t="str">
        <f>VLOOKUP(CK58,Teams!$D:$T,17,FALSE)</f>
        <v>M</v>
      </c>
      <c r="CL57" s="8" t="str">
        <f>VLOOKUP(CL58,Teams!$D:$T,17,FALSE)</f>
        <v>M</v>
      </c>
      <c r="CM57" s="8" t="str">
        <f>VLOOKUP(CM58,Teams!$D:$T,17,FALSE)</f>
        <v>M</v>
      </c>
      <c r="CN57" s="8" t="str">
        <f>VLOOKUP(CN58,Teams!$D:$T,17,FALSE)</f>
        <v>PM</v>
      </c>
      <c r="CO57" s="8" t="str">
        <f>VLOOKUP(CO58,Teams!$D:$T,17,FALSE)</f>
        <v>PM</v>
      </c>
      <c r="CP57" s="8" t="str">
        <f>VLOOKUP(CP58,Teams!$D:$T,17,FALSE)</f>
        <v>PM</v>
      </c>
      <c r="CQ57" s="8" t="str">
        <f>VLOOKUP(CQ58,Teams!$D:$T,17,FALSE)</f>
        <v>PM</v>
      </c>
      <c r="CR57" s="8">
        <f>VLOOKUP(CR58,Teams!$D:$T,17,FALSE)</f>
        <v>0</v>
      </c>
      <c r="CS57" s="8" t="str">
        <f>VLOOKUP(CS58,Teams!$D:$T,17,FALSE)</f>
        <v>PM</v>
      </c>
      <c r="CT57" s="8" t="str">
        <f>VLOOKUP(CT58,Teams!$D:$T,17,FALSE)</f>
        <v>PM</v>
      </c>
      <c r="CU57" s="8">
        <f>VLOOKUP(CU58,Teams!$D:$T,17,FALSE)</f>
        <v>0</v>
      </c>
      <c r="CV57" s="8">
        <f>VLOOKUP(CV58,Teams!$D:$T,17,FALSE)</f>
        <v>0</v>
      </c>
      <c r="CW57" s="8">
        <f>VLOOKUP(CW58,Teams!$D:$T,17,FALSE)</f>
        <v>0</v>
      </c>
      <c r="DA57" s="8"/>
    </row>
    <row r="58" spans="1:107" ht="15" hidden="1" customHeight="1" x14ac:dyDescent="0.2">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8"/>
      <c r="AS58" s="7"/>
      <c r="AT58" s="7"/>
      <c r="AU58" s="7"/>
      <c r="AV58" s="7"/>
      <c r="AW58" s="7"/>
      <c r="AX58" s="7"/>
      <c r="AY58" s="8"/>
      <c r="AZ58" s="8"/>
      <c r="BA58" s="8"/>
      <c r="BB58" s="8"/>
      <c r="BC58" s="8"/>
      <c r="BD58" s="8"/>
      <c r="BE58" s="8"/>
      <c r="BF58" s="8"/>
      <c r="BL58" s="8"/>
      <c r="BN58" s="8"/>
      <c r="BO58" s="8"/>
      <c r="BP58" s="8"/>
      <c r="BT58" s="50"/>
      <c r="BU58" s="8"/>
      <c r="BV58" s="9"/>
      <c r="BW58" s="9"/>
      <c r="BX58" s="8"/>
      <c r="BY58" s="8"/>
      <c r="BZ58" s="8"/>
      <c r="CA58" s="8"/>
      <c r="CB58" s="9"/>
      <c r="CC58" s="8"/>
      <c r="CD58" s="8"/>
      <c r="CE58" s="8"/>
      <c r="CG58" s="8"/>
      <c r="CH58" s="223" t="str">
        <f>$BP$1&amp;$D2</f>
        <v>Ogre</v>
      </c>
      <c r="CI58" s="223" t="str">
        <f>$BP$1&amp;$D3</f>
        <v xml:space="preserve">OgreOgre </v>
      </c>
      <c r="CJ58" s="223" t="str">
        <f>$BP$1&amp;$D4</f>
        <v xml:space="preserve">OgreOgre </v>
      </c>
      <c r="CK58" s="223" t="str">
        <f>$BP$1&amp;$D5</f>
        <v xml:space="preserve">OgreOgre </v>
      </c>
      <c r="CL58" s="223" t="str">
        <f>$BP$1&amp;$D6</f>
        <v xml:space="preserve">OgreOgre </v>
      </c>
      <c r="CM58" s="223" t="str">
        <f>$BP$1&amp;$D7</f>
        <v xml:space="preserve">OgreOgre </v>
      </c>
      <c r="CN58" s="223" t="str">
        <f>$BP$1&amp;$D8</f>
        <v>OgreGnoblar</v>
      </c>
      <c r="CO58" s="223" t="str">
        <f>$BP$1&amp;$D9</f>
        <v>OgreGnoblar</v>
      </c>
      <c r="CP58" s="223" t="str">
        <f>$BP$1&amp;$D10</f>
        <v>OgreGnoblar</v>
      </c>
      <c r="CQ58" s="223" t="str">
        <f>$BP$1&amp;$D11</f>
        <v>OgreGnoblar</v>
      </c>
      <c r="CR58" s="223" t="str">
        <f>$BP$1&amp;$D12</f>
        <v>Ogre</v>
      </c>
      <c r="CS58" s="223" t="str">
        <f>$BP$1&amp;$D13</f>
        <v>OgreGnoblar</v>
      </c>
      <c r="CT58" s="223" t="str">
        <f>$BP$1&amp;$D14</f>
        <v>OgreJourney Gnoblar</v>
      </c>
      <c r="CU58" s="223" t="str">
        <f>$BP$1&amp;$D15</f>
        <v>Ogre</v>
      </c>
      <c r="CV58" s="223" t="str">
        <f>$BP$1&amp;$D16</f>
        <v>Ogre</v>
      </c>
      <c r="CW58" s="223" t="str">
        <f>$BP$1&amp;$D17</f>
        <v>Ogre</v>
      </c>
      <c r="DA58" s="8"/>
    </row>
    <row r="59" spans="1:107" ht="15" hidden="1" customHeight="1" x14ac:dyDescent="0.2">
      <c r="A59" s="8"/>
      <c r="B59" s="397" t="s">
        <v>213</v>
      </c>
      <c r="C59" s="397"/>
      <c r="D59" s="385"/>
      <c r="E59" s="385"/>
      <c r="F59" s="385"/>
      <c r="G59" s="385"/>
      <c r="H59" s="8"/>
      <c r="I59" s="8"/>
      <c r="J59" s="8"/>
      <c r="K59" s="8"/>
      <c r="L59" s="397" t="s">
        <v>214</v>
      </c>
      <c r="M59" s="385"/>
      <c r="N59" s="385"/>
      <c r="O59" s="385"/>
      <c r="P59" s="385"/>
      <c r="Q59" s="8"/>
      <c r="R59" s="397" t="s">
        <v>215</v>
      </c>
      <c r="S59" s="385"/>
      <c r="T59" s="385"/>
      <c r="U59" s="385"/>
      <c r="V59" s="385"/>
      <c r="W59" s="8"/>
      <c r="X59" s="397" t="s">
        <v>216</v>
      </c>
      <c r="Y59" s="385"/>
      <c r="Z59" s="385"/>
      <c r="AA59" s="385"/>
      <c r="AB59" s="385"/>
      <c r="AC59" s="8"/>
      <c r="AD59" s="397" t="s">
        <v>217</v>
      </c>
      <c r="AE59" s="385"/>
      <c r="AF59" s="385"/>
      <c r="AG59" s="385"/>
      <c r="AH59" s="385"/>
      <c r="AI59" s="8"/>
      <c r="AJ59" s="8"/>
      <c r="AK59" s="8"/>
      <c r="AL59" s="397" t="s">
        <v>218</v>
      </c>
      <c r="AM59" s="385"/>
      <c r="AN59" s="385"/>
      <c r="AO59" s="385"/>
      <c r="AP59" s="385"/>
      <c r="AQ59" s="7"/>
      <c r="AR59" s="7"/>
      <c r="AS59" s="52" t="s">
        <v>219</v>
      </c>
      <c r="AT59" s="52"/>
      <c r="AU59" s="52"/>
      <c r="AV59" s="52"/>
      <c r="AW59" s="52"/>
      <c r="AX59" s="52"/>
      <c r="AY59" s="52" t="s">
        <v>220</v>
      </c>
      <c r="AZ59" s="52" t="s">
        <v>221</v>
      </c>
      <c r="BA59" s="52" t="s">
        <v>222</v>
      </c>
      <c r="BB59" s="52" t="s">
        <v>223</v>
      </c>
      <c r="BC59" s="52" t="s">
        <v>224</v>
      </c>
      <c r="BD59" s="8"/>
      <c r="BE59" s="53" t="s">
        <v>154</v>
      </c>
      <c r="BG59" s="8"/>
      <c r="BH59" s="8"/>
      <c r="BI59" s="53" t="s">
        <v>149</v>
      </c>
      <c r="BL59" s="8"/>
      <c r="BM59" s="53" t="s">
        <v>164</v>
      </c>
      <c r="BN59" s="8"/>
      <c r="BP59" s="53" t="s">
        <v>170</v>
      </c>
      <c r="BQ59" s="8"/>
      <c r="BS59" s="53" t="s">
        <v>126</v>
      </c>
      <c r="BT59" s="401" t="s">
        <v>225</v>
      </c>
      <c r="BU59" s="401"/>
      <c r="BV59" s="401" t="s">
        <v>199</v>
      </c>
      <c r="BW59" s="401"/>
      <c r="BX59" s="401" t="s">
        <v>200</v>
      </c>
      <c r="BY59" s="401"/>
      <c r="BZ59" s="401" t="s">
        <v>226</v>
      </c>
      <c r="CA59" s="401"/>
      <c r="CB59" s="8"/>
      <c r="CD59" s="8" t="str">
        <f>""</f>
        <v/>
      </c>
      <c r="CE59" s="8"/>
      <c r="CH59" s="13" t="s">
        <v>227</v>
      </c>
      <c r="CI59" s="13" t="s">
        <v>228</v>
      </c>
      <c r="CJ59" s="13" t="s">
        <v>229</v>
      </c>
      <c r="CK59" s="13" t="s">
        <v>230</v>
      </c>
      <c r="CL59" s="13" t="s">
        <v>231</v>
      </c>
      <c r="CM59" s="13" t="s">
        <v>232</v>
      </c>
      <c r="CN59" s="13" t="s">
        <v>233</v>
      </c>
      <c r="CO59" s="13" t="s">
        <v>234</v>
      </c>
      <c r="CP59" s="13" t="s">
        <v>235</v>
      </c>
      <c r="CQ59" s="13" t="s">
        <v>236</v>
      </c>
      <c r="CR59" s="13" t="s">
        <v>237</v>
      </c>
      <c r="CS59" s="13" t="s">
        <v>238</v>
      </c>
      <c r="CT59" s="13" t="s">
        <v>239</v>
      </c>
      <c r="CU59" s="13" t="s">
        <v>240</v>
      </c>
      <c r="CV59" s="13" t="s">
        <v>241</v>
      </c>
      <c r="CW59" s="13" t="s">
        <v>242</v>
      </c>
      <c r="DA59" s="13"/>
    </row>
    <row r="60" spans="1:107" ht="15" hidden="1" customHeight="1" x14ac:dyDescent="0.2">
      <c r="A60" s="8"/>
      <c r="B60" s="396" t="str">
        <f>IF(K31&lt;0,(IF(K25="Italiano","AVETE SPESO TROPPO!   ",IF(K25="Español","¡HAS GASTADO DEMASIADO!   ",(IF(K25="Deutsch","ZU VIEL AUSGEGEBEN!   ",(IF(K25="Français","TU DÉPENSES TROP!   ","YOU HAVE EXPENT TOO MUCH!   "))))))),"")</f>
        <v/>
      </c>
      <c r="C60" s="396"/>
      <c r="D60" s="385"/>
      <c r="E60" s="385"/>
      <c r="F60" s="385"/>
      <c r="G60" s="385"/>
      <c r="H60" s="8"/>
      <c r="I60" s="8"/>
      <c r="J60" s="8"/>
      <c r="K60" s="8"/>
      <c r="L60" s="10" t="s">
        <v>201</v>
      </c>
      <c r="M60" s="10" t="s">
        <v>205</v>
      </c>
      <c r="N60" s="10" t="s">
        <v>203</v>
      </c>
      <c r="O60" s="10" t="s">
        <v>204</v>
      </c>
      <c r="P60" s="10" t="s">
        <v>202</v>
      </c>
      <c r="Q60" s="8"/>
      <c r="R60" s="10" t="s">
        <v>201</v>
      </c>
      <c r="S60" s="10" t="s">
        <v>205</v>
      </c>
      <c r="T60" s="10" t="s">
        <v>203</v>
      </c>
      <c r="U60" s="10" t="s">
        <v>204</v>
      </c>
      <c r="V60" s="10" t="s">
        <v>202</v>
      </c>
      <c r="W60" s="8"/>
      <c r="X60" s="10" t="s">
        <v>201</v>
      </c>
      <c r="Y60" s="10" t="s">
        <v>205</v>
      </c>
      <c r="Z60" s="10" t="s">
        <v>203</v>
      </c>
      <c r="AA60" s="10" t="s">
        <v>204</v>
      </c>
      <c r="AB60" s="10" t="s">
        <v>202</v>
      </c>
      <c r="AC60" s="8"/>
      <c r="AD60" s="10" t="s">
        <v>201</v>
      </c>
      <c r="AE60" s="10" t="s">
        <v>205</v>
      </c>
      <c r="AF60" s="10" t="s">
        <v>203</v>
      </c>
      <c r="AG60" s="10" t="s">
        <v>204</v>
      </c>
      <c r="AH60" s="10" t="s">
        <v>202</v>
      </c>
      <c r="AI60" s="8"/>
      <c r="AJ60" s="8" t="str">
        <f>IF(K25="English","NI",(IF(K25="Español","LP",(IF(K25="Deutsch","HV",(IF(K25="Français","BP")))))))</f>
        <v>NI</v>
      </c>
      <c r="AK60" s="8"/>
      <c r="AL60" s="10" t="s">
        <v>201</v>
      </c>
      <c r="AM60" s="10" t="s">
        <v>205</v>
      </c>
      <c r="AN60" s="10" t="s">
        <v>203</v>
      </c>
      <c r="AO60" s="10" t="s">
        <v>204</v>
      </c>
      <c r="AP60" s="10" t="s">
        <v>202</v>
      </c>
      <c r="AQ60" s="7"/>
      <c r="AR60" s="7"/>
      <c r="AS60" s="8">
        <v>0</v>
      </c>
      <c r="AT60" s="8"/>
      <c r="AU60" s="8"/>
      <c r="AV60" s="8"/>
      <c r="AW60" s="8"/>
      <c r="AX60" s="8"/>
      <c r="AY60" s="8">
        <f>COUNTIF(BT40:BY55,"P")</f>
        <v>5</v>
      </c>
      <c r="AZ60" s="8">
        <f>COUNTIF(BT40:BY55,"S")</f>
        <v>0</v>
      </c>
      <c r="BA60" s="8">
        <f>AY60+AZ60</f>
        <v>5</v>
      </c>
      <c r="BB60" s="8">
        <f>COUNTIF(BT40:BY55,"STAT")</f>
        <v>0</v>
      </c>
      <c r="BC60" s="8">
        <f>COUNTIF(J18:J19,1)</f>
        <v>0</v>
      </c>
      <c r="BD60" s="8"/>
      <c r="BE60" s="54" t="s">
        <v>243</v>
      </c>
      <c r="BF60" s="55">
        <v>100000</v>
      </c>
      <c r="BG60" s="55"/>
      <c r="BH60" s="8"/>
      <c r="BI60" s="54" t="str">
        <f>IF(K25="Español","HECHICERO-DEPORTIVO MERCENARIO",(IF(K25="Deutsch","SPORT-ZAUBERER",(IF(K25="Français","SORCIER-SPORTIF A GAGES","HIRELING SPORT-WIZARD")))))</f>
        <v>HIRELING SPORT-WIZARD</v>
      </c>
      <c r="BJ60" s="55">
        <v>150000</v>
      </c>
      <c r="BK60" s="55"/>
      <c r="BL60" s="8"/>
      <c r="BM60" s="203" t="s">
        <v>1217</v>
      </c>
      <c r="BN60" s="55">
        <f>IFERROR(IF($BW$2="Bribery and Corruption",80000,120000),0)</f>
        <v>120000</v>
      </c>
      <c r="BO60" s="55"/>
      <c r="BP60" s="203" t="s">
        <v>1222</v>
      </c>
      <c r="BQ60" s="55">
        <f>IFERROR((IF(OR(COUNTIF($BV$2,"*BadlandsBrawl*")),50000,0)),0)</f>
        <v>50000</v>
      </c>
      <c r="BS60" s="203" t="s">
        <v>1230</v>
      </c>
      <c r="BT60" s="8" t="str">
        <f t="shared" ref="BT60:CA60" si="114">""</f>
        <v/>
      </c>
      <c r="BU60" s="8" t="str">
        <f t="shared" si="114"/>
        <v/>
      </c>
      <c r="BV60" s="8" t="str">
        <f t="shared" si="114"/>
        <v/>
      </c>
      <c r="BW60" s="8" t="str">
        <f t="shared" si="114"/>
        <v/>
      </c>
      <c r="BX60" s="8" t="str">
        <f t="shared" si="114"/>
        <v/>
      </c>
      <c r="BY60" s="8" t="str">
        <f t="shared" si="114"/>
        <v/>
      </c>
      <c r="BZ60" s="8" t="str">
        <f t="shared" si="114"/>
        <v/>
      </c>
      <c r="CA60" s="8" t="str">
        <f t="shared" si="114"/>
        <v/>
      </c>
      <c r="CB60" s="8" t="str">
        <f>IF($K$25="Italiano","Scelto",(IF($K$25="Español","Elegida",(IF($K$25="Deutsch","Gewählt",(IF($K$25="Français","Choisie","Chosen")))))))</f>
        <v>Chosen</v>
      </c>
      <c r="CD60" s="8" t="str">
        <f>IF($K$25="Español","MO+",(IF($K$25="Deutsch","BE+",(IF($K$25="Français","M+","MA+")))))</f>
        <v>MA+</v>
      </c>
      <c r="CE60" s="8" t="s">
        <v>201</v>
      </c>
      <c r="CG60" s="8"/>
      <c r="CH60" s="223" t="str">
        <f>IFERROR((IF($CH$57="M",BX60,IF($CH$57="PM",BZ60,IF($CH$57="P",BV60,IF($CH$57="FULL",BT60,IF($CH$57="GPSM",CB67,"")))))),"")</f>
        <v/>
      </c>
      <c r="CI60" s="223" t="str">
        <f>IFERROR((IF($CI$57="M",BX60,IF($CI$57="PM",BZ60,IF($CI$57="P",BV60,IF($CI$57="FULL",BT60,""))))),"")</f>
        <v/>
      </c>
      <c r="CJ60" s="51" t="str">
        <f>IFERROR((IF($CJ$57="M",BX60,IF($CJ$57="PM",BZ60,IF($CJ$57="P",BV60,IF($CJ$57="FULL",BT60,""))))),"")</f>
        <v/>
      </c>
      <c r="CK60" s="51" t="str">
        <f>IFERROR((IF($CK$57="M",BX60,IF($CK$57="PM",BZ60,IF($CK$57="P",BV60,IF($CK$57="FULL",BT60,""))))),"")</f>
        <v/>
      </c>
      <c r="CL60" s="51" t="str">
        <f>IFERROR((IF($CL$57="M",BX60,IF($CL$57="PM",BZ60,IF($CL$57="P",BV60,IF($CL$57="FULL",BT60,""))))),"")</f>
        <v/>
      </c>
      <c r="CM60" s="51" t="str">
        <f>IFERROR((IF($CM$57="M",BX60,IF($CM$57="PM",BZ60,IF($CM$57="P",BV60,IF($CM$57="FULL",BT60,""))))),"")</f>
        <v/>
      </c>
      <c r="CN60" s="51" t="str">
        <f>IFERROR((IF($CN$57="M",BX60,IF($CN$57="PM",BZ60,IF($CN$57="P",BV60,IF($CN$57="FULL",BT60,""))))),"")</f>
        <v/>
      </c>
      <c r="CO60" s="51" t="str">
        <f>IFERROR((IF($CO$57="M",BX60,IF($CO$57="PM",BZ60,IF($CO$57="P",BV60,IF($CO$57="FULL",BT60,""))))),"")</f>
        <v/>
      </c>
      <c r="CP60" s="51" t="str">
        <f>IFERROR((IF($CP$57="M",BX60,IF($CP$57="PM",BZ60,IF($CP$57="P",BV60,IF($CP$57="FULL",BT60,""))))),"")</f>
        <v/>
      </c>
      <c r="CQ60" s="51" t="str">
        <f>IFERROR((IF($CQ$57="M",BX60,IF($CQ$57="PM",BZ60,IF($CQ$57="P",BV60,IF($CQ$57="FULL",BT60,""))))),"")</f>
        <v/>
      </c>
      <c r="CR60" s="51" t="str">
        <f>IFERROR((IF($CR$57="M",BX60,IF($CR$57="PM",BZ60,IF($CR$57="P",BV60,IF($CR$57="FULL",BT60,""))))),"")</f>
        <v/>
      </c>
      <c r="CS60" s="51" t="str">
        <f>IFERROR((IF($CS$57="M",BX60,IF($CS$57="PM",BZ60,IF($CS$57="P",BV60,IF($CS$57="FULL",BT60,""))))),"")</f>
        <v/>
      </c>
      <c r="CT60" s="51" t="str">
        <f>IFERROR((IF($CT$57="M",BX60,IF($CT$57="PM",BZ60,IF($CT$57="P",BV60,IF($CT$57="FULL",BT60,""))))),"")</f>
        <v/>
      </c>
      <c r="CU60" s="51" t="str">
        <f>IFERROR((IF($CU$57="M",BX60,IF($CU$57="PM",BZ60,IF($CU$57="P",BV60,IF($CU$57="FULL",BT60,""))))),"")</f>
        <v/>
      </c>
      <c r="CV60" s="51" t="str">
        <f>IFERROR((IF($CV$57="M",BX60,IF($CV$57="PM",BZ60,IF($CV$57="P",BV60,IF($CV$57="FULL",BT60,""))))),"")</f>
        <v/>
      </c>
      <c r="CW60" s="51" t="str">
        <f>IFERROR((IF($CW$57="M",BX60,IF($CW$57="PM",BZ60,IF($CW$57="P",BV60,IF($CW$57="FULL",BT60,""))))),"")</f>
        <v/>
      </c>
      <c r="DA60" s="8"/>
    </row>
    <row r="61" spans="1:107" ht="15" hidden="1" customHeight="1" x14ac:dyDescent="0.2">
      <c r="A61" s="8"/>
      <c r="B61" s="38"/>
      <c r="C61" s="38"/>
      <c r="D61" s="38"/>
      <c r="E61" s="38"/>
      <c r="F61" s="38"/>
      <c r="G61" s="38"/>
      <c r="H61" s="8"/>
      <c r="I61" s="8"/>
      <c r="J61" s="8"/>
      <c r="K61" s="8"/>
      <c r="L61" s="7">
        <f t="shared" ref="L61:L76" si="115">IF(R61=0,0,(IF(R61&gt;9,9,(IF(R61&lt;1,1,R61)))))</f>
        <v>0</v>
      </c>
      <c r="M61" s="7">
        <f t="shared" ref="M61:M76" si="116">IF(S61=0,0,(IF(S61&gt;8,8,(IF(S61&lt;1,1,S61)))))</f>
        <v>0</v>
      </c>
      <c r="N61" s="7">
        <f t="shared" ref="N61:O61" si="117">IF(T61=0,0,(IF(T61&gt;6,6,(IF(T61&lt;1,1,T61)))))</f>
        <v>0</v>
      </c>
      <c r="O61" s="7">
        <f t="shared" si="117"/>
        <v>0</v>
      </c>
      <c r="P61" s="7">
        <f t="shared" ref="P61:P76" si="118">IF(V61=0,0,(IF(V61&gt;11,11,(IF(V61&lt;3,3,V61)))))</f>
        <v>0</v>
      </c>
      <c r="Q61" s="8"/>
      <c r="R61" s="7">
        <f>IFERROR((VLOOKUP($BP$1&amp;D2,Teams!D:M,2,0)+AL61+AD61),0)</f>
        <v>0</v>
      </c>
      <c r="S61" s="7">
        <f>IFERROR((VLOOKUP($BP$1&amp;D2,Teams!D:M,3,0)+AM61+AE61),0)</f>
        <v>0</v>
      </c>
      <c r="T61" s="7">
        <f>IFERROR((VLOOKUP($BP$1&amp;D2,Teams!D:M,4,0)+AN61-AF61),0)</f>
        <v>0</v>
      </c>
      <c r="U61" s="7">
        <f>IFERROR((VLOOKUP($BP$1&amp;D2,Teams!D:M,5,0)+AO61-AG61),0)</f>
        <v>0</v>
      </c>
      <c r="V61" s="7">
        <f>IFERROR((VLOOKUP($BP$1&amp;D2,Teams!D:M,6,0)+AP61+AH61),0)</f>
        <v>0</v>
      </c>
      <c r="W61" s="8"/>
      <c r="X61" s="8">
        <f>IFERROR((VLOOKUP($BP$1&amp;D2,Teams!D:M,2,0)),0)</f>
        <v>0</v>
      </c>
      <c r="Y61" s="8">
        <f>IFERROR((VLOOKUP($BP$1&amp;D2,Teams!D:M,3,0)),0)</f>
        <v>0</v>
      </c>
      <c r="Z61" s="8">
        <f>IFERROR((VLOOKUP($BP$1&amp;D2,Teams!D:M,4,0)),0)</f>
        <v>0</v>
      </c>
      <c r="AA61" s="8">
        <f>IFERROR((VLOOKUP($BP$1&amp;D2,Teams!D:M,5,0)),0)</f>
        <v>0</v>
      </c>
      <c r="AB61" s="8">
        <f>IFERROR((VLOOKUP($BP$1&amp;D2,Teams!D:M,6,0)),0)</f>
        <v>0</v>
      </c>
      <c r="AC61" s="8"/>
      <c r="AD61" s="8">
        <f t="shared" ref="AD61:AD76" si="119">IF((COUNTIF(BL40:BQ40,"MA"))&gt;2,2,(COUNTIF(BL40:BQ40,"MA")))</f>
        <v>0</v>
      </c>
      <c r="AE61" s="8">
        <f t="shared" ref="AE61:AE76" si="120">IF((COUNTIF(BL40:BQ40,"ST"))&gt;2,2,(COUNTIF(BL40:BQ40,"ST")))</f>
        <v>0</v>
      </c>
      <c r="AF61" s="8">
        <f t="shared" ref="AF61:AF76" si="121">IF((COUNTIF(BL40:BQ40,"AG"))&gt;2,2,(COUNTIF(BL40:BQ40,"AG")))</f>
        <v>0</v>
      </c>
      <c r="AG61" s="8">
        <f t="shared" ref="AG61:AG76" si="122">IF((COUNTIF(BL40:BQ40,"PA"))&gt;2,2,(COUNTIF(BL40:BQ40,"PA")))</f>
        <v>0</v>
      </c>
      <c r="AH61" s="8">
        <f t="shared" ref="AH61:AH76" si="123">IF((COUNTIF(BL40:BQ40,"AV"))&gt;2,2,(COUNTIF(BL40:BQ40,"AV")))</f>
        <v>0</v>
      </c>
      <c r="AI61" s="8"/>
      <c r="AK61" s="8">
        <v>0</v>
      </c>
      <c r="AL61" s="7">
        <f t="shared" ref="AL61:AM61" si="124">AL37</f>
        <v>0</v>
      </c>
      <c r="AM61" s="7">
        <f t="shared" si="124"/>
        <v>0</v>
      </c>
      <c r="AN61" s="7">
        <f t="shared" ref="AN61:AN76" si="125">AO37</f>
        <v>0</v>
      </c>
      <c r="AO61" s="7">
        <f t="shared" ref="AO61:AO76" si="126">AN37</f>
        <v>0</v>
      </c>
      <c r="AP61" s="7">
        <f t="shared" ref="AP61:AP76" si="127">AP37</f>
        <v>0</v>
      </c>
      <c r="AQ61" s="7"/>
      <c r="AR61" s="7"/>
      <c r="AS61" s="7">
        <v>900000</v>
      </c>
      <c r="AT61" s="7"/>
      <c r="AU61" s="7"/>
      <c r="AV61" s="7"/>
      <c r="AW61" s="7"/>
      <c r="AX61" s="7"/>
      <c r="AY61" s="52"/>
      <c r="AZ61" s="8"/>
      <c r="BA61" s="8"/>
      <c r="BB61" s="8"/>
      <c r="BC61" s="8"/>
      <c r="BD61" s="8"/>
      <c r="BE61" s="203" t="s">
        <v>1198</v>
      </c>
      <c r="BF61" s="55">
        <f>IFERROR((IF(OR(COUNTIF($BV$2,"*ElvenKingdomsLeague*"),COUNTIF($BV$2,"*LustrianSuperleague*"),COUNTIF($BV$2,"*OldWorldClassic*"),COUNTIF($BV$2,"*WorldsEdgeSuperleague*")),50000,0)),0)</f>
        <v>50000</v>
      </c>
      <c r="BG61" s="55"/>
      <c r="BI61" s="203" t="s">
        <v>1207</v>
      </c>
      <c r="BJ61" s="55">
        <f>IFERROR((IF(OR(COUNTIF($BV$2,"*Favouredof*"),COUNTIF($BV$2,"*UnderworldChallenge*")),150000,0)),0)</f>
        <v>0</v>
      </c>
      <c r="BK61" s="55"/>
      <c r="BL61" s="8"/>
      <c r="BM61" s="203" t="s">
        <v>1218</v>
      </c>
      <c r="BN61" s="55">
        <f>IFERROR((IF(OR(COUNTIF($BV$2,"*LustrianSuperleague*"),COUNTIF($BV$2,"*OldWorldClassic*")),130000,0)),0)</f>
        <v>130000</v>
      </c>
      <c r="BO61" s="55"/>
      <c r="BP61" s="203" t="s">
        <v>1223</v>
      </c>
      <c r="BQ61" s="55">
        <f>IFERROR((IF(OR(COUNTIF(BP2,"*Nurgle*")),30000,0)),0)</f>
        <v>0</v>
      </c>
      <c r="BS61" s="203" t="s">
        <v>1231</v>
      </c>
      <c r="BT61" s="8" t="str">
        <f>IF($K$25="Español","MO+",(IF($K$25="Deutsch","BE+",(IF($K$25="Français","M+","MA+")))))</f>
        <v>MA+</v>
      </c>
      <c r="BU61" s="8" t="s">
        <v>201</v>
      </c>
      <c r="BV61" s="8" t="str">
        <f>IF($K$25="Español","MO+",(IF($K$25="Deutsch","BE+",(IF($K$25="Français","M+","MA+")))))</f>
        <v>MA+</v>
      </c>
      <c r="BW61" s="8" t="s">
        <v>201</v>
      </c>
      <c r="BX61" s="8" t="str">
        <f>IF($K$25="Español","MO+",(IF($K$25="Deutsch","BE+",(IF($K$25="Français","M+","MA+")))))</f>
        <v>MA+</v>
      </c>
      <c r="BY61" s="8" t="s">
        <v>201</v>
      </c>
      <c r="BZ61" s="8" t="str">
        <f>IF($K$25="Español","MO+",(IF($K$25="Deutsch","BE+",(IF($K$25="Français","M+","MA+")))))</f>
        <v>MA+</v>
      </c>
      <c r="CA61" s="8" t="s">
        <v>201</v>
      </c>
      <c r="CB61" s="8" t="str">
        <f>IF($K$25="Italiano","Casuale",(IF($K$25="Español","Aleatoria",(IF($K$25="Deutsch","Zufällig",(IF($K$25="Français","Aléatoire","Random")))))))</f>
        <v>Random</v>
      </c>
      <c r="CD61" s="8" t="str">
        <f>IF($K$25="Español","AR+",(IF($K$25="Deutsch","RW+",(IF($K$25="Français","AR+","AV+")))))</f>
        <v>AV+</v>
      </c>
      <c r="CE61" s="8" t="s">
        <v>202</v>
      </c>
      <c r="CG61" s="8"/>
      <c r="CH61" s="223" t="str">
        <f t="shared" ref="CH61:CH124" si="128">IFERROR((IF($CH$57="M",BX61,IF($CH$57="PM",BZ61,IF($CH$57="P",BV61,IF($CH$57="FULL",BT61,IF($CH$57="GPSM",CB68,"")))))),"")</f>
        <v/>
      </c>
      <c r="CI61" s="223" t="str">
        <f>IFERROR((IF($CI$57="M",BX61,IF($CI$57="PM",BZ61,IF($CI$57="P",BV61,IF($CI$57="FULL",BT61,""))))),"")</f>
        <v>MA+</v>
      </c>
      <c r="CJ61" s="51" t="str">
        <f t="shared" ref="CJ61:CJ124" si="129">IFERROR((IF($CJ$57="M",BX61,IF($CJ$57="PM",BZ61,IF($CJ$57="P",BV61,IF($CJ$57="FULL",BT61,""))))),"")</f>
        <v>MA+</v>
      </c>
      <c r="CK61" s="51" t="str">
        <f t="shared" ref="CK61:CK124" si="130">IFERROR((IF($CK$57="M",BX61,IF($CK$57="PM",BZ61,IF($CK$57="P",BV61,IF($CK$57="FULL",BT61,""))))),"")</f>
        <v>MA+</v>
      </c>
      <c r="CL61" s="51" t="str">
        <f t="shared" ref="CL61:CL124" si="131">IFERROR((IF($CL$57="M",BX61,IF($CL$57="PM",BZ61,IF($CL$57="P",BV61,IF($CL$57="FULL",BT61,""))))),"")</f>
        <v>MA+</v>
      </c>
      <c r="CM61" s="51" t="str">
        <f t="shared" ref="CM61:CM124" si="132">IFERROR((IF($CM$57="M",BX61,IF($CM$57="PM",BZ61,IF($CM$57="P",BV61,IF($CM$57="FULL",BT61,""))))),"")</f>
        <v>MA+</v>
      </c>
      <c r="CN61" s="51" t="str">
        <f t="shared" ref="CN61:CN124" si="133">IFERROR((IF($CN$57="M",BX61,IF($CN$57="PM",BZ61,IF($CN$57="P",BV61,IF($CN$57="FULL",BT61,""))))),"")</f>
        <v>MA+</v>
      </c>
      <c r="CO61" s="51" t="str">
        <f t="shared" ref="CO61:CO124" si="134">IFERROR((IF($CO$57="M",BX61,IF($CO$57="PM",BZ61,IF($CO$57="P",BV61,IF($CO$57="FULL",BT61,""))))),"")</f>
        <v>MA+</v>
      </c>
      <c r="CP61" s="51" t="str">
        <f t="shared" ref="CP61:CP124" si="135">IFERROR((IF($CP$57="M",BX61,IF($CP$57="PM",BZ61,IF($CP$57="P",BV61,IF($CP$57="FULL",BT61,""))))),"")</f>
        <v>MA+</v>
      </c>
      <c r="CQ61" s="51" t="str">
        <f t="shared" ref="CQ61:CQ124" si="136">IFERROR((IF($CQ$57="M",BX61,IF($CQ$57="PM",BZ61,IF($CQ$57="P",BV61,IF($CQ$57="FULL",BT61,""))))),"")</f>
        <v>MA+</v>
      </c>
      <c r="CR61" s="51" t="str">
        <f t="shared" ref="CR61:CR124" si="137">IFERROR((IF($CR$57="M",BX61,IF($CR$57="PM",BZ61,IF($CR$57="P",BV61,IF($CR$57="FULL",BT61,""))))),"")</f>
        <v/>
      </c>
      <c r="CS61" s="51" t="str">
        <f t="shared" ref="CS61:CS124" si="138">IFERROR((IF($CS$57="M",BX61,IF($CS$57="PM",BZ61,IF($CS$57="P",BV61,IF($CS$57="FULL",BT61,""))))),"")</f>
        <v>MA+</v>
      </c>
      <c r="CT61" s="51" t="str">
        <f t="shared" ref="CT61:CT124" si="139">IFERROR((IF($CT$57="M",BX61,IF($CT$57="PM",BZ61,IF($CT$57="P",BV61,IF($CT$57="FULL",BT61,""))))),"")</f>
        <v>MA+</v>
      </c>
      <c r="CU61" s="51" t="str">
        <f t="shared" ref="CU61:CU124" si="140">IFERROR((IF($CU$57="M",BX61,IF($CU$57="PM",BZ61,IF($CU$57="P",BV61,IF($CU$57="FULL",BT61,""))))),"")</f>
        <v/>
      </c>
      <c r="CV61" s="51" t="str">
        <f t="shared" ref="CV61:CV124" si="141">IFERROR((IF($CV$57="M",BX61,IF($CV$57="PM",BZ61,IF($CV$57="P",BV61,IF($CV$57="FULL",BT61,""))))),"")</f>
        <v/>
      </c>
      <c r="CW61" s="51" t="str">
        <f t="shared" ref="CW61:CW124" si="142">IFERROR((IF($CW$57="M",BX61,IF($CW$57="PM",BZ61,IF($CW$57="P",BV61,IF($CW$57="FULL",BT61,""))))),"")</f>
        <v/>
      </c>
      <c r="DA61" s="8"/>
    </row>
    <row r="62" spans="1:107" ht="15" hidden="1" customHeight="1" x14ac:dyDescent="0.2">
      <c r="A62" s="8"/>
      <c r="B62" s="38"/>
      <c r="C62" s="38"/>
      <c r="D62" s="38"/>
      <c r="E62" s="38"/>
      <c r="F62" s="38"/>
      <c r="G62" s="38"/>
      <c r="H62" s="8"/>
      <c r="I62" s="8"/>
      <c r="J62" s="8"/>
      <c r="K62" s="8"/>
      <c r="L62" s="8">
        <f t="shared" si="115"/>
        <v>5</v>
      </c>
      <c r="M62" s="8">
        <f t="shared" si="116"/>
        <v>5</v>
      </c>
      <c r="N62" s="8">
        <f t="shared" ref="N62:O62" si="143">IF(T62=0,0,(IF(T62&gt;6,6,(IF(T62&lt;1,1,T62)))))</f>
        <v>4</v>
      </c>
      <c r="O62" s="8">
        <f t="shared" si="143"/>
        <v>5</v>
      </c>
      <c r="P62" s="8">
        <f t="shared" si="118"/>
        <v>10</v>
      </c>
      <c r="Q62" s="8"/>
      <c r="R62" s="7">
        <f>IFERROR((VLOOKUP($BP$1&amp;D3,Teams!D:M,2,0)+AL62+AD62),0)</f>
        <v>5</v>
      </c>
      <c r="S62" s="7">
        <f>IFERROR((VLOOKUP($BP$1&amp;D3,Teams!D:M,3,0)+AM62+AE62),0)</f>
        <v>5</v>
      </c>
      <c r="T62" s="7">
        <f>IFERROR((VLOOKUP($BP$1&amp;D3,Teams!D:M,4,0)+AN62-AF62),0)</f>
        <v>4</v>
      </c>
      <c r="U62" s="7">
        <f>IFERROR((VLOOKUP($BP$1&amp;D3,Teams!D:M,5,0)+AO62-AG62),0)</f>
        <v>5</v>
      </c>
      <c r="V62" s="7">
        <f>IFERROR((VLOOKUP($BP$1&amp;D3,Teams!D:M,6,0)+AP62+AH62),0)</f>
        <v>10</v>
      </c>
      <c r="W62" s="8"/>
      <c r="X62" s="8">
        <f>IFERROR((VLOOKUP($BP$1&amp;D3,Teams!D:M,2,0)),0)</f>
        <v>5</v>
      </c>
      <c r="Y62" s="8">
        <f>IFERROR((VLOOKUP($BP$1&amp;D3,Teams!D:M,3,0)),0)</f>
        <v>5</v>
      </c>
      <c r="Z62" s="8">
        <f>IFERROR((VLOOKUP($BP$1&amp;D3,Teams!D:M,4,0)),0)</f>
        <v>4</v>
      </c>
      <c r="AA62" s="8">
        <f>IFERROR((VLOOKUP($BP$1&amp;D3,Teams!D:M,5,0)),0)</f>
        <v>5</v>
      </c>
      <c r="AB62" s="8">
        <f>IFERROR((VLOOKUP($BP$1&amp;D3,Teams!D:M,6,0)),0)</f>
        <v>10</v>
      </c>
      <c r="AC62" s="8"/>
      <c r="AD62" s="8">
        <f t="shared" si="119"/>
        <v>0</v>
      </c>
      <c r="AE62" s="8">
        <f t="shared" si="120"/>
        <v>0</v>
      </c>
      <c r="AF62" s="8">
        <f t="shared" si="121"/>
        <v>0</v>
      </c>
      <c r="AG62" s="8">
        <f t="shared" si="122"/>
        <v>0</v>
      </c>
      <c r="AH62" s="8">
        <f t="shared" si="123"/>
        <v>0</v>
      </c>
      <c r="AI62" s="8"/>
      <c r="AJ62" s="8">
        <v>0</v>
      </c>
      <c r="AK62" s="8">
        <v>20000</v>
      </c>
      <c r="AL62" s="7">
        <f t="shared" ref="AL62:AM62" si="144">AL38</f>
        <v>0</v>
      </c>
      <c r="AM62" s="7">
        <f t="shared" si="144"/>
        <v>0</v>
      </c>
      <c r="AN62" s="7">
        <f t="shared" si="125"/>
        <v>0</v>
      </c>
      <c r="AO62" s="7">
        <f t="shared" si="126"/>
        <v>0</v>
      </c>
      <c r="AP62" s="7">
        <f t="shared" si="127"/>
        <v>0</v>
      </c>
      <c r="AQ62" s="8"/>
      <c r="AR62" s="8"/>
      <c r="AS62" s="7">
        <v>910000</v>
      </c>
      <c r="AT62" s="7"/>
      <c r="AU62" s="7"/>
      <c r="AV62" s="7"/>
      <c r="AW62" s="7"/>
      <c r="AX62" s="7"/>
      <c r="AY62" s="8"/>
      <c r="AZ62" s="8">
        <v>0</v>
      </c>
      <c r="BA62" s="8"/>
      <c r="BB62" s="8" t="s">
        <v>148</v>
      </c>
      <c r="BC62" s="8"/>
      <c r="BD62" s="8"/>
      <c r="BE62" s="203" t="s">
        <v>1199</v>
      </c>
      <c r="BF62" s="55">
        <f>IFERROR((IF(OR(COUNTIF($BV$2,"*Favouredof*"),COUNTIF($BV$2,"*UnderworldChallenge*")),80000,0)),0)</f>
        <v>0</v>
      </c>
      <c r="BI62" s="203" t="s">
        <v>1208</v>
      </c>
      <c r="BJ62" s="55">
        <f>IFERROR((IF(OR(COUNTIF($BV$2,"*Favouredof*"),COUNTIF($BV$2,"*ElvenKingdomsLeague*")),150000,0)),0)</f>
        <v>0</v>
      </c>
      <c r="BL62" s="8"/>
      <c r="BM62" s="203" t="s">
        <v>1219</v>
      </c>
      <c r="BN62" s="55">
        <f>IFERROR((IF(OR(COUNTIF($BV$2,"*WorldsEdgeSuperleague*")),120000,0)),0)</f>
        <v>0</v>
      </c>
      <c r="BO62" s="8"/>
      <c r="BP62" s="203" t="s">
        <v>1224</v>
      </c>
      <c r="BQ62" s="55">
        <f>IFERROR((IF(OR(COUNTIF($BV$2,"*OldWorldClassic*"),COUNTIF($BV$2,"*WorldsEdgeSuperleague*")),50000,0)),0)</f>
        <v>50000</v>
      </c>
      <c r="BS62" s="203" t="s">
        <v>1232</v>
      </c>
      <c r="BT62" s="8" t="str">
        <f>IF($K$25="Español","AR+",(IF($K$25="Deutsch","RW+",(IF($K$25="Français","AR+","AV+")))))</f>
        <v>AV+</v>
      </c>
      <c r="BU62" s="8" t="s">
        <v>202</v>
      </c>
      <c r="BV62" s="8" t="str">
        <f>IF($K$25="Español","AR+",(IF($K$25="Deutsch","RW+",(IF($K$25="Français","AR+","AV+")))))</f>
        <v>AV+</v>
      </c>
      <c r="BW62" s="8" t="s">
        <v>202</v>
      </c>
      <c r="BX62" s="8" t="str">
        <f>IF($K$25="Español","AR+",(IF($K$25="Deutsch","RW+",(IF($K$25="Français","AR+","AV+")))))</f>
        <v>AV+</v>
      </c>
      <c r="BY62" s="8" t="s">
        <v>202</v>
      </c>
      <c r="BZ62" s="8" t="str">
        <f>IF($K$25="Español","AR+",(IF($K$25="Deutsch","RW+",(IF($K$25="Français","AR+","AV+")))))</f>
        <v>AV+</v>
      </c>
      <c r="CA62" s="8" t="s">
        <v>202</v>
      </c>
      <c r="CB62" s="8"/>
      <c r="CD62" s="8" t="str">
        <f>IF($K$25="Deutsch","GE-","AG-")</f>
        <v>AG-</v>
      </c>
      <c r="CE62" s="8" t="s">
        <v>203</v>
      </c>
      <c r="CG62" s="8"/>
      <c r="CH62" s="223" t="str">
        <f t="shared" si="128"/>
        <v/>
      </c>
      <c r="CI62" s="223" t="str">
        <f t="shared" ref="CI62:CI124" si="145">IFERROR((IF($CI$57="M",BX62,IF($CI$57="PM",BZ62,IF($CI$57="P",BV62,IF($CI$57="FULL",BT62,""))))),"")</f>
        <v>AV+</v>
      </c>
      <c r="CJ62" s="51" t="str">
        <f t="shared" si="129"/>
        <v>AV+</v>
      </c>
      <c r="CK62" s="51" t="str">
        <f t="shared" si="130"/>
        <v>AV+</v>
      </c>
      <c r="CL62" s="51" t="str">
        <f t="shared" si="131"/>
        <v>AV+</v>
      </c>
      <c r="CM62" s="51" t="str">
        <f t="shared" si="132"/>
        <v>AV+</v>
      </c>
      <c r="CN62" s="51" t="str">
        <f t="shared" si="133"/>
        <v>AV+</v>
      </c>
      <c r="CO62" s="51" t="str">
        <f t="shared" si="134"/>
        <v>AV+</v>
      </c>
      <c r="CP62" s="51" t="str">
        <f t="shared" si="135"/>
        <v>AV+</v>
      </c>
      <c r="CQ62" s="51" t="str">
        <f t="shared" si="136"/>
        <v>AV+</v>
      </c>
      <c r="CR62" s="51" t="str">
        <f t="shared" si="137"/>
        <v/>
      </c>
      <c r="CS62" s="51" t="str">
        <f t="shared" si="138"/>
        <v>AV+</v>
      </c>
      <c r="CT62" s="51" t="str">
        <f t="shared" si="139"/>
        <v>AV+</v>
      </c>
      <c r="CU62" s="51" t="str">
        <f t="shared" si="140"/>
        <v/>
      </c>
      <c r="CV62" s="51" t="str">
        <f t="shared" si="141"/>
        <v/>
      </c>
      <c r="CW62" s="51" t="str">
        <f t="shared" si="142"/>
        <v/>
      </c>
      <c r="DA62" s="8"/>
    </row>
    <row r="63" spans="1:107" ht="15" hidden="1" customHeight="1" x14ac:dyDescent="0.2">
      <c r="A63" s="8"/>
      <c r="B63" s="38"/>
      <c r="C63" s="38"/>
      <c r="D63" s="38"/>
      <c r="E63" s="38"/>
      <c r="F63" s="38"/>
      <c r="G63" s="38"/>
      <c r="H63" s="8"/>
      <c r="I63" s="8"/>
      <c r="J63" s="8"/>
      <c r="K63" s="8"/>
      <c r="L63" s="8">
        <f t="shared" si="115"/>
        <v>5</v>
      </c>
      <c r="M63" s="8">
        <f t="shared" si="116"/>
        <v>5</v>
      </c>
      <c r="N63" s="8">
        <f t="shared" ref="N63:O63" si="146">IF(T63=0,0,(IF(T63&gt;6,6,(IF(T63&lt;1,1,T63)))))</f>
        <v>4</v>
      </c>
      <c r="O63" s="8">
        <f t="shared" si="146"/>
        <v>5</v>
      </c>
      <c r="P63" s="8">
        <f t="shared" si="118"/>
        <v>10</v>
      </c>
      <c r="Q63" s="8"/>
      <c r="R63" s="7">
        <f>IFERROR((VLOOKUP($BP$1&amp;D4,Teams!D:M,2,0)+AL63+AD63),0)</f>
        <v>5</v>
      </c>
      <c r="S63" s="7">
        <f>IFERROR((VLOOKUP($BP$1&amp;D4,Teams!D:M,3,0)+AM63+AE63),0)</f>
        <v>5</v>
      </c>
      <c r="T63" s="7">
        <f>IFERROR((VLOOKUP($BP$1&amp;D4,Teams!D:M,4,0)+AN63-AF63),0)</f>
        <v>4</v>
      </c>
      <c r="U63" s="7">
        <f>IFERROR((VLOOKUP($BP$1&amp;D4,Teams!D:M,5,0)+AO63-AG63),0)</f>
        <v>5</v>
      </c>
      <c r="V63" s="7">
        <f>IFERROR((VLOOKUP($BP$1&amp;D4,Teams!D:M,6,0)+AP63+AH63),0)</f>
        <v>10</v>
      </c>
      <c r="W63" s="8"/>
      <c r="X63" s="8">
        <f>IFERROR((VLOOKUP($BP$1&amp;D4,Teams!D:M,2,0)),0)</f>
        <v>5</v>
      </c>
      <c r="Y63" s="8">
        <f>IFERROR((VLOOKUP($BP$1&amp;D4,Teams!D:M,3,0)),0)</f>
        <v>5</v>
      </c>
      <c r="Z63" s="8">
        <f>IFERROR((VLOOKUP($BP$1&amp;D4,Teams!D:M,4,0)),0)</f>
        <v>4</v>
      </c>
      <c r="AA63" s="8">
        <f>IFERROR((VLOOKUP($BP$1&amp;D4,Teams!D:M,5,0)),0)</f>
        <v>5</v>
      </c>
      <c r="AB63" s="8">
        <f>IFERROR((VLOOKUP($BP$1&amp;D4,Teams!D:M,6,0)),0)</f>
        <v>10</v>
      </c>
      <c r="AC63" s="8"/>
      <c r="AD63" s="8">
        <f t="shared" si="119"/>
        <v>0</v>
      </c>
      <c r="AE63" s="8">
        <f t="shared" si="120"/>
        <v>0</v>
      </c>
      <c r="AF63" s="8">
        <f t="shared" si="121"/>
        <v>0</v>
      </c>
      <c r="AG63" s="8">
        <f t="shared" si="122"/>
        <v>0</v>
      </c>
      <c r="AH63" s="8">
        <f t="shared" si="123"/>
        <v>0</v>
      </c>
      <c r="AI63" s="8"/>
      <c r="AJ63" s="8">
        <v>-1</v>
      </c>
      <c r="AK63" s="8">
        <v>40000</v>
      </c>
      <c r="AL63" s="7">
        <f t="shared" ref="AL63:AM63" si="147">AL39</f>
        <v>0</v>
      </c>
      <c r="AM63" s="7">
        <f t="shared" si="147"/>
        <v>0</v>
      </c>
      <c r="AN63" s="7">
        <f t="shared" si="125"/>
        <v>0</v>
      </c>
      <c r="AO63" s="7">
        <f t="shared" si="126"/>
        <v>0</v>
      </c>
      <c r="AP63" s="7">
        <f t="shared" si="127"/>
        <v>0</v>
      </c>
      <c r="AQ63" s="8"/>
      <c r="AR63" s="8"/>
      <c r="AS63" s="7">
        <v>920000</v>
      </c>
      <c r="AT63" s="7"/>
      <c r="AU63" s="7"/>
      <c r="AV63" s="7"/>
      <c r="AW63" s="7"/>
      <c r="AX63" s="7"/>
      <c r="AY63" s="8"/>
      <c r="AZ63" s="8">
        <v>1</v>
      </c>
      <c r="BA63" s="8"/>
      <c r="BB63" s="8" t="s">
        <v>244</v>
      </c>
      <c r="BC63" s="8"/>
      <c r="BD63" s="55"/>
      <c r="BE63" s="203" t="s">
        <v>1200</v>
      </c>
      <c r="BF63" s="55">
        <f>IFERROR((IF(COUNTIF($BV$2,"*ElvenKingdomsLeague*"),40000,0)),0)</f>
        <v>0</v>
      </c>
      <c r="BI63" s="203" t="s">
        <v>1209</v>
      </c>
      <c r="BJ63" s="55">
        <f>IFERROR((IF(OR(COUNTIF($BV$2,"*ElvenKingdomsLeague*")),150000,0)),0)</f>
        <v>0</v>
      </c>
      <c r="BL63" s="55"/>
      <c r="BM63" s="203" t="s">
        <v>1220</v>
      </c>
      <c r="BN63" s="55">
        <f>IFERROR(IF($BW$2="Bribery and Corruption",80000,120000),0)</f>
        <v>120000</v>
      </c>
      <c r="BO63" s="55"/>
      <c r="BP63" s="203" t="s">
        <v>1225</v>
      </c>
      <c r="BQ63" s="55">
        <f>IFERROR(IF(COUNTIF($BV$2,"*HalflingThimbleCup*"),60000,(IF(COUNTIF($BV$2,"*OldWorldClassic*"),80000,0))),0)</f>
        <v>80000</v>
      </c>
      <c r="BR63" s="8"/>
      <c r="BS63" s="203" t="s">
        <v>1233</v>
      </c>
      <c r="BT63" s="8" t="str">
        <f>IF($K$25="Deutsch","GE-","AG-")</f>
        <v>AG-</v>
      </c>
      <c r="BU63" s="8" t="s">
        <v>203</v>
      </c>
      <c r="BV63" s="8" t="str">
        <f>IF($K$25="Deutsch","GE-","AG-")</f>
        <v>AG-</v>
      </c>
      <c r="BW63" s="8" t="s">
        <v>203</v>
      </c>
      <c r="BX63" s="8" t="str">
        <f>IF($K$25="Deutsch","GE-","AG-")</f>
        <v>AG-</v>
      </c>
      <c r="BY63" s="8" t="s">
        <v>203</v>
      </c>
      <c r="BZ63" s="8" t="str">
        <f>IF($K$25="Deutsch","GE-","AG-")</f>
        <v>AG-</v>
      </c>
      <c r="CA63" s="8" t="s">
        <v>203</v>
      </c>
      <c r="CB63" s="59"/>
      <c r="CD63" s="8" t="str">
        <f>IF($K$25="Deutsch","WG-",(IF($K$25="Français","CP-","PA-")))</f>
        <v>PA-</v>
      </c>
      <c r="CE63" s="8" t="s">
        <v>204</v>
      </c>
      <c r="CG63" s="8"/>
      <c r="CH63" s="223" t="str">
        <f t="shared" si="128"/>
        <v/>
      </c>
      <c r="CI63" s="223" t="str">
        <f t="shared" si="145"/>
        <v>AG-</v>
      </c>
      <c r="CJ63" s="51" t="str">
        <f t="shared" si="129"/>
        <v>AG-</v>
      </c>
      <c r="CK63" s="51" t="str">
        <f t="shared" si="130"/>
        <v>AG-</v>
      </c>
      <c r="CL63" s="51" t="str">
        <f t="shared" si="131"/>
        <v>AG-</v>
      </c>
      <c r="CM63" s="51" t="str">
        <f t="shared" si="132"/>
        <v>AG-</v>
      </c>
      <c r="CN63" s="51" t="str">
        <f t="shared" si="133"/>
        <v>AG-</v>
      </c>
      <c r="CO63" s="51" t="str">
        <f t="shared" si="134"/>
        <v>AG-</v>
      </c>
      <c r="CP63" s="51" t="str">
        <f t="shared" si="135"/>
        <v>AG-</v>
      </c>
      <c r="CQ63" s="51" t="str">
        <f t="shared" si="136"/>
        <v>AG-</v>
      </c>
      <c r="CR63" s="51" t="str">
        <f t="shared" si="137"/>
        <v/>
      </c>
      <c r="CS63" s="51" t="str">
        <f t="shared" si="138"/>
        <v>AG-</v>
      </c>
      <c r="CT63" s="51" t="str">
        <f t="shared" si="139"/>
        <v>AG-</v>
      </c>
      <c r="CU63" s="51" t="str">
        <f t="shared" si="140"/>
        <v/>
      </c>
      <c r="CV63" s="51" t="str">
        <f t="shared" si="141"/>
        <v/>
      </c>
      <c r="CW63" s="51" t="str">
        <f t="shared" si="142"/>
        <v/>
      </c>
      <c r="DA63" s="8"/>
    </row>
    <row r="64" spans="1:107" ht="15" hidden="1" customHeight="1" x14ac:dyDescent="0.2">
      <c r="A64" s="8"/>
      <c r="B64" s="38"/>
      <c r="C64" s="38"/>
      <c r="D64" s="38"/>
      <c r="E64" s="38"/>
      <c r="F64" s="38"/>
      <c r="G64" s="38"/>
      <c r="H64" s="8"/>
      <c r="I64" s="8"/>
      <c r="J64" s="8"/>
      <c r="K64" s="8"/>
      <c r="L64" s="8">
        <f t="shared" si="115"/>
        <v>5</v>
      </c>
      <c r="M64" s="8">
        <f t="shared" si="116"/>
        <v>5</v>
      </c>
      <c r="N64" s="8">
        <f t="shared" ref="N64:O64" si="148">IF(T64=0,0,(IF(T64&gt;6,6,(IF(T64&lt;1,1,T64)))))</f>
        <v>4</v>
      </c>
      <c r="O64" s="8">
        <f t="shared" si="148"/>
        <v>5</v>
      </c>
      <c r="P64" s="8">
        <f t="shared" si="118"/>
        <v>10</v>
      </c>
      <c r="Q64" s="8" t="s">
        <v>245</v>
      </c>
      <c r="R64" s="7">
        <f>IFERROR((VLOOKUP($BP$1&amp;D5,Teams!D:M,2,0)+AL64+AD64),0)</f>
        <v>5</v>
      </c>
      <c r="S64" s="7">
        <f>IFERROR((VLOOKUP($BP$1&amp;D5,Teams!D:M,3,0)+AM64+AE64),0)</f>
        <v>5</v>
      </c>
      <c r="T64" s="7">
        <f>IFERROR((VLOOKUP($BP$1&amp;D5,Teams!D:M,4,0)+AN64-AF64),0)</f>
        <v>4</v>
      </c>
      <c r="U64" s="7">
        <f>IFERROR((VLOOKUP($BP$1&amp;D5,Teams!D:M,5,0)+AO64-AG64),0)</f>
        <v>5</v>
      </c>
      <c r="V64" s="7">
        <f>IFERROR((VLOOKUP($BP$1&amp;D5,Teams!D:M,6,0)+AP64+AH64),0)</f>
        <v>10</v>
      </c>
      <c r="W64" s="8"/>
      <c r="X64" s="8">
        <f>IFERROR((VLOOKUP($BP$1&amp;D5,Teams!D:M,2,0)),0)</f>
        <v>5</v>
      </c>
      <c r="Y64" s="8">
        <f>IFERROR((VLOOKUP($BP$1&amp;D5,Teams!D:M,3,0)),0)</f>
        <v>5</v>
      </c>
      <c r="Z64" s="8">
        <f>IFERROR((VLOOKUP($BP$1&amp;D5,Teams!D:M,4,0)),0)</f>
        <v>4</v>
      </c>
      <c r="AA64" s="8">
        <f>IFERROR((VLOOKUP($BP$1&amp;D5,Teams!D:M,5,0)),0)</f>
        <v>5</v>
      </c>
      <c r="AB64" s="8">
        <f>IFERROR((VLOOKUP($BP$1&amp;D5,Teams!D:M,6,0)),0)</f>
        <v>10</v>
      </c>
      <c r="AC64" s="10"/>
      <c r="AD64" s="8">
        <f t="shared" si="119"/>
        <v>0</v>
      </c>
      <c r="AE64" s="8">
        <f t="shared" si="120"/>
        <v>0</v>
      </c>
      <c r="AF64" s="8">
        <f t="shared" si="121"/>
        <v>0</v>
      </c>
      <c r="AG64" s="8">
        <f t="shared" si="122"/>
        <v>0</v>
      </c>
      <c r="AH64" s="8">
        <f t="shared" si="123"/>
        <v>0</v>
      </c>
      <c r="AI64" s="10"/>
      <c r="AJ64" s="8">
        <v>-2</v>
      </c>
      <c r="AK64" s="8">
        <v>60000</v>
      </c>
      <c r="AL64" s="7">
        <f t="shared" ref="AL64:AM64" si="149">AL40</f>
        <v>0</v>
      </c>
      <c r="AM64" s="7">
        <f t="shared" si="149"/>
        <v>0</v>
      </c>
      <c r="AN64" s="7">
        <f t="shared" si="125"/>
        <v>0</v>
      </c>
      <c r="AO64" s="7">
        <f t="shared" si="126"/>
        <v>0</v>
      </c>
      <c r="AP64" s="7">
        <f t="shared" si="127"/>
        <v>0</v>
      </c>
      <c r="AQ64" s="10"/>
      <c r="AR64" s="10"/>
      <c r="AS64" s="7">
        <v>930000</v>
      </c>
      <c r="AT64" s="7"/>
      <c r="AU64" s="7"/>
      <c r="AV64" s="7"/>
      <c r="AW64" s="7"/>
      <c r="AX64" s="7"/>
      <c r="AY64" s="8"/>
      <c r="AZ64" s="8">
        <v>2</v>
      </c>
      <c r="BA64" s="8" t="s">
        <v>245</v>
      </c>
      <c r="BB64" s="8" t="s">
        <v>246</v>
      </c>
      <c r="BC64" s="8"/>
      <c r="BD64" s="55"/>
      <c r="BE64" s="203" t="s">
        <v>1201</v>
      </c>
      <c r="BF64" s="55">
        <f>IFERROR((IF(COUNTIF($BV$2,"*UnderworldChallenge*"),70000,0)),0)</f>
        <v>0</v>
      </c>
      <c r="BI64" s="203" t="s">
        <v>1210</v>
      </c>
      <c r="BJ64" s="55">
        <f>IFERROR((IF(OR(COUNTIF($BV$2,"*LustrianSuperleague*")),200000,0)),0)</f>
        <v>0</v>
      </c>
      <c r="BL64" s="55"/>
      <c r="BM64" s="203" t="s">
        <v>1221</v>
      </c>
      <c r="BN64" s="55">
        <f>IFERROR((IF(OR(COUNTIF($BV$2,"*HalflingThimbleCup*")),40000,80000)),0)</f>
        <v>80000</v>
      </c>
      <c r="BO64" s="55"/>
      <c r="BP64" s="203" t="s">
        <v>1226</v>
      </c>
      <c r="BQ64" s="55">
        <f>IFERROR(IF(COUNTIF($BV$2,"*HalflingThimbleCup*"),30000,(IF(COUNTIF($BV$2,"*OldWorldClassic*"),40000,0))),0)</f>
        <v>40000</v>
      </c>
      <c r="BR64" s="8"/>
      <c r="BS64" s="203"/>
      <c r="BT64" s="8" t="str">
        <f>IF($K$25="Deutsch","WG-",(IF($K$25="Français","CP-","PA-")))</f>
        <v>PA-</v>
      </c>
      <c r="BU64" s="8" t="s">
        <v>204</v>
      </c>
      <c r="BV64" s="8" t="str">
        <f>IF($K$25="Deutsch","WG-",(IF($K$25="Français","CP-","PA-")))</f>
        <v>PA-</v>
      </c>
      <c r="BW64" s="8" t="s">
        <v>204</v>
      </c>
      <c r="BX64" s="8" t="str">
        <f>IF($K$25="Deutsch","WG-",(IF($K$25="Français","CP-","PA-")))</f>
        <v>PA-</v>
      </c>
      <c r="BY64" s="8" t="s">
        <v>204</v>
      </c>
      <c r="BZ64" s="8" t="str">
        <f>IF($K$25="Deutsch","WG-",(IF($K$25="Français","CP-","PA-")))</f>
        <v>PA-</v>
      </c>
      <c r="CA64" s="8" t="s">
        <v>204</v>
      </c>
      <c r="CB64" s="197"/>
      <c r="CC64" s="197"/>
      <c r="CD64" s="8" t="str">
        <f>IF($K$25="Español","FU+",(IF($K$25="Deutsch","ST+",(IF($K$25="Français","F+","ST+")))))</f>
        <v>ST+</v>
      </c>
      <c r="CE64" s="8" t="s">
        <v>205</v>
      </c>
      <c r="CG64" s="8"/>
      <c r="CH64" s="223" t="str">
        <f t="shared" si="128"/>
        <v/>
      </c>
      <c r="CI64" s="223" t="str">
        <f t="shared" si="145"/>
        <v>PA-</v>
      </c>
      <c r="CJ64" s="51" t="str">
        <f t="shared" si="129"/>
        <v>PA-</v>
      </c>
      <c r="CK64" s="51" t="str">
        <f t="shared" si="130"/>
        <v>PA-</v>
      </c>
      <c r="CL64" s="51" t="str">
        <f t="shared" si="131"/>
        <v>PA-</v>
      </c>
      <c r="CM64" s="51" t="str">
        <f t="shared" si="132"/>
        <v>PA-</v>
      </c>
      <c r="CN64" s="51" t="str">
        <f t="shared" si="133"/>
        <v>PA-</v>
      </c>
      <c r="CO64" s="51" t="str">
        <f t="shared" si="134"/>
        <v>PA-</v>
      </c>
      <c r="CP64" s="51" t="str">
        <f t="shared" si="135"/>
        <v>PA-</v>
      </c>
      <c r="CQ64" s="51" t="str">
        <f t="shared" si="136"/>
        <v>PA-</v>
      </c>
      <c r="CR64" s="51" t="str">
        <f t="shared" si="137"/>
        <v/>
      </c>
      <c r="CS64" s="51" t="str">
        <f t="shared" si="138"/>
        <v>PA-</v>
      </c>
      <c r="CT64" s="51" t="str">
        <f t="shared" si="139"/>
        <v>PA-</v>
      </c>
      <c r="CU64" s="51" t="str">
        <f t="shared" si="140"/>
        <v/>
      </c>
      <c r="CV64" s="51" t="str">
        <f t="shared" si="141"/>
        <v/>
      </c>
      <c r="CW64" s="51" t="str">
        <f t="shared" si="142"/>
        <v/>
      </c>
      <c r="DA64" s="8"/>
    </row>
    <row r="65" spans="1:105" ht="15" hidden="1" customHeight="1" x14ac:dyDescent="0.2">
      <c r="A65" s="8"/>
      <c r="B65" s="38"/>
      <c r="C65" s="38"/>
      <c r="D65" s="38"/>
      <c r="E65" s="38"/>
      <c r="F65" s="38"/>
      <c r="G65" s="38"/>
      <c r="H65" s="8"/>
      <c r="I65" s="8"/>
      <c r="J65" s="8"/>
      <c r="K65" s="8"/>
      <c r="L65" s="8">
        <f t="shared" si="115"/>
        <v>5</v>
      </c>
      <c r="M65" s="8">
        <f t="shared" si="116"/>
        <v>5</v>
      </c>
      <c r="N65" s="8">
        <f t="shared" ref="N65:O65" si="150">IF(T65=0,0,(IF(T65&gt;6,6,(IF(T65&lt;1,1,T65)))))</f>
        <v>4</v>
      </c>
      <c r="O65" s="8">
        <f t="shared" si="150"/>
        <v>5</v>
      </c>
      <c r="P65" s="8">
        <f t="shared" si="118"/>
        <v>10</v>
      </c>
      <c r="Q65" s="8"/>
      <c r="R65" s="7">
        <f>IFERROR((VLOOKUP($BP$1&amp;D6,Teams!D:M,2,0)+AL65+AD65),0)</f>
        <v>5</v>
      </c>
      <c r="S65" s="7">
        <f>IFERROR((VLOOKUP($BP$1&amp;D6,Teams!D:M,3,0)+AM65+AE65),0)</f>
        <v>5</v>
      </c>
      <c r="T65" s="7">
        <f>IFERROR((VLOOKUP($BP$1&amp;D6,Teams!D:M,4,0)+AN65-AF65),0)</f>
        <v>4</v>
      </c>
      <c r="U65" s="7">
        <f>IFERROR((VLOOKUP($BP$1&amp;D6,Teams!D:M,5,0)+AO65-AG65),0)</f>
        <v>5</v>
      </c>
      <c r="V65" s="7">
        <f>IFERROR((VLOOKUP($BP$1&amp;D6,Teams!D:M,6,0)+AP65+AH65),0)</f>
        <v>10</v>
      </c>
      <c r="W65" s="8"/>
      <c r="X65" s="8">
        <f>IFERROR((VLOOKUP($BP$1&amp;D6,Teams!D:M,2,0)),0)</f>
        <v>5</v>
      </c>
      <c r="Y65" s="8">
        <f>IFERROR((VLOOKUP($BP$1&amp;D6,Teams!D:M,3,0)),0)</f>
        <v>5</v>
      </c>
      <c r="Z65" s="8">
        <f>IFERROR((VLOOKUP($BP$1&amp;D6,Teams!D:M,4,0)),0)</f>
        <v>4</v>
      </c>
      <c r="AA65" s="8">
        <f>IFERROR((VLOOKUP($BP$1&amp;D6,Teams!D:M,5,0)),0)</f>
        <v>5</v>
      </c>
      <c r="AB65" s="8">
        <f>IFERROR((VLOOKUP($BP$1&amp;D6,Teams!D:M,6,0)),0)</f>
        <v>10</v>
      </c>
      <c r="AC65" s="8"/>
      <c r="AD65" s="8">
        <f t="shared" si="119"/>
        <v>0</v>
      </c>
      <c r="AE65" s="8">
        <f t="shared" si="120"/>
        <v>0</v>
      </c>
      <c r="AF65" s="8">
        <f t="shared" si="121"/>
        <v>0</v>
      </c>
      <c r="AG65" s="8">
        <f t="shared" si="122"/>
        <v>0</v>
      </c>
      <c r="AH65" s="8">
        <f t="shared" si="123"/>
        <v>0</v>
      </c>
      <c r="AI65" s="8"/>
      <c r="AJ65" s="56" t="s">
        <v>245</v>
      </c>
      <c r="AK65" s="8">
        <v>80000</v>
      </c>
      <c r="AL65" s="7">
        <f t="shared" ref="AL65:AM65" si="151">AL41</f>
        <v>0</v>
      </c>
      <c r="AM65" s="7">
        <f t="shared" si="151"/>
        <v>0</v>
      </c>
      <c r="AN65" s="7">
        <f t="shared" si="125"/>
        <v>0</v>
      </c>
      <c r="AO65" s="7">
        <f t="shared" si="126"/>
        <v>0</v>
      </c>
      <c r="AP65" s="7">
        <f t="shared" si="127"/>
        <v>0</v>
      </c>
      <c r="AQ65" s="8"/>
      <c r="AR65" s="8"/>
      <c r="AS65" s="7">
        <v>940000</v>
      </c>
      <c r="AT65" s="7"/>
      <c r="AU65" s="7"/>
      <c r="AV65" s="7"/>
      <c r="AW65" s="7"/>
      <c r="AX65" s="7"/>
      <c r="AY65" s="8"/>
      <c r="AZ65" s="8">
        <v>3</v>
      </c>
      <c r="BA65" s="8"/>
      <c r="BB65" s="8" t="s">
        <v>247</v>
      </c>
      <c r="BC65" s="8"/>
      <c r="BD65" s="55"/>
      <c r="BE65" s="203" t="s">
        <v>1202</v>
      </c>
      <c r="BF65" s="55">
        <v>100000</v>
      </c>
      <c r="BI65" s="203" t="s">
        <v>1211</v>
      </c>
      <c r="BJ65" s="55">
        <f>IFERROR((IF(OR(COUNTIF(AK32,"*Nurgle*"),COUNTIF($BV$2,"*UnderworldChallenge*")),150000,0)),0)</f>
        <v>0</v>
      </c>
      <c r="BL65" s="55"/>
      <c r="BM65" s="55"/>
      <c r="BN65" s="8"/>
      <c r="BO65" s="55"/>
      <c r="BP65" s="203" t="s">
        <v>1227</v>
      </c>
      <c r="BQ65" s="55">
        <v>40000</v>
      </c>
      <c r="BR65" s="8"/>
      <c r="BS65" s="203"/>
      <c r="BT65" s="8" t="str">
        <f>IF($K$25="Español","FU+",(IF($K$25="Deutsch","ST+",(IF($K$25="Français","F+","ST+")))))</f>
        <v>ST+</v>
      </c>
      <c r="BU65" s="8" t="s">
        <v>205</v>
      </c>
      <c r="BV65" s="8" t="str">
        <f>IF($K$25="Español","FU+",(IF($K$25="Deutsch","ST+",(IF($K$25="Français","F+","ST+")))))</f>
        <v>ST+</v>
      </c>
      <c r="BW65" s="8" t="s">
        <v>205</v>
      </c>
      <c r="BX65" s="8" t="str">
        <f>IF($K$25="Español","FU+",(IF($K$25="Deutsch","ST+",(IF($K$25="Français","F+","ST+")))))</f>
        <v>ST+</v>
      </c>
      <c r="BY65" s="8" t="s">
        <v>205</v>
      </c>
      <c r="BZ65" s="8" t="str">
        <f>IF($K$25="Español","FU+",(IF($K$25="Deutsch","ST+",(IF($K$25="Français","F+","ST+")))))</f>
        <v>ST+</v>
      </c>
      <c r="CA65" s="8" t="s">
        <v>205</v>
      </c>
      <c r="CB65" s="270"/>
      <c r="CC65" s="216"/>
      <c r="CD65" s="8" t="str">
        <f>IF($K$25="Español","Agallas",(IF($K$25="Deutsch","Abwehren",(IF($K$25="Français","Arracher le ballon","Block")))))</f>
        <v>Block</v>
      </c>
      <c r="CE65" s="8" t="s">
        <v>196</v>
      </c>
      <c r="CG65" s="8"/>
      <c r="CH65" s="223" t="str">
        <f t="shared" si="128"/>
        <v/>
      </c>
      <c r="CI65" s="223" t="str">
        <f t="shared" si="145"/>
        <v>ST+</v>
      </c>
      <c r="CJ65" s="51" t="str">
        <f t="shared" si="129"/>
        <v>ST+</v>
      </c>
      <c r="CK65" s="51" t="str">
        <f t="shared" si="130"/>
        <v>ST+</v>
      </c>
      <c r="CL65" s="51" t="str">
        <f t="shared" si="131"/>
        <v>ST+</v>
      </c>
      <c r="CM65" s="51" t="str">
        <f t="shared" si="132"/>
        <v>ST+</v>
      </c>
      <c r="CN65" s="51" t="str">
        <f t="shared" si="133"/>
        <v>ST+</v>
      </c>
      <c r="CO65" s="51" t="str">
        <f t="shared" si="134"/>
        <v>ST+</v>
      </c>
      <c r="CP65" s="51" t="str">
        <f t="shared" si="135"/>
        <v>ST+</v>
      </c>
      <c r="CQ65" s="51" t="str">
        <f t="shared" si="136"/>
        <v>ST+</v>
      </c>
      <c r="CR65" s="51" t="str">
        <f t="shared" si="137"/>
        <v/>
      </c>
      <c r="CS65" s="51" t="str">
        <f t="shared" si="138"/>
        <v>ST+</v>
      </c>
      <c r="CT65" s="51" t="str">
        <f t="shared" si="139"/>
        <v>ST+</v>
      </c>
      <c r="CU65" s="51" t="str">
        <f t="shared" si="140"/>
        <v/>
      </c>
      <c r="CV65" s="51" t="str">
        <f t="shared" si="141"/>
        <v/>
      </c>
      <c r="CW65" s="51" t="str">
        <f t="shared" si="142"/>
        <v/>
      </c>
      <c r="DA65" s="8"/>
    </row>
    <row r="66" spans="1:105" ht="15" hidden="1" customHeight="1" x14ac:dyDescent="0.2">
      <c r="A66" s="8"/>
      <c r="B66" s="38"/>
      <c r="C66" s="38"/>
      <c r="D66" s="38"/>
      <c r="E66" s="38"/>
      <c r="F66" s="38"/>
      <c r="G66" s="38"/>
      <c r="H66" s="8"/>
      <c r="I66" s="8"/>
      <c r="J66" s="8"/>
      <c r="K66" s="8"/>
      <c r="L66" s="8">
        <f t="shared" si="115"/>
        <v>5</v>
      </c>
      <c r="M66" s="8">
        <f t="shared" si="116"/>
        <v>5</v>
      </c>
      <c r="N66" s="8">
        <f t="shared" ref="N66:O66" si="152">IF(T66=0,0,(IF(T66&gt;6,6,(IF(T66&lt;1,1,T66)))))</f>
        <v>4</v>
      </c>
      <c r="O66" s="8">
        <f t="shared" si="152"/>
        <v>5</v>
      </c>
      <c r="P66" s="8">
        <f t="shared" si="118"/>
        <v>10</v>
      </c>
      <c r="Q66" s="8"/>
      <c r="R66" s="7">
        <f>IFERROR((VLOOKUP($BP$1&amp;D7,Teams!D:M,2,0)+AL66+AD66),0)</f>
        <v>5</v>
      </c>
      <c r="S66" s="7">
        <f>IFERROR((VLOOKUP($BP$1&amp;D7,Teams!D:M,3,0)+AM66+AE66),0)</f>
        <v>5</v>
      </c>
      <c r="T66" s="7">
        <f>IFERROR((VLOOKUP($BP$1&amp;D7,Teams!D:M,4,0)+AN66-AF66),0)</f>
        <v>4</v>
      </c>
      <c r="U66" s="7">
        <f>IFERROR((VLOOKUP($BP$1&amp;D7,Teams!D:M,5,0)+AO66-AG66),0)</f>
        <v>5</v>
      </c>
      <c r="V66" s="7">
        <f>IFERROR((VLOOKUP($BP$1&amp;D7,Teams!D:M,6,0)+AP66+AH66),0)</f>
        <v>10</v>
      </c>
      <c r="W66" s="8"/>
      <c r="X66" s="8">
        <f>IFERROR((VLOOKUP($BP$1&amp;D7,Teams!D:M,2,0)),0)</f>
        <v>5</v>
      </c>
      <c r="Y66" s="8">
        <f>IFERROR((VLOOKUP($BP$1&amp;D7,Teams!D:M,3,0)),0)</f>
        <v>5</v>
      </c>
      <c r="Z66" s="8">
        <f>IFERROR((VLOOKUP($BP$1&amp;D7,Teams!D:M,4,0)),0)</f>
        <v>4</v>
      </c>
      <c r="AA66" s="8">
        <f>IFERROR((VLOOKUP($BP$1&amp;D7,Teams!D:M,5,0)),0)</f>
        <v>5</v>
      </c>
      <c r="AB66" s="8">
        <f>IFERROR((VLOOKUP($BP$1&amp;D7,Teams!D:M,6,0)),0)</f>
        <v>10</v>
      </c>
      <c r="AC66" s="8"/>
      <c r="AD66" s="8">
        <f t="shared" si="119"/>
        <v>0</v>
      </c>
      <c r="AE66" s="8">
        <f t="shared" si="120"/>
        <v>0</v>
      </c>
      <c r="AF66" s="8">
        <f t="shared" si="121"/>
        <v>0</v>
      </c>
      <c r="AG66" s="8">
        <f t="shared" si="122"/>
        <v>0</v>
      </c>
      <c r="AH66" s="8">
        <f t="shared" si="123"/>
        <v>0</v>
      </c>
      <c r="AI66" s="8"/>
      <c r="AJ66" s="8">
        <v>0</v>
      </c>
      <c r="AK66" s="8">
        <v>100000</v>
      </c>
      <c r="AL66" s="7">
        <f t="shared" ref="AL66:AM66" si="153">AL42</f>
        <v>0</v>
      </c>
      <c r="AM66" s="7">
        <f t="shared" si="153"/>
        <v>0</v>
      </c>
      <c r="AN66" s="7">
        <f t="shared" si="125"/>
        <v>0</v>
      </c>
      <c r="AO66" s="7">
        <f t="shared" si="126"/>
        <v>0</v>
      </c>
      <c r="AP66" s="7">
        <f t="shared" si="127"/>
        <v>0</v>
      </c>
      <c r="AQ66" s="8"/>
      <c r="AR66" s="8"/>
      <c r="AS66" s="7">
        <v>950000</v>
      </c>
      <c r="AT66" s="7"/>
      <c r="AU66" s="7"/>
      <c r="AV66" s="7"/>
      <c r="AW66" s="7"/>
      <c r="AX66" s="7"/>
      <c r="AY66" s="8"/>
      <c r="AZ66" s="8">
        <v>4</v>
      </c>
      <c r="BA66" s="8"/>
      <c r="BB66" s="197" t="s">
        <v>1195</v>
      </c>
      <c r="BC66" s="8"/>
      <c r="BD66" s="55"/>
      <c r="BE66" s="203" t="s">
        <v>1203</v>
      </c>
      <c r="BF66" s="55">
        <f>IFERROR((IF(COUNTIF($BV$2,"*SylvanianSpotlight*"),130000,0)),0)</f>
        <v>0</v>
      </c>
      <c r="BI66" s="203" t="s">
        <v>1212</v>
      </c>
      <c r="BJ66" s="55">
        <f>IFERROR((IF(COUNTIF($BV$2,"*SylvanianSpotlight*"),150000,0)),0)</f>
        <v>0</v>
      </c>
      <c r="BL66" s="55"/>
      <c r="BM66" s="55"/>
      <c r="BN66" s="8"/>
      <c r="BO66" s="55"/>
      <c r="BP66" s="203" t="s">
        <v>1228</v>
      </c>
      <c r="BQ66" s="55">
        <v>30000</v>
      </c>
      <c r="BR66" s="8"/>
      <c r="BS66" s="203"/>
      <c r="BT66" s="8" t="str">
        <f>IF($K$25="Español","Agallas",(IF($K$25="Deutsch","Abwehren",(IF($K$25="Français","Arracher le ballon","Block")))))</f>
        <v>Block</v>
      </c>
      <c r="BU66" s="8" t="s">
        <v>196</v>
      </c>
      <c r="BV66" s="8" t="str">
        <f>IF($K$25="Español","Agallas",(IF($K$25="Deutsch","Abwehren",(IF($K$25="Français","Arracher le ballon","Block")))))</f>
        <v>Block</v>
      </c>
      <c r="BW66" s="8" t="s">
        <v>196</v>
      </c>
      <c r="BX66" s="8" t="str">
        <f>IF($K$25="Español","Agallas",(IF($K$25="Deutsch","Abwehren",(IF($K$25="Français","Arracher le ballon","Block")))))</f>
        <v>Block</v>
      </c>
      <c r="BY66" s="8" t="s">
        <v>196</v>
      </c>
      <c r="BZ66" s="8" t="str">
        <f>IF($K$25="Español","Agallas",(IF($K$25="Deutsch","Abwehren",(IF($K$25="Français","Arracher le ballon","Block")))))</f>
        <v>Block</v>
      </c>
      <c r="CA66" s="8" t="s">
        <v>196</v>
      </c>
      <c r="CB66" s="407" t="s">
        <v>1743</v>
      </c>
      <c r="CC66" s="407"/>
      <c r="CD66" s="119" t="str">
        <f>IF($K$25="Español","Forcejear",(IF($K$25="Deutsch","Ball entreißen",(IF($K$25="Français","Blocage","Dauntless")))))</f>
        <v>Dauntless</v>
      </c>
      <c r="CE66" s="8" t="s">
        <v>196</v>
      </c>
      <c r="CG66" s="8"/>
      <c r="CH66" s="223" t="str">
        <f t="shared" si="128"/>
        <v/>
      </c>
      <c r="CI66" s="223" t="str">
        <f t="shared" si="145"/>
        <v>Block</v>
      </c>
      <c r="CJ66" s="51" t="str">
        <f t="shared" si="129"/>
        <v>Block</v>
      </c>
      <c r="CK66" s="51" t="str">
        <f t="shared" si="130"/>
        <v>Block</v>
      </c>
      <c r="CL66" s="51" t="str">
        <f t="shared" si="131"/>
        <v>Block</v>
      </c>
      <c r="CM66" s="51" t="str">
        <f t="shared" si="132"/>
        <v>Block</v>
      </c>
      <c r="CN66" s="51" t="str">
        <f t="shared" si="133"/>
        <v>Block</v>
      </c>
      <c r="CO66" s="51" t="str">
        <f t="shared" si="134"/>
        <v>Block</v>
      </c>
      <c r="CP66" s="51" t="str">
        <f t="shared" si="135"/>
        <v>Block</v>
      </c>
      <c r="CQ66" s="51" t="str">
        <f t="shared" si="136"/>
        <v>Block</v>
      </c>
      <c r="CR66" s="51" t="str">
        <f t="shared" si="137"/>
        <v/>
      </c>
      <c r="CS66" s="51" t="str">
        <f t="shared" si="138"/>
        <v>Block</v>
      </c>
      <c r="CT66" s="51" t="str">
        <f t="shared" si="139"/>
        <v>Block</v>
      </c>
      <c r="CU66" s="51" t="str">
        <f t="shared" si="140"/>
        <v/>
      </c>
      <c r="CV66" s="51" t="str">
        <f t="shared" si="141"/>
        <v/>
      </c>
      <c r="CW66" s="51" t="str">
        <f t="shared" si="142"/>
        <v/>
      </c>
      <c r="DA66" s="8"/>
    </row>
    <row r="67" spans="1:105" ht="15" hidden="1" customHeight="1" x14ac:dyDescent="0.2">
      <c r="A67" s="8"/>
      <c r="B67" s="8"/>
      <c r="C67" s="8"/>
      <c r="D67" s="8"/>
      <c r="E67" s="8"/>
      <c r="F67" s="8"/>
      <c r="G67" s="8"/>
      <c r="H67" s="8"/>
      <c r="I67" s="8"/>
      <c r="J67" s="8"/>
      <c r="K67" s="8"/>
      <c r="L67" s="8">
        <f t="shared" si="115"/>
        <v>5</v>
      </c>
      <c r="M67" s="8">
        <f t="shared" si="116"/>
        <v>1</v>
      </c>
      <c r="N67" s="8">
        <f t="shared" ref="N67:O67" si="154">IF(T67=0,0,(IF(T67&gt;6,6,(IF(T67&lt;1,1,T67)))))</f>
        <v>3</v>
      </c>
      <c r="O67" s="8">
        <f t="shared" si="154"/>
        <v>5</v>
      </c>
      <c r="P67" s="8">
        <f t="shared" si="118"/>
        <v>6</v>
      </c>
      <c r="Q67" s="8"/>
      <c r="R67" s="7">
        <f>IFERROR((VLOOKUP($BP$1&amp;D8,Teams!D:M,2,0)+AL67+AD67),0)</f>
        <v>5</v>
      </c>
      <c r="S67" s="7">
        <f>IFERROR((VLOOKUP($BP$1&amp;D8,Teams!D:M,3,0)+AM67+AE67),0)</f>
        <v>1</v>
      </c>
      <c r="T67" s="7">
        <f>IFERROR((VLOOKUP($BP$1&amp;D8,Teams!D:M,4,0)+AN67-AF67),0)</f>
        <v>3</v>
      </c>
      <c r="U67" s="7">
        <f>IFERROR((VLOOKUP($BP$1&amp;D8,Teams!D:M,5,0)+AO67-AG67),0)</f>
        <v>5</v>
      </c>
      <c r="V67" s="7">
        <f>IFERROR((VLOOKUP($BP$1&amp;D8,Teams!D:M,6,0)+AP67+AH67),0)</f>
        <v>6</v>
      </c>
      <c r="W67" s="8"/>
      <c r="X67" s="8">
        <f>IFERROR((VLOOKUP($BP$1&amp;D8,Teams!D:M,2,0)),0)</f>
        <v>5</v>
      </c>
      <c r="Y67" s="8">
        <f>IFERROR((VLOOKUP($BP$1&amp;D8,Teams!D:M,3,0)),0)</f>
        <v>1</v>
      </c>
      <c r="Z67" s="8">
        <f>IFERROR((VLOOKUP($BP$1&amp;D8,Teams!D:M,4,0)),0)</f>
        <v>3</v>
      </c>
      <c r="AA67" s="8">
        <f>IFERROR((VLOOKUP($BP$1&amp;D8,Teams!D:M,5,0)),0)</f>
        <v>5</v>
      </c>
      <c r="AB67" s="8">
        <f>IFERROR((VLOOKUP($BP$1&amp;D8,Teams!D:M,6,0)),0)</f>
        <v>6</v>
      </c>
      <c r="AC67" s="8"/>
      <c r="AD67" s="8">
        <f t="shared" si="119"/>
        <v>0</v>
      </c>
      <c r="AE67" s="8">
        <f t="shared" si="120"/>
        <v>0</v>
      </c>
      <c r="AF67" s="8">
        <f t="shared" si="121"/>
        <v>0</v>
      </c>
      <c r="AG67" s="8">
        <f t="shared" si="122"/>
        <v>0</v>
      </c>
      <c r="AH67" s="8">
        <f t="shared" si="123"/>
        <v>0</v>
      </c>
      <c r="AI67" s="8"/>
      <c r="AJ67" s="8">
        <v>1</v>
      </c>
      <c r="AK67" s="8">
        <v>120000</v>
      </c>
      <c r="AL67" s="7">
        <f t="shared" ref="AL67:AM67" si="155">AL43</f>
        <v>0</v>
      </c>
      <c r="AM67" s="7">
        <f t="shared" si="155"/>
        <v>0</v>
      </c>
      <c r="AN67" s="7">
        <f t="shared" si="125"/>
        <v>0</v>
      </c>
      <c r="AO67" s="7">
        <f t="shared" si="126"/>
        <v>0</v>
      </c>
      <c r="AP67" s="7">
        <f t="shared" si="127"/>
        <v>0</v>
      </c>
      <c r="AQ67" s="8"/>
      <c r="AR67" s="8"/>
      <c r="AS67" s="7">
        <v>960000</v>
      </c>
      <c r="AT67" s="7"/>
      <c r="AU67" s="7"/>
      <c r="AV67" s="7"/>
      <c r="AW67" s="7"/>
      <c r="AX67" s="7"/>
      <c r="AY67" s="8"/>
      <c r="AZ67" s="8">
        <v>5</v>
      </c>
      <c r="BA67" s="8"/>
      <c r="BB67" s="8"/>
      <c r="BC67" s="8"/>
      <c r="BD67" s="55"/>
      <c r="BE67" s="203" t="s">
        <v>1204</v>
      </c>
      <c r="BF67" s="55">
        <f>IFERROR((IF(OR(COUNTIF($BV$2,"*BadlandsBrawl*"),COUNTIF($BV$2,"*OldWorldClassic*"),COUNTIF($BV$2,"*UnderworldChallenge*")),80000,0)),0)</f>
        <v>80000</v>
      </c>
      <c r="BI67" s="54" t="str">
        <f>IF($K$25="Español","BRUJA MALVADA",(IF($K$25="Deutsch","VERRÜCKTE HEXE",(IF($K$25="Français","WICKED WITCH","WICKED WITCH")))))</f>
        <v>WICKED WITCH</v>
      </c>
      <c r="BJ67" s="55">
        <f>IFERROR((IF(OR(COUNTIF($BV$2,"*OldWorldClassic*"),COUNTIF($BV$2,"*SylvanianSpotlight*"),COUNTIF($BV$2,"*UnderworldChallenge*")),150000,0)),0)</f>
        <v>150000</v>
      </c>
      <c r="BL67" s="55"/>
      <c r="BM67" s="55"/>
      <c r="BN67" s="8"/>
      <c r="BO67" s="55"/>
      <c r="BP67" s="203" t="s">
        <v>1229</v>
      </c>
      <c r="BQ67" s="55">
        <v>60000</v>
      </c>
      <c r="BS67" s="54"/>
      <c r="BT67" s="119" t="str">
        <f>IF($K$25="Español","Forcejear",(IF($K$25="Deutsch","Ball entreißen",(IF($K$25="Français","Blocage","Dauntless")))))</f>
        <v>Dauntless</v>
      </c>
      <c r="BU67" s="8" t="s">
        <v>196</v>
      </c>
      <c r="BV67" s="119" t="str">
        <f>IF($K$25="Español","Forcejear",(IF($K$25="Deutsch","Ball entreißen",(IF($K$25="Français","Blocage","Dauntless")))))</f>
        <v>Dauntless</v>
      </c>
      <c r="BW67" s="8" t="s">
        <v>196</v>
      </c>
      <c r="BX67" s="119" t="str">
        <f>IF($K$25="Español","Forcejear",(IF($K$25="Deutsch","Ball entreißen",(IF($K$25="Français","Blocage","Dauntless")))))</f>
        <v>Dauntless</v>
      </c>
      <c r="BY67" s="8" t="s">
        <v>196</v>
      </c>
      <c r="BZ67" s="119" t="str">
        <f>IF($K$25="Español","Forcejear",(IF($K$25="Deutsch","Ball entreißen",(IF($K$25="Français","Blocage","Dauntless")))))</f>
        <v>Dauntless</v>
      </c>
      <c r="CA67" s="8" t="s">
        <v>196</v>
      </c>
      <c r="CB67" s="197" t="str">
        <f t="shared" ref="CB67:CC67" si="156">""</f>
        <v/>
      </c>
      <c r="CC67" s="197" t="str">
        <f t="shared" si="156"/>
        <v/>
      </c>
      <c r="CD67" s="119" t="str">
        <f>IF($K$25="Español","Furia",(IF($K$25="Deutsch","Ballgefühl",(IF($K$25="Français","Frappe précise","Dirty Player (+1)")))))</f>
        <v>Dirty Player (+1)</v>
      </c>
      <c r="CE67" s="8" t="s">
        <v>196</v>
      </c>
      <c r="CG67" s="8"/>
      <c r="CH67" s="223" t="str">
        <f t="shared" si="128"/>
        <v/>
      </c>
      <c r="CI67" s="223" t="str">
        <f t="shared" si="145"/>
        <v>Dauntless</v>
      </c>
      <c r="CJ67" s="51" t="str">
        <f t="shared" si="129"/>
        <v>Dauntless</v>
      </c>
      <c r="CK67" s="51" t="str">
        <f t="shared" si="130"/>
        <v>Dauntless</v>
      </c>
      <c r="CL67" s="51" t="str">
        <f t="shared" si="131"/>
        <v>Dauntless</v>
      </c>
      <c r="CM67" s="51" t="str">
        <f t="shared" si="132"/>
        <v>Dauntless</v>
      </c>
      <c r="CN67" s="51" t="str">
        <f t="shared" si="133"/>
        <v>Dauntless</v>
      </c>
      <c r="CO67" s="51" t="str">
        <f t="shared" si="134"/>
        <v>Dauntless</v>
      </c>
      <c r="CP67" s="51" t="str">
        <f t="shared" si="135"/>
        <v>Dauntless</v>
      </c>
      <c r="CQ67" s="51" t="str">
        <f t="shared" si="136"/>
        <v>Dauntless</v>
      </c>
      <c r="CR67" s="51" t="str">
        <f t="shared" si="137"/>
        <v/>
      </c>
      <c r="CS67" s="51" t="str">
        <f t="shared" si="138"/>
        <v>Dauntless</v>
      </c>
      <c r="CT67" s="51" t="str">
        <f t="shared" si="139"/>
        <v>Dauntless</v>
      </c>
      <c r="CU67" s="51" t="str">
        <f t="shared" si="140"/>
        <v/>
      </c>
      <c r="CV67" s="51" t="str">
        <f t="shared" si="141"/>
        <v/>
      </c>
      <c r="CW67" s="51" t="str">
        <f t="shared" si="142"/>
        <v/>
      </c>
      <c r="DA67" s="8"/>
    </row>
    <row r="68" spans="1:105" ht="15" hidden="1" customHeight="1" x14ac:dyDescent="0.2">
      <c r="A68" s="8"/>
      <c r="B68" s="38"/>
      <c r="C68" s="38"/>
      <c r="D68" s="38"/>
      <c r="E68" s="38"/>
      <c r="F68" s="38"/>
      <c r="G68" s="38"/>
      <c r="H68" s="8"/>
      <c r="I68" s="8"/>
      <c r="J68" s="8"/>
      <c r="K68" s="8"/>
      <c r="L68" s="8">
        <f t="shared" si="115"/>
        <v>5</v>
      </c>
      <c r="M68" s="8">
        <f t="shared" si="116"/>
        <v>1</v>
      </c>
      <c r="N68" s="8">
        <f t="shared" ref="N68:O68" si="157">IF(T68=0,0,(IF(T68&gt;6,6,(IF(T68&lt;1,1,T68)))))</f>
        <v>3</v>
      </c>
      <c r="O68" s="8">
        <f t="shared" si="157"/>
        <v>5</v>
      </c>
      <c r="P68" s="8">
        <f t="shared" si="118"/>
        <v>6</v>
      </c>
      <c r="Q68" s="8"/>
      <c r="R68" s="7">
        <f>IFERROR((VLOOKUP($BP$1&amp;D9,Teams!D:M,2,0)+AL68+AD68),0)</f>
        <v>5</v>
      </c>
      <c r="S68" s="7">
        <f>IFERROR((VLOOKUP($BP$1&amp;D9,Teams!D:M,3,0)+AM68+AE68),0)</f>
        <v>1</v>
      </c>
      <c r="T68" s="7">
        <f>IFERROR((VLOOKUP($BP$1&amp;D9,Teams!D:M,4,0)+AN68-AF68),0)</f>
        <v>3</v>
      </c>
      <c r="U68" s="7">
        <f>IFERROR((VLOOKUP($BP$1&amp;D9,Teams!D:M,5,0)+AO68-AG68),0)</f>
        <v>5</v>
      </c>
      <c r="V68" s="7">
        <f>IFERROR((VLOOKUP($BP$1&amp;D9,Teams!D:M,6,0)+AP68+AH68),0)</f>
        <v>6</v>
      </c>
      <c r="W68" s="8"/>
      <c r="X68" s="8">
        <f>IFERROR((VLOOKUP($BP$1&amp;D9,Teams!D:M,2,0)),0)</f>
        <v>5</v>
      </c>
      <c r="Y68" s="8">
        <f>IFERROR((VLOOKUP($BP$1&amp;D9,Teams!D:M,3,0)),0)</f>
        <v>1</v>
      </c>
      <c r="Z68" s="8">
        <f>IFERROR((VLOOKUP($BP$1&amp;D9,Teams!D:M,4,0)),0)</f>
        <v>3</v>
      </c>
      <c r="AA68" s="8">
        <f>IFERROR((VLOOKUP($BP$1&amp;D9,Teams!D:M,5,0)),0)</f>
        <v>5</v>
      </c>
      <c r="AB68" s="8">
        <f>IFERROR((VLOOKUP($BP$1&amp;D9,Teams!D:M,6,0)),0)</f>
        <v>6</v>
      </c>
      <c r="AC68" s="8"/>
      <c r="AD68" s="8">
        <f t="shared" si="119"/>
        <v>0</v>
      </c>
      <c r="AE68" s="8">
        <f t="shared" si="120"/>
        <v>0</v>
      </c>
      <c r="AF68" s="8">
        <f t="shared" si="121"/>
        <v>0</v>
      </c>
      <c r="AG68" s="8">
        <f t="shared" si="122"/>
        <v>0</v>
      </c>
      <c r="AH68" s="8">
        <f t="shared" si="123"/>
        <v>0</v>
      </c>
      <c r="AI68" s="8"/>
      <c r="AJ68" s="8">
        <v>2</v>
      </c>
      <c r="AK68" s="8">
        <v>140000</v>
      </c>
      <c r="AL68" s="7">
        <f t="shared" ref="AL68:AM68" si="158">AL44</f>
        <v>0</v>
      </c>
      <c r="AM68" s="7">
        <f t="shared" si="158"/>
        <v>0</v>
      </c>
      <c r="AN68" s="7">
        <f t="shared" si="125"/>
        <v>0</v>
      </c>
      <c r="AO68" s="7">
        <f t="shared" si="126"/>
        <v>0</v>
      </c>
      <c r="AP68" s="7">
        <f t="shared" si="127"/>
        <v>0</v>
      </c>
      <c r="AQ68" s="8"/>
      <c r="AR68" s="8"/>
      <c r="AS68" s="7">
        <v>970000</v>
      </c>
      <c r="AT68" s="7"/>
      <c r="AU68" s="7"/>
      <c r="AV68" s="7"/>
      <c r="AW68" s="7"/>
      <c r="AX68" s="7"/>
      <c r="AY68" s="8"/>
      <c r="AZ68" s="8">
        <v>6</v>
      </c>
      <c r="BA68" s="56" t="s">
        <v>248</v>
      </c>
      <c r="BB68" s="8" t="str">
        <f>IF(K25="Italiano","SI",(IF(K25="Español","SÍ",(IF(K25="Deutsch","JA",(IF(K25="Français","OUI","YES")))))))</f>
        <v>YES</v>
      </c>
      <c r="BC68" s="8"/>
      <c r="BD68" s="55"/>
      <c r="BE68" s="203" t="s">
        <v>1205</v>
      </c>
      <c r="BF68" s="55">
        <f>IFERROR((IF(OR(COUNTIF($BV$2,"*BadlandsBrawl*"),COUNTIF($BV$2,"*UnderworldChallenge*")),90000,0)),0)</f>
        <v>90000</v>
      </c>
      <c r="BI68" s="203" t="s">
        <v>1213</v>
      </c>
      <c r="BJ68" s="55">
        <f>IFERROR((IF(OR(COUNTIF($BV$2,"*UnderworldChallenge*")),150000,0)),0)</f>
        <v>0</v>
      </c>
      <c r="BL68" s="8"/>
      <c r="BN68" s="8"/>
      <c r="BO68" s="8"/>
      <c r="BP68" s="203" t="str">
        <f>IF($J$24="Español","TOTEM DEL CAOS","CHAOS TOTEM")</f>
        <v>CHAOS TOTEM</v>
      </c>
      <c r="BQ68" s="277">
        <v>50000</v>
      </c>
      <c r="BT68" s="119" t="str">
        <f>IF($K$25="Español","Furia",(IF($K$25="Deutsch","Ballgefühl",(IF($K$25="Français","Frappe précise","Dirty Player (+1)")))))</f>
        <v>Dirty Player (+1)</v>
      </c>
      <c r="BU68" s="8" t="s">
        <v>196</v>
      </c>
      <c r="BV68" s="119" t="str">
        <f>IF($K$25="Español","Furia",(IF($K$25="Deutsch","Ballgefühl",(IF($K$25="Français","Frappe précise","Dirty Player (+1)")))))</f>
        <v>Dirty Player (+1)</v>
      </c>
      <c r="BW68" s="8" t="s">
        <v>196</v>
      </c>
      <c r="BX68" s="119" t="str">
        <f>IF($K$25="Español","Furia",(IF($K$25="Deutsch","Ballgefühl",(IF($K$25="Français","Frappe précise","Dirty Player (+1)")))))</f>
        <v>Dirty Player (+1)</v>
      </c>
      <c r="BY68" s="8" t="s">
        <v>196</v>
      </c>
      <c r="BZ68" s="119" t="str">
        <f>IF($K$25="Español","Furia",(IF($K$25="Deutsch","Ballgefühl",(IF($K$25="Français","Frappe précise","Dirty Player (+1)")))))</f>
        <v>Dirty Player (+1)</v>
      </c>
      <c r="CA68" s="8" t="s">
        <v>196</v>
      </c>
      <c r="CB68" s="197" t="str">
        <f>IF($J$24="Español","MO+",(IF($J$24="Deutsch","BE+",(IF($J$24="Français","M+","MA+")))))</f>
        <v>MA+</v>
      </c>
      <c r="CC68" s="197" t="s">
        <v>201</v>
      </c>
      <c r="CD68" s="119" t="str">
        <f>IF($K$25="Español","Juego Sucio (+1)",(IF($K$25="Deutsch","Block",(IF($K$25="Français","Frénésie ","Fend")))))</f>
        <v>Fend</v>
      </c>
      <c r="CE68" s="8" t="s">
        <v>196</v>
      </c>
      <c r="CG68" s="8"/>
      <c r="CH68" s="223" t="str">
        <f t="shared" si="128"/>
        <v/>
      </c>
      <c r="CI68" s="223" t="str">
        <f t="shared" si="145"/>
        <v>Dirty Player (+1)</v>
      </c>
      <c r="CJ68" s="51" t="str">
        <f t="shared" si="129"/>
        <v>Dirty Player (+1)</v>
      </c>
      <c r="CK68" s="51" t="str">
        <f t="shared" si="130"/>
        <v>Dirty Player (+1)</v>
      </c>
      <c r="CL68" s="51" t="str">
        <f t="shared" si="131"/>
        <v>Dirty Player (+1)</v>
      </c>
      <c r="CM68" s="51" t="str">
        <f t="shared" si="132"/>
        <v>Dirty Player (+1)</v>
      </c>
      <c r="CN68" s="51" t="str">
        <f t="shared" si="133"/>
        <v>Dirty Player (+1)</v>
      </c>
      <c r="CO68" s="51" t="str">
        <f t="shared" si="134"/>
        <v>Dirty Player (+1)</v>
      </c>
      <c r="CP68" s="51" t="str">
        <f t="shared" si="135"/>
        <v>Dirty Player (+1)</v>
      </c>
      <c r="CQ68" s="51" t="str">
        <f t="shared" si="136"/>
        <v>Dirty Player (+1)</v>
      </c>
      <c r="CR68" s="51" t="str">
        <f t="shared" si="137"/>
        <v/>
      </c>
      <c r="CS68" s="51" t="str">
        <f t="shared" si="138"/>
        <v>Dirty Player (+1)</v>
      </c>
      <c r="CT68" s="51" t="str">
        <f t="shared" si="139"/>
        <v>Dirty Player (+1)</v>
      </c>
      <c r="CU68" s="51" t="str">
        <f t="shared" si="140"/>
        <v/>
      </c>
      <c r="CV68" s="51" t="str">
        <f t="shared" si="141"/>
        <v/>
      </c>
      <c r="CW68" s="51" t="str">
        <f t="shared" si="142"/>
        <v/>
      </c>
      <c r="DA68" s="8"/>
    </row>
    <row r="69" spans="1:105" ht="15" hidden="1" customHeight="1" x14ac:dyDescent="0.2">
      <c r="A69" s="8"/>
      <c r="B69" s="38"/>
      <c r="C69" s="38"/>
      <c r="D69" s="38"/>
      <c r="E69" s="38"/>
      <c r="F69" s="38"/>
      <c r="G69" s="38"/>
      <c r="H69" s="8"/>
      <c r="I69" s="8"/>
      <c r="J69" s="8"/>
      <c r="K69" s="8"/>
      <c r="L69" s="8">
        <f t="shared" si="115"/>
        <v>5</v>
      </c>
      <c r="M69" s="8">
        <f t="shared" si="116"/>
        <v>1</v>
      </c>
      <c r="N69" s="8">
        <f t="shared" ref="N69:O69" si="159">IF(T69=0,0,(IF(T69&gt;6,6,(IF(T69&lt;1,1,T69)))))</f>
        <v>3</v>
      </c>
      <c r="O69" s="8">
        <f t="shared" si="159"/>
        <v>5</v>
      </c>
      <c r="P69" s="8">
        <f t="shared" si="118"/>
        <v>6</v>
      </c>
      <c r="Q69" s="8"/>
      <c r="R69" s="7">
        <f>IFERROR((VLOOKUP($BP$1&amp;D10,Teams!D:M,2,0)+AL69+AD69),0)</f>
        <v>5</v>
      </c>
      <c r="S69" s="7">
        <f>IFERROR((VLOOKUP($BP$1&amp;D10,Teams!D:M,3,0)+AM69+AE69),0)</f>
        <v>1</v>
      </c>
      <c r="T69" s="7">
        <f>IFERROR((VLOOKUP($BP$1&amp;D10,Teams!D:M,4,0)+AN69-AF69),0)</f>
        <v>3</v>
      </c>
      <c r="U69" s="7">
        <f>IFERROR((VLOOKUP($BP$1&amp;D10,Teams!D:M,5,0)+AO69-AG69),0)</f>
        <v>5</v>
      </c>
      <c r="V69" s="7">
        <f>IFERROR((VLOOKUP($BP$1&amp;D10,Teams!D:M,6,0)+AP69+AH69),0)</f>
        <v>6</v>
      </c>
      <c r="W69" s="8"/>
      <c r="X69" s="8">
        <f>IFERROR((VLOOKUP($BP$1&amp;D10,Teams!D:M,2,0)),0)</f>
        <v>5</v>
      </c>
      <c r="Y69" s="8">
        <f>IFERROR((VLOOKUP($BP$1&amp;D10,Teams!D:M,3,0)),0)</f>
        <v>1</v>
      </c>
      <c r="Z69" s="8">
        <f>IFERROR((VLOOKUP($BP$1&amp;D10,Teams!D:M,4,0)),0)</f>
        <v>3</v>
      </c>
      <c r="AA69" s="8">
        <f>IFERROR((VLOOKUP($BP$1&amp;D10,Teams!D:M,5,0)),0)</f>
        <v>5</v>
      </c>
      <c r="AB69" s="8">
        <f>IFERROR((VLOOKUP($BP$1&amp;D10,Teams!D:M,6,0)),0)</f>
        <v>6</v>
      </c>
      <c r="AC69" s="8"/>
      <c r="AD69" s="8">
        <f t="shared" si="119"/>
        <v>0</v>
      </c>
      <c r="AE69" s="8">
        <f t="shared" si="120"/>
        <v>0</v>
      </c>
      <c r="AF69" s="8">
        <f t="shared" si="121"/>
        <v>0</v>
      </c>
      <c r="AG69" s="8">
        <f t="shared" si="122"/>
        <v>0</v>
      </c>
      <c r="AH69" s="8">
        <f t="shared" si="123"/>
        <v>0</v>
      </c>
      <c r="AI69" s="8"/>
      <c r="AJ69" s="12">
        <v>3</v>
      </c>
      <c r="AK69" s="8">
        <v>160000</v>
      </c>
      <c r="AL69" s="7">
        <f t="shared" ref="AL69:AM69" si="160">AL45</f>
        <v>0</v>
      </c>
      <c r="AM69" s="7">
        <f t="shared" si="160"/>
        <v>0</v>
      </c>
      <c r="AN69" s="7">
        <f t="shared" si="125"/>
        <v>0</v>
      </c>
      <c r="AO69" s="7">
        <f t="shared" si="126"/>
        <v>0</v>
      </c>
      <c r="AP69" s="7">
        <f t="shared" si="127"/>
        <v>0</v>
      </c>
      <c r="AQ69" s="8"/>
      <c r="AR69" s="8"/>
      <c r="AS69" s="7">
        <v>980000</v>
      </c>
      <c r="AT69" s="7"/>
      <c r="AU69" s="7"/>
      <c r="AV69" s="7"/>
      <c r="AW69" s="7"/>
      <c r="AX69" s="7"/>
      <c r="AY69" s="8"/>
      <c r="AZ69" s="8">
        <v>7</v>
      </c>
      <c r="BA69" s="56" t="s">
        <v>249</v>
      </c>
      <c r="BB69" s="8" t="str">
        <f>IF(K25="Deutsch","NEIN",(IF(K25="Français","NON","NO")))</f>
        <v>NO</v>
      </c>
      <c r="BC69" s="8"/>
      <c r="BD69" s="55"/>
      <c r="BE69" s="203" t="s">
        <v>1206</v>
      </c>
      <c r="BF69" s="55">
        <v>90000</v>
      </c>
      <c r="BI69" s="203" t="s">
        <v>1214</v>
      </c>
      <c r="BJ69" s="55">
        <f>IFERROR((IF(OR(COUNTIF($BV$2,"*BadlandsBrawl*")),150000,0)),0)</f>
        <v>150000</v>
      </c>
      <c r="BL69" s="8"/>
      <c r="BN69" s="8"/>
      <c r="BO69" s="8"/>
      <c r="BP69" s="203" t="s">
        <v>1428</v>
      </c>
      <c r="BQ69" s="277">
        <v>50000</v>
      </c>
      <c r="BT69" s="119" t="str">
        <f>IF($K$25="Español","Juego Sucio (+1)",(IF($K$25="Deutsch","Block",(IF($K$25="Français","Frénésie ","Fend")))))</f>
        <v>Fend</v>
      </c>
      <c r="BU69" s="8" t="s">
        <v>196</v>
      </c>
      <c r="BV69" s="119" t="str">
        <f>IF($K$25="Español","Juego Sucio (+1)",(IF($K$25="Deutsch","Block",(IF($K$25="Français","Frénésie ","Fend")))))</f>
        <v>Fend</v>
      </c>
      <c r="BW69" s="8" t="s">
        <v>196</v>
      </c>
      <c r="BX69" s="119" t="str">
        <f>IF($K$25="Español","Juego Sucio (+1)",(IF($K$25="Deutsch","Block",(IF($K$25="Français","Frénésie ","Fend")))))</f>
        <v>Fend</v>
      </c>
      <c r="BY69" s="8" t="s">
        <v>196</v>
      </c>
      <c r="BZ69" s="119" t="str">
        <f>IF($K$25="Español","Juego Sucio (+1)",(IF($K$25="Deutsch","Block",(IF($K$25="Français","Frénésie ","Fend")))))</f>
        <v>Fend</v>
      </c>
      <c r="CA69" s="8" t="s">
        <v>196</v>
      </c>
      <c r="CB69" s="197" t="str">
        <f>IF($J$24="Español","AR+",(IF($J$24="Deutsch","RW+",(IF($J$24="Français","AR+","AV+")))))</f>
        <v>AV+</v>
      </c>
      <c r="CC69" s="197" t="s">
        <v>202</v>
      </c>
      <c r="CD69" s="119" t="str">
        <f>IF($K$25="Español","Manos Seguras",(IF($K$25="Deutsch","Brutal (+1)",(IF($K$25="Français","Intrépide","Frenzy")))))</f>
        <v>Frenzy</v>
      </c>
      <c r="CE69" s="8" t="s">
        <v>196</v>
      </c>
      <c r="CG69" s="8"/>
      <c r="CH69" s="223" t="str">
        <f t="shared" si="128"/>
        <v/>
      </c>
      <c r="CI69" s="223" t="str">
        <f t="shared" si="145"/>
        <v>Fend</v>
      </c>
      <c r="CJ69" s="51" t="str">
        <f t="shared" si="129"/>
        <v>Fend</v>
      </c>
      <c r="CK69" s="51" t="str">
        <f t="shared" si="130"/>
        <v>Fend</v>
      </c>
      <c r="CL69" s="51" t="str">
        <f t="shared" si="131"/>
        <v>Fend</v>
      </c>
      <c r="CM69" s="51" t="str">
        <f t="shared" si="132"/>
        <v>Fend</v>
      </c>
      <c r="CN69" s="51" t="str">
        <f t="shared" si="133"/>
        <v>Fend</v>
      </c>
      <c r="CO69" s="51" t="str">
        <f t="shared" si="134"/>
        <v>Fend</v>
      </c>
      <c r="CP69" s="51" t="str">
        <f t="shared" si="135"/>
        <v>Fend</v>
      </c>
      <c r="CQ69" s="51" t="str">
        <f t="shared" si="136"/>
        <v>Fend</v>
      </c>
      <c r="CR69" s="51" t="str">
        <f t="shared" si="137"/>
        <v/>
      </c>
      <c r="CS69" s="51" t="str">
        <f t="shared" si="138"/>
        <v>Fend</v>
      </c>
      <c r="CT69" s="51" t="str">
        <f t="shared" si="139"/>
        <v>Fend</v>
      </c>
      <c r="CU69" s="51" t="str">
        <f t="shared" si="140"/>
        <v/>
      </c>
      <c r="CV69" s="51" t="str">
        <f t="shared" si="141"/>
        <v/>
      </c>
      <c r="CW69" s="51" t="str">
        <f t="shared" si="142"/>
        <v/>
      </c>
      <c r="DA69" s="8"/>
    </row>
    <row r="70" spans="1:105" ht="15" hidden="1" customHeight="1" x14ac:dyDescent="0.2">
      <c r="A70" s="8"/>
      <c r="B70" s="8"/>
      <c r="C70" s="8"/>
      <c r="D70" s="38"/>
      <c r="E70" s="38"/>
      <c r="F70" s="38"/>
      <c r="G70" s="38"/>
      <c r="H70" s="8"/>
      <c r="I70" s="8"/>
      <c r="J70" s="8"/>
      <c r="K70" s="8"/>
      <c r="L70" s="8">
        <f t="shared" si="115"/>
        <v>5</v>
      </c>
      <c r="M70" s="8">
        <f t="shared" si="116"/>
        <v>1</v>
      </c>
      <c r="N70" s="8">
        <f t="shared" ref="N70:O70" si="161">IF(T70=0,0,(IF(T70&gt;6,6,(IF(T70&lt;1,1,T70)))))</f>
        <v>3</v>
      </c>
      <c r="O70" s="8">
        <f t="shared" si="161"/>
        <v>5</v>
      </c>
      <c r="P70" s="8">
        <f t="shared" si="118"/>
        <v>6</v>
      </c>
      <c r="Q70" s="8"/>
      <c r="R70" s="7">
        <f>IFERROR((VLOOKUP($BP$1&amp;D11,Teams!D:M,2,0)+AL70+AD70),0)</f>
        <v>5</v>
      </c>
      <c r="S70" s="7">
        <f>IFERROR((VLOOKUP($BP$1&amp;D11,Teams!D:M,3,0)+AM70+AE70),0)</f>
        <v>1</v>
      </c>
      <c r="T70" s="7">
        <f>IFERROR((VLOOKUP($BP$1&amp;D11,Teams!D:M,4,0)+AN70-AF70),0)</f>
        <v>3</v>
      </c>
      <c r="U70" s="7">
        <f>IFERROR((VLOOKUP($BP$1&amp;D11,Teams!D:M,5,0)+AO70-AG70),0)</f>
        <v>5</v>
      </c>
      <c r="V70" s="7">
        <f>IFERROR((VLOOKUP($BP$1&amp;D11,Teams!D:M,6,0)+AP70+AH70),0)</f>
        <v>6</v>
      </c>
      <c r="W70" s="8"/>
      <c r="X70" s="8">
        <f>IFERROR((VLOOKUP($BP$1&amp;D11,Teams!D:M,2,0)),0)</f>
        <v>5</v>
      </c>
      <c r="Y70" s="8">
        <f>IFERROR((VLOOKUP($BP$1&amp;D11,Teams!D:M,3,0)),0)</f>
        <v>1</v>
      </c>
      <c r="Z70" s="8">
        <f>IFERROR((VLOOKUP($BP$1&amp;D11,Teams!D:M,4,0)),0)</f>
        <v>3</v>
      </c>
      <c r="AA70" s="8">
        <f>IFERROR((VLOOKUP($BP$1&amp;D11,Teams!D:M,5,0)),0)</f>
        <v>5</v>
      </c>
      <c r="AB70" s="8">
        <f>IFERROR((VLOOKUP($BP$1&amp;D11,Teams!D:M,6,0)),0)</f>
        <v>6</v>
      </c>
      <c r="AC70" s="8"/>
      <c r="AD70" s="8">
        <f t="shared" si="119"/>
        <v>0</v>
      </c>
      <c r="AE70" s="8">
        <f t="shared" si="120"/>
        <v>0</v>
      </c>
      <c r="AF70" s="8">
        <f t="shared" si="121"/>
        <v>0</v>
      </c>
      <c r="AG70" s="8">
        <f t="shared" si="122"/>
        <v>0</v>
      </c>
      <c r="AH70" s="8">
        <f t="shared" si="123"/>
        <v>0</v>
      </c>
      <c r="AI70" s="8"/>
      <c r="AJ70" s="12">
        <v>4</v>
      </c>
      <c r="AK70" s="8"/>
      <c r="AL70" s="7">
        <f t="shared" ref="AL70:AM70" si="162">AL46</f>
        <v>0</v>
      </c>
      <c r="AM70" s="7">
        <f t="shared" si="162"/>
        <v>0</v>
      </c>
      <c r="AN70" s="7">
        <f t="shared" si="125"/>
        <v>0</v>
      </c>
      <c r="AO70" s="7">
        <f t="shared" si="126"/>
        <v>0</v>
      </c>
      <c r="AP70" s="7">
        <f t="shared" si="127"/>
        <v>0</v>
      </c>
      <c r="AQ70" s="8"/>
      <c r="AR70" s="8"/>
      <c r="AS70" s="7">
        <v>990000</v>
      </c>
      <c r="AT70" s="7"/>
      <c r="AU70" s="7"/>
      <c r="AV70" s="7"/>
      <c r="AW70" s="7"/>
      <c r="AX70" s="7"/>
      <c r="AY70" s="8"/>
      <c r="AZ70" s="8">
        <v>8</v>
      </c>
      <c r="BA70" s="7">
        <v>20000</v>
      </c>
      <c r="BB70" s="8"/>
      <c r="BC70" s="8"/>
      <c r="BD70" s="8"/>
      <c r="BE70" s="55"/>
      <c r="BF70" s="55"/>
      <c r="BI70" s="203" t="s">
        <v>1215</v>
      </c>
      <c r="BJ70" s="55">
        <f>IFERROR((IF(OR(COUNTIF($BV$2,"*BadlandsBrawl*"),COUNTIF($BV$2,"*UnderworldChallenge*")),150000,0)),0)</f>
        <v>150000</v>
      </c>
      <c r="BL70" s="8"/>
      <c r="BN70" s="8"/>
      <c r="BO70" s="8"/>
      <c r="BP70" s="203" t="s">
        <v>1483</v>
      </c>
      <c r="BQ70" s="277">
        <v>50000</v>
      </c>
      <c r="BS70" s="53" t="s">
        <v>1349</v>
      </c>
      <c r="BT70" s="119" t="str">
        <f>IF($K$25="Español","Manos Seguras",(IF($K$25="Deutsch","Brutal (+1)",(IF($K$25="Français","Intrépide","Frenzy")))))</f>
        <v>Frenzy</v>
      </c>
      <c r="BU70" s="8" t="s">
        <v>196</v>
      </c>
      <c r="BV70" s="119" t="str">
        <f>IF($K$25="Español","Manos Seguras",(IF($K$25="Deutsch","Brutal (+1)",(IF($K$25="Français","Intrépide","Frenzy")))))</f>
        <v>Frenzy</v>
      </c>
      <c r="BW70" s="8" t="s">
        <v>196</v>
      </c>
      <c r="BX70" s="119" t="str">
        <f>IF($K$25="Español","Manos Seguras",(IF($K$25="Deutsch","Brutal (+1)",(IF($K$25="Français","Intrépide","Frenzy")))))</f>
        <v>Frenzy</v>
      </c>
      <c r="BY70" s="8" t="s">
        <v>196</v>
      </c>
      <c r="BZ70" s="119" t="str">
        <f>IF($K$25="Español","Manos Seguras",(IF($K$25="Deutsch","Brutal (+1)",(IF($K$25="Français","Intrépide","Frenzy")))))</f>
        <v>Frenzy</v>
      </c>
      <c r="CA70" s="8" t="s">
        <v>196</v>
      </c>
      <c r="CB70" s="197" t="str">
        <f>IF($J$24="Deutsch","GE-","AG-")</f>
        <v>AG-</v>
      </c>
      <c r="CC70" s="197" t="s">
        <v>203</v>
      </c>
      <c r="CD70" s="119" t="str">
        <f>IF($K$25="Español","Patada",(IF($K$25="Deutsch","Kicken",(IF($K$25="Français","Joueur Déloyal (+1)","Kick")))))</f>
        <v>Kick</v>
      </c>
      <c r="CE70" s="8" t="s">
        <v>196</v>
      </c>
      <c r="CG70" s="8"/>
      <c r="CH70" s="223" t="str">
        <f t="shared" si="128"/>
        <v/>
      </c>
      <c r="CI70" s="223" t="str">
        <f t="shared" si="145"/>
        <v>Frenzy</v>
      </c>
      <c r="CJ70" s="51" t="str">
        <f t="shared" si="129"/>
        <v>Frenzy</v>
      </c>
      <c r="CK70" s="51" t="str">
        <f t="shared" si="130"/>
        <v>Frenzy</v>
      </c>
      <c r="CL70" s="51" t="str">
        <f t="shared" si="131"/>
        <v>Frenzy</v>
      </c>
      <c r="CM70" s="51" t="str">
        <f t="shared" si="132"/>
        <v>Frenzy</v>
      </c>
      <c r="CN70" s="51" t="str">
        <f t="shared" si="133"/>
        <v>Frenzy</v>
      </c>
      <c r="CO70" s="51" t="str">
        <f t="shared" si="134"/>
        <v>Frenzy</v>
      </c>
      <c r="CP70" s="51" t="str">
        <f t="shared" si="135"/>
        <v>Frenzy</v>
      </c>
      <c r="CQ70" s="51" t="str">
        <f t="shared" si="136"/>
        <v>Frenzy</v>
      </c>
      <c r="CR70" s="51" t="str">
        <f t="shared" si="137"/>
        <v/>
      </c>
      <c r="CS70" s="51" t="str">
        <f t="shared" si="138"/>
        <v>Frenzy</v>
      </c>
      <c r="CT70" s="51" t="str">
        <f t="shared" si="139"/>
        <v>Frenzy</v>
      </c>
      <c r="CU70" s="51" t="str">
        <f t="shared" si="140"/>
        <v/>
      </c>
      <c r="CV70" s="51" t="str">
        <f t="shared" si="141"/>
        <v/>
      </c>
      <c r="CW70" s="51" t="str">
        <f t="shared" si="142"/>
        <v/>
      </c>
      <c r="DA70" s="8"/>
    </row>
    <row r="71" spans="1:105" ht="15" hidden="1" customHeight="1" x14ac:dyDescent="0.2">
      <c r="A71" s="8"/>
      <c r="B71" s="38"/>
      <c r="C71" s="38"/>
      <c r="D71" s="38"/>
      <c r="E71" s="38"/>
      <c r="F71" s="38"/>
      <c r="G71" s="38"/>
      <c r="H71" s="8"/>
      <c r="I71" s="8"/>
      <c r="J71" s="8"/>
      <c r="K71" s="8"/>
      <c r="L71" s="8">
        <f t="shared" si="115"/>
        <v>0</v>
      </c>
      <c r="M71" s="8">
        <f t="shared" si="116"/>
        <v>0</v>
      </c>
      <c r="N71" s="8">
        <f t="shared" ref="N71:O71" si="163">IF(T71=0,0,(IF(T71&gt;6,6,(IF(T71&lt;1,1,T71)))))</f>
        <v>0</v>
      </c>
      <c r="O71" s="8">
        <f t="shared" si="163"/>
        <v>0</v>
      </c>
      <c r="P71" s="8">
        <f t="shared" si="118"/>
        <v>0</v>
      </c>
      <c r="Q71" s="8"/>
      <c r="R71" s="7">
        <f>IFERROR((VLOOKUP($BP$1&amp;D12,Teams!D:M,2,0)+AL71+AD71),0)</f>
        <v>0</v>
      </c>
      <c r="S71" s="7">
        <f>IFERROR((VLOOKUP($BP$1&amp;D12,Teams!D:M,3,0)+AM71+AE71),0)</f>
        <v>0</v>
      </c>
      <c r="T71" s="7">
        <f>IFERROR((VLOOKUP($BP$1&amp;D12,Teams!D:M,4,0)+AN71-AF71),0)</f>
        <v>0</v>
      </c>
      <c r="U71" s="7">
        <f>IFERROR((VLOOKUP($BP$1&amp;D12,Teams!D:M,5,0)+AO71-AG71),0)</f>
        <v>0</v>
      </c>
      <c r="V71" s="7">
        <f>IFERROR((VLOOKUP($BP$1&amp;D12,Teams!D:M,6,0)+AP71+AH71),0)</f>
        <v>0</v>
      </c>
      <c r="W71" s="8"/>
      <c r="X71" s="8">
        <f>IFERROR((VLOOKUP($BP$1&amp;D12,Teams!D:M,2,0)),0)</f>
        <v>0</v>
      </c>
      <c r="Y71" s="8">
        <f>IFERROR((VLOOKUP($BP$1&amp;D12,Teams!D:M,3,0)),0)</f>
        <v>0</v>
      </c>
      <c r="Z71" s="8">
        <f>IFERROR((VLOOKUP($BP$1&amp;D12,Teams!D:M,4,0)),0)</f>
        <v>0</v>
      </c>
      <c r="AA71" s="8">
        <f>IFERROR((VLOOKUP($BP$1&amp;D12,Teams!D:M,5,0)),0)</f>
        <v>0</v>
      </c>
      <c r="AB71" s="8">
        <f>IFERROR((VLOOKUP($BP$1&amp;D12,Teams!D:M,6,0)),0)</f>
        <v>0</v>
      </c>
      <c r="AC71" s="8"/>
      <c r="AD71" s="8">
        <f t="shared" si="119"/>
        <v>0</v>
      </c>
      <c r="AE71" s="8">
        <f t="shared" si="120"/>
        <v>0</v>
      </c>
      <c r="AF71" s="8">
        <f t="shared" si="121"/>
        <v>0</v>
      </c>
      <c r="AG71" s="8">
        <f t="shared" si="122"/>
        <v>0</v>
      </c>
      <c r="AH71" s="8">
        <f t="shared" si="123"/>
        <v>0</v>
      </c>
      <c r="AI71" s="8"/>
      <c r="AJ71" s="8" t="str">
        <f>""</f>
        <v/>
      </c>
      <c r="AK71" s="8"/>
      <c r="AL71" s="7">
        <f t="shared" ref="AL71:AM71" si="164">AL47</f>
        <v>0</v>
      </c>
      <c r="AM71" s="7">
        <f t="shared" si="164"/>
        <v>0</v>
      </c>
      <c r="AN71" s="7">
        <f t="shared" si="125"/>
        <v>0</v>
      </c>
      <c r="AO71" s="7">
        <f t="shared" si="126"/>
        <v>0</v>
      </c>
      <c r="AP71" s="7">
        <f t="shared" si="127"/>
        <v>0</v>
      </c>
      <c r="AQ71" s="8"/>
      <c r="AR71" s="8"/>
      <c r="AS71" s="7">
        <v>1000000</v>
      </c>
      <c r="AT71" s="7"/>
      <c r="AU71" s="7"/>
      <c r="AV71" s="7"/>
      <c r="AW71" s="7"/>
      <c r="AX71" s="7"/>
      <c r="AY71" s="8"/>
      <c r="AZ71" s="8">
        <v>9</v>
      </c>
      <c r="BA71" s="7">
        <v>30000</v>
      </c>
      <c r="BB71" s="10" t="s">
        <v>250</v>
      </c>
      <c r="BC71" s="8"/>
      <c r="BD71" s="8"/>
      <c r="BE71" s="55"/>
      <c r="BF71" s="55"/>
      <c r="BI71" s="203" t="s">
        <v>1216</v>
      </c>
      <c r="BJ71" s="55">
        <v>80000</v>
      </c>
      <c r="BL71" s="8"/>
      <c r="BN71" s="8"/>
      <c r="BO71" s="8"/>
      <c r="BP71" s="203" t="s">
        <v>1681</v>
      </c>
      <c r="BQ71" s="277">
        <v>150000</v>
      </c>
      <c r="BS71" s="203" t="s">
        <v>1344</v>
      </c>
      <c r="BT71" s="119" t="str">
        <f>IF($K$25="Español","Patada",(IF($K$25="Deutsch","Kicken",(IF($K$25="Français","Joueur Déloyal (+1)","Kick")))))</f>
        <v>Kick</v>
      </c>
      <c r="BU71" s="8" t="s">
        <v>196</v>
      </c>
      <c r="BV71" s="119" t="str">
        <f>IF($K$25="Español","Patada",(IF($K$25="Deutsch","Kicken",(IF($K$25="Français","Joueur Déloyal (+1)","Kick")))))</f>
        <v>Kick</v>
      </c>
      <c r="BW71" s="8" t="s">
        <v>196</v>
      </c>
      <c r="BX71" s="119" t="str">
        <f>IF($K$25="Español","Patada",(IF($K$25="Deutsch","Kicken",(IF($K$25="Français","Joueur Déloyal (+1)","Kick")))))</f>
        <v>Kick</v>
      </c>
      <c r="BY71" s="8" t="s">
        <v>196</v>
      </c>
      <c r="BZ71" s="119" t="str">
        <f>IF($K$25="Español","Patada",(IF($K$25="Deutsch","Kicken",(IF($K$25="Français","Joueur Déloyal (+1)","Kick")))))</f>
        <v>Kick</v>
      </c>
      <c r="CA71" s="8" t="s">
        <v>196</v>
      </c>
      <c r="CB71" s="197" t="str">
        <f>IF($J$24="Deutsch","WG-",(IF($J$24="Français","CP-","PA-")))</f>
        <v>PA-</v>
      </c>
      <c r="CC71" s="197" t="s">
        <v>204</v>
      </c>
      <c r="CD71" s="119" t="str">
        <f>IF($K$25="Español","Perseguir",(IF($K$25="Deutsch","Manndeckung",(IF($K$25="Français","Lutte","Pro")))))</f>
        <v>Pro</v>
      </c>
      <c r="CE71" s="8" t="s">
        <v>196</v>
      </c>
      <c r="CG71" s="8"/>
      <c r="CH71" s="223" t="str">
        <f t="shared" si="128"/>
        <v/>
      </c>
      <c r="CI71" s="223" t="str">
        <f t="shared" si="145"/>
        <v>Kick</v>
      </c>
      <c r="CJ71" s="51" t="str">
        <f t="shared" si="129"/>
        <v>Kick</v>
      </c>
      <c r="CK71" s="51" t="str">
        <f t="shared" si="130"/>
        <v>Kick</v>
      </c>
      <c r="CL71" s="51" t="str">
        <f t="shared" si="131"/>
        <v>Kick</v>
      </c>
      <c r="CM71" s="51" t="str">
        <f t="shared" si="132"/>
        <v>Kick</v>
      </c>
      <c r="CN71" s="51" t="str">
        <f t="shared" si="133"/>
        <v>Kick</v>
      </c>
      <c r="CO71" s="51" t="str">
        <f t="shared" si="134"/>
        <v>Kick</v>
      </c>
      <c r="CP71" s="51" t="str">
        <f t="shared" si="135"/>
        <v>Kick</v>
      </c>
      <c r="CQ71" s="51" t="str">
        <f t="shared" si="136"/>
        <v>Kick</v>
      </c>
      <c r="CR71" s="51" t="str">
        <f t="shared" si="137"/>
        <v/>
      </c>
      <c r="CS71" s="51" t="str">
        <f t="shared" si="138"/>
        <v>Kick</v>
      </c>
      <c r="CT71" s="51" t="str">
        <f t="shared" si="139"/>
        <v>Kick</v>
      </c>
      <c r="CU71" s="51" t="str">
        <f t="shared" si="140"/>
        <v/>
      </c>
      <c r="CV71" s="51" t="str">
        <f t="shared" si="141"/>
        <v/>
      </c>
      <c r="CW71" s="51" t="str">
        <f t="shared" si="142"/>
        <v/>
      </c>
      <c r="DA71" s="8"/>
    </row>
    <row r="72" spans="1:105" ht="15" hidden="1" customHeight="1" x14ac:dyDescent="0.2">
      <c r="A72" s="8"/>
      <c r="B72" s="58"/>
      <c r="C72" s="58"/>
      <c r="D72" s="58"/>
      <c r="E72" s="58"/>
      <c r="F72" s="58"/>
      <c r="G72" s="58"/>
      <c r="H72" s="8"/>
      <c r="I72" s="8"/>
      <c r="J72" s="8"/>
      <c r="K72" s="8"/>
      <c r="L72" s="8">
        <f t="shared" si="115"/>
        <v>5</v>
      </c>
      <c r="M72" s="8">
        <f t="shared" si="116"/>
        <v>1</v>
      </c>
      <c r="N72" s="8">
        <f t="shared" ref="N72:O72" si="165">IF(T72=0,0,(IF(T72&gt;6,6,(IF(T72&lt;1,1,T72)))))</f>
        <v>3</v>
      </c>
      <c r="O72" s="8">
        <f t="shared" si="165"/>
        <v>5</v>
      </c>
      <c r="P72" s="8">
        <f t="shared" si="118"/>
        <v>6</v>
      </c>
      <c r="Q72" s="8"/>
      <c r="R72" s="7">
        <f>IFERROR((VLOOKUP($BP$1&amp;D13,Teams!D:M,2,0)+AL72+AD72),0)</f>
        <v>5</v>
      </c>
      <c r="S72" s="7">
        <f>IFERROR((VLOOKUP($BP$1&amp;D13,Teams!D:M,3,0)+AM72+AE72),0)</f>
        <v>1</v>
      </c>
      <c r="T72" s="7">
        <f>IFERROR((VLOOKUP($BP$1&amp;D13,Teams!D:M,4,0)+AN72-AF72),0)</f>
        <v>3</v>
      </c>
      <c r="U72" s="7">
        <f>IFERROR((VLOOKUP($BP$1&amp;D13,Teams!D:M,5,0)+AO72-AG72),0)</f>
        <v>5</v>
      </c>
      <c r="V72" s="7">
        <f>IFERROR((VLOOKUP($BP$1&amp;D13,Teams!D:M,6,0)+AP72+AH72),0)</f>
        <v>6</v>
      </c>
      <c r="W72" s="8"/>
      <c r="X72" s="8">
        <f>IFERROR((VLOOKUP($BP$1&amp;D13,Teams!D:M,2,0)),0)</f>
        <v>5</v>
      </c>
      <c r="Y72" s="8">
        <f>IFERROR((VLOOKUP($BP$1&amp;D13,Teams!D:M,3,0)),0)</f>
        <v>1</v>
      </c>
      <c r="Z72" s="8">
        <f>IFERROR((VLOOKUP($BP$1&amp;D13,Teams!D:M,4,0)),0)</f>
        <v>3</v>
      </c>
      <c r="AA72" s="8">
        <f>IFERROR((VLOOKUP($BP$1&amp;D13,Teams!D:M,5,0)),0)</f>
        <v>5</v>
      </c>
      <c r="AB72" s="8">
        <f>IFERROR((VLOOKUP($BP$1&amp;D13,Teams!D:M,6,0)),0)</f>
        <v>6</v>
      </c>
      <c r="AC72" s="8"/>
      <c r="AD72" s="8">
        <f t="shared" si="119"/>
        <v>0</v>
      </c>
      <c r="AE72" s="8">
        <f t="shared" si="120"/>
        <v>0</v>
      </c>
      <c r="AF72" s="8">
        <f t="shared" si="121"/>
        <v>0</v>
      </c>
      <c r="AG72" s="8">
        <f t="shared" si="122"/>
        <v>0</v>
      </c>
      <c r="AH72" s="8">
        <f t="shared" si="123"/>
        <v>0</v>
      </c>
      <c r="AI72" s="8"/>
      <c r="AJ72" s="8">
        <v>1</v>
      </c>
      <c r="AK72" s="8"/>
      <c r="AL72" s="7">
        <f t="shared" ref="AL72:AM72" si="166">AL48</f>
        <v>0</v>
      </c>
      <c r="AM72" s="7">
        <f t="shared" si="166"/>
        <v>0</v>
      </c>
      <c r="AN72" s="7">
        <f t="shared" si="125"/>
        <v>0</v>
      </c>
      <c r="AO72" s="7">
        <f t="shared" si="126"/>
        <v>0</v>
      </c>
      <c r="AP72" s="7">
        <f t="shared" si="127"/>
        <v>0</v>
      </c>
      <c r="AQ72" s="8"/>
      <c r="AR72" s="8"/>
      <c r="AS72" s="7">
        <v>1010000</v>
      </c>
      <c r="AT72" s="7"/>
      <c r="AU72" s="7"/>
      <c r="AV72" s="7"/>
      <c r="AW72" s="7"/>
      <c r="AX72" s="7"/>
      <c r="AY72" s="8"/>
      <c r="AZ72" s="8">
        <v>10</v>
      </c>
      <c r="BA72" s="7">
        <v>40000</v>
      </c>
      <c r="BB72" s="8">
        <f>SUM(AS2:AS17)</f>
        <v>5</v>
      </c>
      <c r="BC72" s="8"/>
      <c r="BD72" s="8"/>
      <c r="BE72" s="55"/>
      <c r="BF72" s="55"/>
      <c r="BI72" s="54"/>
      <c r="BJ72" s="55"/>
      <c r="BL72" s="8"/>
      <c r="BN72" s="8"/>
      <c r="BO72" s="8"/>
      <c r="BP72" s="203" t="s">
        <v>1760</v>
      </c>
      <c r="BQ72" s="277">
        <v>50000</v>
      </c>
      <c r="BS72" s="203" t="s">
        <v>1345</v>
      </c>
      <c r="BT72" s="119" t="str">
        <f>IF($K$25="Español","Perseguir",(IF($K$25="Deutsch","Manndeckung",(IF($K$25="Français","Lutte","Pro")))))</f>
        <v>Pro</v>
      </c>
      <c r="BU72" s="8" t="s">
        <v>196</v>
      </c>
      <c r="BV72" s="119" t="str">
        <f>IF($K$25="Español","Perseguir",(IF($K$25="Deutsch","Manndeckung",(IF($K$25="Français","Lutte","Pro")))))</f>
        <v>Pro</v>
      </c>
      <c r="BW72" s="8" t="s">
        <v>196</v>
      </c>
      <c r="BX72" s="119" t="str">
        <f>IF($K$25="Español","Perseguir",(IF($K$25="Deutsch","Manndeckung",(IF($K$25="Français","Lutte","Pro")))))</f>
        <v>Pro</v>
      </c>
      <c r="BY72" s="8" t="s">
        <v>196</v>
      </c>
      <c r="BZ72" s="119" t="str">
        <f>IF($K$25="Español","Perseguir",(IF($K$25="Deutsch","Manndeckung",(IF($K$25="Français","Lutte","Pro")))))</f>
        <v>Pro</v>
      </c>
      <c r="CA72" s="8" t="s">
        <v>196</v>
      </c>
      <c r="CB72" s="197" t="str">
        <f>IF($J$24="Español","FU+",(IF($J$24="Deutsch","ST+",(IF($J$24="Français","F+","ST+")))))</f>
        <v>ST+</v>
      </c>
      <c r="CC72" s="197" t="s">
        <v>205</v>
      </c>
      <c r="CD72" s="119" t="str">
        <f>IF($K$25="Español","Placaje Defensivo",(IF($K$25="Deutsch","Profi",(IF($K$25="Français","Parade","Shadowing")))))</f>
        <v>Shadowing</v>
      </c>
      <c r="CE72" s="8" t="s">
        <v>196</v>
      </c>
      <c r="CG72" s="8"/>
      <c r="CH72" s="223" t="str">
        <f t="shared" si="128"/>
        <v/>
      </c>
      <c r="CI72" s="223" t="str">
        <f t="shared" si="145"/>
        <v>Pro</v>
      </c>
      <c r="CJ72" s="51" t="str">
        <f t="shared" si="129"/>
        <v>Pro</v>
      </c>
      <c r="CK72" s="51" t="str">
        <f t="shared" si="130"/>
        <v>Pro</v>
      </c>
      <c r="CL72" s="51" t="str">
        <f t="shared" si="131"/>
        <v>Pro</v>
      </c>
      <c r="CM72" s="51" t="str">
        <f t="shared" si="132"/>
        <v>Pro</v>
      </c>
      <c r="CN72" s="51" t="str">
        <f t="shared" si="133"/>
        <v>Pro</v>
      </c>
      <c r="CO72" s="51" t="str">
        <f t="shared" si="134"/>
        <v>Pro</v>
      </c>
      <c r="CP72" s="51" t="str">
        <f t="shared" si="135"/>
        <v>Pro</v>
      </c>
      <c r="CQ72" s="51" t="str">
        <f t="shared" si="136"/>
        <v>Pro</v>
      </c>
      <c r="CR72" s="51" t="str">
        <f t="shared" si="137"/>
        <v/>
      </c>
      <c r="CS72" s="51" t="str">
        <f t="shared" si="138"/>
        <v>Pro</v>
      </c>
      <c r="CT72" s="51" t="str">
        <f t="shared" si="139"/>
        <v>Pro</v>
      </c>
      <c r="CU72" s="51" t="str">
        <f t="shared" si="140"/>
        <v/>
      </c>
      <c r="CV72" s="51" t="str">
        <f t="shared" si="141"/>
        <v/>
      </c>
      <c r="CW72" s="51" t="str">
        <f t="shared" si="142"/>
        <v/>
      </c>
      <c r="DA72" s="8"/>
    </row>
    <row r="73" spans="1:105" ht="15" hidden="1" customHeight="1" x14ac:dyDescent="0.2">
      <c r="A73" s="8"/>
      <c r="B73" s="38"/>
      <c r="C73" s="38"/>
      <c r="D73" s="38"/>
      <c r="E73" s="38"/>
      <c r="F73" s="38"/>
      <c r="G73" s="38"/>
      <c r="H73" s="8"/>
      <c r="I73" s="8"/>
      <c r="J73" s="8"/>
      <c r="K73" s="8"/>
      <c r="L73" s="8">
        <f t="shared" si="115"/>
        <v>5</v>
      </c>
      <c r="M73" s="8">
        <f t="shared" si="116"/>
        <v>1</v>
      </c>
      <c r="N73" s="8">
        <f t="shared" ref="N73:O73" si="167">IF(T73=0,0,(IF(T73&gt;6,6,(IF(T73&lt;1,1,T73)))))</f>
        <v>3</v>
      </c>
      <c r="O73" s="8">
        <f t="shared" si="167"/>
        <v>5</v>
      </c>
      <c r="P73" s="8">
        <f t="shared" si="118"/>
        <v>6</v>
      </c>
      <c r="Q73" s="8"/>
      <c r="R73" s="7">
        <f>IFERROR((VLOOKUP($BP$1&amp;D14,Teams!D:M,2,0)+AL73+AD73),0)</f>
        <v>5</v>
      </c>
      <c r="S73" s="7">
        <f>IFERROR((VLOOKUP($BP$1&amp;D14,Teams!D:M,3,0)+AM73+AE73),0)</f>
        <v>1</v>
      </c>
      <c r="T73" s="7">
        <f>IFERROR((VLOOKUP($BP$1&amp;D14,Teams!D:M,4,0)+AN73-AF73),0)</f>
        <v>3</v>
      </c>
      <c r="U73" s="7">
        <f>IFERROR((VLOOKUP($BP$1&amp;D14,Teams!D:M,5,0)+AO73-AG73),0)</f>
        <v>5</v>
      </c>
      <c r="V73" s="7">
        <f>IFERROR((VLOOKUP($BP$1&amp;D14,Teams!D:M,6,0)+AP73+AH73),0)</f>
        <v>6</v>
      </c>
      <c r="W73" s="8"/>
      <c r="X73" s="8">
        <f>IFERROR((VLOOKUP($BP$1&amp;D14,Teams!D:M,2,0)),0)</f>
        <v>5</v>
      </c>
      <c r="Y73" s="8">
        <f>IFERROR((VLOOKUP($BP$1&amp;D14,Teams!D:M,3,0)),0)</f>
        <v>1</v>
      </c>
      <c r="Z73" s="8">
        <f>IFERROR((VLOOKUP($BP$1&amp;D14,Teams!D:M,4,0)),0)</f>
        <v>3</v>
      </c>
      <c r="AA73" s="8">
        <f>IFERROR((VLOOKUP($BP$1&amp;D14,Teams!D:M,5,0)),0)</f>
        <v>5</v>
      </c>
      <c r="AB73" s="8">
        <f>IFERROR((VLOOKUP($BP$1&amp;D14,Teams!D:M,6,0)),0)</f>
        <v>6</v>
      </c>
      <c r="AC73" s="8"/>
      <c r="AD73" s="8">
        <f t="shared" si="119"/>
        <v>0</v>
      </c>
      <c r="AE73" s="8">
        <f t="shared" si="120"/>
        <v>0</v>
      </c>
      <c r="AF73" s="8">
        <f t="shared" si="121"/>
        <v>0</v>
      </c>
      <c r="AG73" s="8">
        <f t="shared" si="122"/>
        <v>0</v>
      </c>
      <c r="AH73" s="8">
        <f t="shared" si="123"/>
        <v>0</v>
      </c>
      <c r="AI73" s="8"/>
      <c r="AJ73" s="8">
        <v>-1</v>
      </c>
      <c r="AK73" s="8"/>
      <c r="AL73" s="7">
        <f t="shared" ref="AL73:AM73" si="168">AL49</f>
        <v>0</v>
      </c>
      <c r="AM73" s="7">
        <f t="shared" si="168"/>
        <v>0</v>
      </c>
      <c r="AN73" s="7">
        <f t="shared" si="125"/>
        <v>0</v>
      </c>
      <c r="AO73" s="7">
        <f t="shared" si="126"/>
        <v>0</v>
      </c>
      <c r="AP73" s="7">
        <f t="shared" si="127"/>
        <v>0</v>
      </c>
      <c r="AQ73" s="8"/>
      <c r="AR73" s="8"/>
      <c r="AS73" s="7">
        <v>1020000</v>
      </c>
      <c r="AT73" s="7"/>
      <c r="AU73" s="7"/>
      <c r="AV73" s="7"/>
      <c r="AW73" s="7"/>
      <c r="AX73" s="7"/>
      <c r="AY73" s="8"/>
      <c r="AZ73" s="8">
        <v>11</v>
      </c>
      <c r="BA73" s="7">
        <v>50000</v>
      </c>
      <c r="BB73" s="10" t="s">
        <v>251</v>
      </c>
      <c r="BC73" s="8"/>
      <c r="BD73" s="8"/>
      <c r="BE73" s="55"/>
      <c r="BF73" s="55"/>
      <c r="BI73" s="54"/>
      <c r="BJ73" s="55"/>
      <c r="BL73" s="8"/>
      <c r="BN73" s="8"/>
      <c r="BO73" s="8"/>
      <c r="BP73" s="54" t="s">
        <v>1825</v>
      </c>
      <c r="BQ73" s="55">
        <v>150000</v>
      </c>
      <c r="BS73" s="203" t="s">
        <v>1346</v>
      </c>
      <c r="BT73" s="119" t="str">
        <f>IF($K$25="Español","Placaje Defensivo",(IF($K$25="Deutsch","Profi",(IF($K$25="Français","Parade","Shadowing")))))</f>
        <v>Shadowing</v>
      </c>
      <c r="BU73" s="8" t="s">
        <v>196</v>
      </c>
      <c r="BV73" s="119" t="str">
        <f>IF($K$25="Español","Placaje Defensivo",(IF($K$25="Deutsch","Profi",(IF($K$25="Français","Parade","Shadowing")))))</f>
        <v>Shadowing</v>
      </c>
      <c r="BW73" s="8" t="s">
        <v>196</v>
      </c>
      <c r="BX73" s="119" t="str">
        <f>IF($K$25="Español","Placaje Defensivo",(IF($K$25="Deutsch","Profi",(IF($K$25="Français","Parade","Shadowing")))))</f>
        <v>Shadowing</v>
      </c>
      <c r="BY73" s="8" t="s">
        <v>196</v>
      </c>
      <c r="BZ73" s="119" t="str">
        <f>IF($K$25="Español","Placaje Defensivo",(IF($K$25="Deutsch","Profi",(IF($K$25="Français","Parade","Shadowing")))))</f>
        <v>Shadowing</v>
      </c>
      <c r="CA73" s="8" t="s">
        <v>196</v>
      </c>
      <c r="CB73" s="274" t="str">
        <f>IF($J$24="Español","Echarse a un Lado",(IF($J$24="Deutsch","Ausweichen",(IF($J$24="Français","Équilibre","Diving Catch")))))</f>
        <v>Diving Catch</v>
      </c>
      <c r="CC73" s="197" t="s">
        <v>197</v>
      </c>
      <c r="CD73" s="119" t="str">
        <f>IF($K$25="Español","Placar",(IF($K$25="Deutsch","Rasend",(IF($K$25="Français","Poursuite","Strip Ball")))))</f>
        <v>Strip Ball</v>
      </c>
      <c r="CE73" s="8" t="s">
        <v>196</v>
      </c>
      <c r="CG73" s="8"/>
      <c r="CH73" s="223" t="str">
        <f t="shared" si="128"/>
        <v/>
      </c>
      <c r="CI73" s="223" t="str">
        <f t="shared" si="145"/>
        <v>Shadowing</v>
      </c>
      <c r="CJ73" s="51" t="str">
        <f t="shared" si="129"/>
        <v>Shadowing</v>
      </c>
      <c r="CK73" s="51" t="str">
        <f t="shared" si="130"/>
        <v>Shadowing</v>
      </c>
      <c r="CL73" s="51" t="str">
        <f t="shared" si="131"/>
        <v>Shadowing</v>
      </c>
      <c r="CM73" s="51" t="str">
        <f t="shared" si="132"/>
        <v>Shadowing</v>
      </c>
      <c r="CN73" s="51" t="str">
        <f t="shared" si="133"/>
        <v>Shadowing</v>
      </c>
      <c r="CO73" s="51" t="str">
        <f t="shared" si="134"/>
        <v>Shadowing</v>
      </c>
      <c r="CP73" s="51" t="str">
        <f t="shared" si="135"/>
        <v>Shadowing</v>
      </c>
      <c r="CQ73" s="51" t="str">
        <f t="shared" si="136"/>
        <v>Shadowing</v>
      </c>
      <c r="CR73" s="51" t="str">
        <f t="shared" si="137"/>
        <v/>
      </c>
      <c r="CS73" s="51" t="str">
        <f t="shared" si="138"/>
        <v>Shadowing</v>
      </c>
      <c r="CT73" s="51" t="str">
        <f t="shared" si="139"/>
        <v>Shadowing</v>
      </c>
      <c r="CU73" s="51" t="str">
        <f t="shared" si="140"/>
        <v/>
      </c>
      <c r="CV73" s="51" t="str">
        <f t="shared" si="141"/>
        <v/>
      </c>
      <c r="CW73" s="51" t="str">
        <f t="shared" si="142"/>
        <v/>
      </c>
      <c r="DA73" s="8"/>
    </row>
    <row r="74" spans="1:105" ht="15" hidden="1" customHeight="1" x14ac:dyDescent="0.2">
      <c r="A74" s="8"/>
      <c r="B74" s="8"/>
      <c r="C74" s="8"/>
      <c r="D74" s="8"/>
      <c r="E74" s="8"/>
      <c r="F74" s="8"/>
      <c r="G74" s="8"/>
      <c r="H74" s="8"/>
      <c r="I74" s="8"/>
      <c r="J74" s="8"/>
      <c r="K74" s="8"/>
      <c r="L74" s="8">
        <f t="shared" si="115"/>
        <v>0</v>
      </c>
      <c r="M74" s="8">
        <f t="shared" si="116"/>
        <v>0</v>
      </c>
      <c r="N74" s="8">
        <f t="shared" ref="N74:O74" si="169">IF(T74=0,0,(IF(T74&gt;6,6,(IF(T74&lt;1,1,T74)))))</f>
        <v>0</v>
      </c>
      <c r="O74" s="8">
        <f t="shared" si="169"/>
        <v>0</v>
      </c>
      <c r="P74" s="8">
        <f t="shared" si="118"/>
        <v>0</v>
      </c>
      <c r="Q74" s="8"/>
      <c r="R74" s="7">
        <f>IFERROR((VLOOKUP($BP$1&amp;D15,Teams!D:M,2,0)+AL74+AD74),0)</f>
        <v>0</v>
      </c>
      <c r="S74" s="7">
        <f>IFERROR((VLOOKUP($BP$1&amp;D15,Teams!D:M,3,0)+AM74+AE74),0)</f>
        <v>0</v>
      </c>
      <c r="T74" s="7">
        <f>IFERROR((VLOOKUP($BP$1&amp;D15,Teams!D:M,4,0)+AN74-AF74),0)</f>
        <v>0</v>
      </c>
      <c r="U74" s="7">
        <f>IFERROR((VLOOKUP($BP$1&amp;D15,Teams!D:M,5,0)+AO74-AG74),0)</f>
        <v>0</v>
      </c>
      <c r="V74" s="7">
        <f>IFERROR((VLOOKUP($BP$1&amp;D15,Teams!D:M,6,0)+AP74+AH74),0)</f>
        <v>0</v>
      </c>
      <c r="W74" s="8"/>
      <c r="X74" s="8">
        <f>IFERROR((VLOOKUP($BP$1&amp;D15,Teams!D:M,2,0)),0)</f>
        <v>0</v>
      </c>
      <c r="Y74" s="8">
        <f>IFERROR((VLOOKUP($BP$1&amp;D15,Teams!D:M,3,0)),0)</f>
        <v>0</v>
      </c>
      <c r="Z74" s="8">
        <f>IFERROR((VLOOKUP($BP$1&amp;D15,Teams!D:M,4,0)),0)</f>
        <v>0</v>
      </c>
      <c r="AA74" s="8">
        <f>IFERROR((VLOOKUP($BP$1&amp;D15,Teams!D:M,5,0)),0)</f>
        <v>0</v>
      </c>
      <c r="AB74" s="8">
        <f>IFERROR((VLOOKUP($BP$1&amp;D15,Teams!D:M,6,0)),0)</f>
        <v>0</v>
      </c>
      <c r="AC74" s="8"/>
      <c r="AD74" s="8">
        <f t="shared" si="119"/>
        <v>0</v>
      </c>
      <c r="AE74" s="8">
        <f t="shared" si="120"/>
        <v>0</v>
      </c>
      <c r="AF74" s="8">
        <f t="shared" si="121"/>
        <v>0</v>
      </c>
      <c r="AG74" s="8">
        <f t="shared" si="122"/>
        <v>0</v>
      </c>
      <c r="AH74" s="8">
        <f t="shared" si="123"/>
        <v>0</v>
      </c>
      <c r="AI74" s="8"/>
      <c r="AJ74" s="8">
        <v>-2</v>
      </c>
      <c r="AK74" s="8"/>
      <c r="AL74" s="7">
        <f t="shared" ref="AL74:AM74" si="170">AL50</f>
        <v>0</v>
      </c>
      <c r="AM74" s="7">
        <f t="shared" si="170"/>
        <v>0</v>
      </c>
      <c r="AN74" s="7">
        <f t="shared" si="125"/>
        <v>0</v>
      </c>
      <c r="AO74" s="7">
        <f t="shared" si="126"/>
        <v>0</v>
      </c>
      <c r="AP74" s="7">
        <f t="shared" si="127"/>
        <v>0</v>
      </c>
      <c r="AQ74" s="8"/>
      <c r="AR74" s="8"/>
      <c r="AS74" s="7">
        <v>1030000</v>
      </c>
      <c r="AT74" s="7"/>
      <c r="AU74" s="7"/>
      <c r="AV74" s="7"/>
      <c r="AW74" s="7"/>
      <c r="AX74" s="7"/>
      <c r="AY74" s="8"/>
      <c r="AZ74" s="8">
        <v>12</v>
      </c>
      <c r="BA74" s="7">
        <v>60000</v>
      </c>
      <c r="BB74" s="8">
        <f>VLOOKUP(BP1,BM:BS,7,FALSE)</f>
        <v>6</v>
      </c>
      <c r="BC74" s="8"/>
      <c r="BD74" s="8"/>
      <c r="BE74" s="55"/>
      <c r="BF74" s="55"/>
      <c r="BI74" s="54"/>
      <c r="BJ74" s="55"/>
      <c r="BL74" s="8"/>
      <c r="BN74" s="8"/>
      <c r="BO74" s="8"/>
      <c r="BP74" s="8"/>
      <c r="BR74" s="8"/>
      <c r="BS74" s="203" t="s">
        <v>1347</v>
      </c>
      <c r="BT74" s="119" t="str">
        <f>IF($K$25="Español","Placar",(IF($K$25="Deutsch","Rasend",(IF($K$25="Français","Poursuite","Strip Ball")))))</f>
        <v>Strip Ball</v>
      </c>
      <c r="BU74" s="8" t="s">
        <v>196</v>
      </c>
      <c r="BV74" s="119" t="str">
        <f>IF($K$25="Español","Placar",(IF($K$25="Deutsch","Rasend",(IF($K$25="Français","Poursuite","Strip Ball")))))</f>
        <v>Strip Ball</v>
      </c>
      <c r="BW74" s="8" t="s">
        <v>196</v>
      </c>
      <c r="BX74" s="119" t="str">
        <f>IF($K$25="Español","Placar",(IF($K$25="Deutsch","Rasend",(IF($K$25="Français","Poursuite","Strip Ball")))))</f>
        <v>Strip Ball</v>
      </c>
      <c r="BY74" s="8" t="s">
        <v>196</v>
      </c>
      <c r="BZ74" s="119" t="str">
        <f>IF($K$25="Español","Placar",(IF($K$25="Deutsch","Rasend",(IF($K$25="Français","Poursuite","Strip Ball")))))</f>
        <v>Strip Ball</v>
      </c>
      <c r="CA74" s="8" t="s">
        <v>196</v>
      </c>
      <c r="CB74" s="274" t="str">
        <f>IF($J$24="Español","En Pie de un Salto",(IF($J$24="Deutsch","Fangsicher",(IF($J$24="Français","Esquive","Diving Tackle")))))</f>
        <v>Diving Tackle</v>
      </c>
      <c r="CC74" s="197" t="s">
        <v>197</v>
      </c>
      <c r="CD74" s="119" t="str">
        <f>IF($K$25="Español","Profesional",(IF($K$25="Deutsch","Tackle",(IF($K$25="Français","Prise sûre","Sure Hands")))))</f>
        <v>Sure Hands</v>
      </c>
      <c r="CE74" s="8" t="s">
        <v>196</v>
      </c>
      <c r="CG74" s="8"/>
      <c r="CH74" s="223" t="str">
        <f t="shared" si="128"/>
        <v/>
      </c>
      <c r="CI74" s="223" t="str">
        <f t="shared" si="145"/>
        <v>Strip Ball</v>
      </c>
      <c r="CJ74" s="51" t="str">
        <f t="shared" si="129"/>
        <v>Strip Ball</v>
      </c>
      <c r="CK74" s="51" t="str">
        <f t="shared" si="130"/>
        <v>Strip Ball</v>
      </c>
      <c r="CL74" s="51" t="str">
        <f t="shared" si="131"/>
        <v>Strip Ball</v>
      </c>
      <c r="CM74" s="51" t="str">
        <f t="shared" si="132"/>
        <v>Strip Ball</v>
      </c>
      <c r="CN74" s="51" t="str">
        <f t="shared" si="133"/>
        <v>Strip Ball</v>
      </c>
      <c r="CO74" s="51" t="str">
        <f t="shared" si="134"/>
        <v>Strip Ball</v>
      </c>
      <c r="CP74" s="51" t="str">
        <f t="shared" si="135"/>
        <v>Strip Ball</v>
      </c>
      <c r="CQ74" s="51" t="str">
        <f t="shared" si="136"/>
        <v>Strip Ball</v>
      </c>
      <c r="CR74" s="51" t="str">
        <f t="shared" si="137"/>
        <v/>
      </c>
      <c r="CS74" s="51" t="str">
        <f t="shared" si="138"/>
        <v>Strip Ball</v>
      </c>
      <c r="CT74" s="51" t="str">
        <f t="shared" si="139"/>
        <v>Strip Ball</v>
      </c>
      <c r="CU74" s="51" t="str">
        <f t="shared" si="140"/>
        <v/>
      </c>
      <c r="CV74" s="51" t="str">
        <f t="shared" si="141"/>
        <v/>
      </c>
      <c r="CW74" s="51" t="str">
        <f t="shared" si="142"/>
        <v/>
      </c>
      <c r="DA74" s="8"/>
    </row>
    <row r="75" spans="1:105" ht="15" hidden="1" customHeight="1" x14ac:dyDescent="0.2">
      <c r="A75" s="8"/>
      <c r="B75" s="8"/>
      <c r="C75" s="8"/>
      <c r="D75" s="8"/>
      <c r="E75" s="8"/>
      <c r="F75" s="8"/>
      <c r="G75" s="8"/>
      <c r="H75" s="8"/>
      <c r="I75" s="8"/>
      <c r="J75" s="8"/>
      <c r="K75" s="8"/>
      <c r="L75" s="8">
        <f t="shared" si="115"/>
        <v>0</v>
      </c>
      <c r="M75" s="8">
        <f t="shared" si="116"/>
        <v>0</v>
      </c>
      <c r="N75" s="8">
        <f t="shared" ref="N75:O75" si="171">IF(T75=0,0,(IF(T75&gt;6,6,(IF(T75&lt;1,1,T75)))))</f>
        <v>0</v>
      </c>
      <c r="O75" s="8">
        <f t="shared" si="171"/>
        <v>0</v>
      </c>
      <c r="P75" s="8">
        <f t="shared" si="118"/>
        <v>0</v>
      </c>
      <c r="Q75" s="8"/>
      <c r="R75" s="7">
        <f>IFERROR((VLOOKUP($BP$1&amp;D16,Teams!D:M,2,0)+AL75+AD75),0)</f>
        <v>0</v>
      </c>
      <c r="S75" s="7">
        <f>IFERROR((VLOOKUP($BP$1&amp;D16,Teams!D:M,3,0)+AM75+AE75),0)</f>
        <v>0</v>
      </c>
      <c r="T75" s="7">
        <f>IFERROR((VLOOKUP($BP$1&amp;D16,Teams!D:M,4,0)+AN75-AF75),0)</f>
        <v>0</v>
      </c>
      <c r="U75" s="7">
        <f>IFERROR((VLOOKUP($BP$1&amp;D16,Teams!D:M,5,0)+AO75-AG75),0)</f>
        <v>0</v>
      </c>
      <c r="V75" s="7">
        <f>IFERROR((VLOOKUP($BP$1&amp;D16,Teams!D:M,6,0)+AP75+AH75),0)</f>
        <v>0</v>
      </c>
      <c r="W75" s="8"/>
      <c r="X75" s="8">
        <f>IFERROR((VLOOKUP($BP$1&amp;D16,Teams!D:M,2,0)),0)</f>
        <v>0</v>
      </c>
      <c r="Y75" s="8">
        <f>IFERROR((VLOOKUP($BP$1&amp;D16,Teams!D:M,3,0)),0)</f>
        <v>0</v>
      </c>
      <c r="Z75" s="8">
        <f>IFERROR((VLOOKUP($BP$1&amp;D16,Teams!D:M,4,0)),0)</f>
        <v>0</v>
      </c>
      <c r="AA75" s="8">
        <f>IFERROR((VLOOKUP($BP$1&amp;D16,Teams!D:M,5,0)),0)</f>
        <v>0</v>
      </c>
      <c r="AB75" s="8">
        <f>IFERROR((VLOOKUP($BP$1&amp;D16,Teams!D:M,6,0)),0)</f>
        <v>0</v>
      </c>
      <c r="AC75" s="8"/>
      <c r="AD75" s="8">
        <f t="shared" si="119"/>
        <v>0</v>
      </c>
      <c r="AE75" s="8">
        <f t="shared" si="120"/>
        <v>0</v>
      </c>
      <c r="AF75" s="8">
        <f t="shared" si="121"/>
        <v>0</v>
      </c>
      <c r="AG75" s="8">
        <f t="shared" si="122"/>
        <v>0</v>
      </c>
      <c r="AH75" s="8">
        <f t="shared" si="123"/>
        <v>0</v>
      </c>
      <c r="AI75" s="8"/>
      <c r="AJ75" s="8">
        <v>-3</v>
      </c>
      <c r="AK75" s="8"/>
      <c r="AL75" s="7">
        <f t="shared" ref="AL75:AM75" si="172">AL51</f>
        <v>0</v>
      </c>
      <c r="AM75" s="7">
        <f t="shared" si="172"/>
        <v>0</v>
      </c>
      <c r="AN75" s="7">
        <f t="shared" si="125"/>
        <v>0</v>
      </c>
      <c r="AO75" s="7">
        <f t="shared" si="126"/>
        <v>0</v>
      </c>
      <c r="AP75" s="7">
        <f t="shared" si="127"/>
        <v>0</v>
      </c>
      <c r="AQ75" s="8"/>
      <c r="AR75" s="8"/>
      <c r="AS75" s="7">
        <v>1040000</v>
      </c>
      <c r="AT75" s="7"/>
      <c r="AU75" s="7"/>
      <c r="AV75" s="7"/>
      <c r="AW75" s="7"/>
      <c r="AX75" s="7"/>
      <c r="AY75" s="8"/>
      <c r="AZ75" s="8">
        <v>13</v>
      </c>
      <c r="BA75" s="7">
        <v>70000</v>
      </c>
      <c r="BB75" s="10" t="s">
        <v>252</v>
      </c>
      <c r="BC75" s="8"/>
      <c r="BD75" s="8"/>
      <c r="BE75" s="55"/>
      <c r="BF75" s="55"/>
      <c r="BI75" s="54"/>
      <c r="BJ75" s="55"/>
      <c r="BL75" s="8"/>
      <c r="BN75" s="8"/>
      <c r="BO75" s="8"/>
      <c r="BP75" s="8"/>
      <c r="BS75" s="203" t="s">
        <v>1348</v>
      </c>
      <c r="BT75" s="119" t="str">
        <f>IF($K$25="Español","Profesional",(IF($K$25="Deutsch","Tackle",(IF($K$25="Français","Prise sûre","Sure Hands")))))</f>
        <v>Sure Hands</v>
      </c>
      <c r="BU75" s="8" t="s">
        <v>196</v>
      </c>
      <c r="BV75" s="119" t="str">
        <f>IF($K$25="Español","Profesional",(IF($K$25="Deutsch","Tackle",(IF($K$25="Français","Prise sûre","Sure Hands")))))</f>
        <v>Sure Hands</v>
      </c>
      <c r="BW75" s="8" t="s">
        <v>196</v>
      </c>
      <c r="BX75" s="119" t="str">
        <f>IF($K$25="Español","Profesional",(IF($K$25="Deutsch","Tackle",(IF($K$25="Français","Prise sûre","Sure Hands")))))</f>
        <v>Sure Hands</v>
      </c>
      <c r="BY75" s="8" t="s">
        <v>196</v>
      </c>
      <c r="BZ75" s="119" t="str">
        <f>IF($K$25="Español","Profesional",(IF($K$25="Deutsch","Tackle",(IF($K$25="Français","Prise sûre","Sure Hands")))))</f>
        <v>Sure Hands</v>
      </c>
      <c r="CA75" s="8" t="s">
        <v>196</v>
      </c>
      <c r="CB75" s="274" t="str">
        <f>IF($J$24="Español","Esprintar",(IF($J$24="Deutsch","Fliegender Tackle",(IF($J$24="Français","Glissade contrôlée","Dodge")))))</f>
        <v>Dodge</v>
      </c>
      <c r="CC75" s="197" t="s">
        <v>197</v>
      </c>
      <c r="CD75" s="119" t="str">
        <f>IF($K$25="Español","Robar Balón",(IF($K$25="Deutsch","Unerschrocken",(IF($K$25="Français","Pro","Tackle")))))</f>
        <v>Tackle</v>
      </c>
      <c r="CE75" s="8" t="s">
        <v>196</v>
      </c>
      <c r="CG75" s="8"/>
      <c r="CH75" s="223" t="str">
        <f t="shared" si="128"/>
        <v/>
      </c>
      <c r="CI75" s="223" t="str">
        <f t="shared" si="145"/>
        <v>Sure Hands</v>
      </c>
      <c r="CJ75" s="51" t="str">
        <f t="shared" si="129"/>
        <v>Sure Hands</v>
      </c>
      <c r="CK75" s="51" t="str">
        <f t="shared" si="130"/>
        <v>Sure Hands</v>
      </c>
      <c r="CL75" s="51" t="str">
        <f t="shared" si="131"/>
        <v>Sure Hands</v>
      </c>
      <c r="CM75" s="51" t="str">
        <f t="shared" si="132"/>
        <v>Sure Hands</v>
      </c>
      <c r="CN75" s="51" t="str">
        <f t="shared" si="133"/>
        <v>Sure Hands</v>
      </c>
      <c r="CO75" s="51" t="str">
        <f t="shared" si="134"/>
        <v>Sure Hands</v>
      </c>
      <c r="CP75" s="51" t="str">
        <f t="shared" si="135"/>
        <v>Sure Hands</v>
      </c>
      <c r="CQ75" s="51" t="str">
        <f t="shared" si="136"/>
        <v>Sure Hands</v>
      </c>
      <c r="CR75" s="51" t="str">
        <f t="shared" si="137"/>
        <v/>
      </c>
      <c r="CS75" s="51" t="str">
        <f t="shared" si="138"/>
        <v>Sure Hands</v>
      </c>
      <c r="CT75" s="51" t="str">
        <f t="shared" si="139"/>
        <v>Sure Hands</v>
      </c>
      <c r="CU75" s="51" t="str">
        <f t="shared" si="140"/>
        <v/>
      </c>
      <c r="CV75" s="51" t="str">
        <f t="shared" si="141"/>
        <v/>
      </c>
      <c r="CW75" s="51" t="str">
        <f t="shared" si="142"/>
        <v/>
      </c>
      <c r="DA75" s="8"/>
    </row>
    <row r="76" spans="1:105" ht="15" hidden="1" customHeight="1" x14ac:dyDescent="0.2">
      <c r="A76" s="8"/>
      <c r="B76" s="8"/>
      <c r="C76" s="8"/>
      <c r="D76" s="8"/>
      <c r="E76" s="8"/>
      <c r="F76" s="8"/>
      <c r="G76" s="8"/>
      <c r="H76" s="8"/>
      <c r="I76" s="8"/>
      <c r="J76" s="8"/>
      <c r="K76" s="8"/>
      <c r="L76" s="8">
        <f t="shared" si="115"/>
        <v>0</v>
      </c>
      <c r="M76" s="8">
        <f t="shared" si="116"/>
        <v>0</v>
      </c>
      <c r="N76" s="8">
        <f t="shared" ref="N76:O76" si="173">IF(T76=0,0,(IF(T76&gt;6,6,(IF(T76&lt;1,1,T76)))))</f>
        <v>0</v>
      </c>
      <c r="O76" s="8">
        <f t="shared" si="173"/>
        <v>0</v>
      </c>
      <c r="P76" s="8">
        <f t="shared" si="118"/>
        <v>0</v>
      </c>
      <c r="Q76" s="8"/>
      <c r="R76" s="7">
        <f>IFERROR((VLOOKUP($BP$1&amp;D17,Teams!D:M,2,0)+AL76+AD76),0)</f>
        <v>0</v>
      </c>
      <c r="S76" s="7">
        <f>IFERROR((VLOOKUP($BP$1&amp;D17,Teams!D:M,3,0)+AM76+AE76),0)</f>
        <v>0</v>
      </c>
      <c r="T76" s="7">
        <f>IFERROR((VLOOKUP($BP$1&amp;D17,Teams!D:M,4,0)+AN76-AF76),0)</f>
        <v>0</v>
      </c>
      <c r="U76" s="7">
        <f>IFERROR((VLOOKUP($BP$1&amp;D17,Teams!D:M,5,0)+AO76-AG76),0)</f>
        <v>0</v>
      </c>
      <c r="V76" s="7">
        <f>IFERROR((VLOOKUP($BP$1&amp;D17,Teams!D:M,6,0)+AP76+AH76),0)</f>
        <v>0</v>
      </c>
      <c r="W76" s="8"/>
      <c r="X76" s="8">
        <f>IFERROR((VLOOKUP($BP$1&amp;D17,Teams!D:M,2,0)),0)</f>
        <v>0</v>
      </c>
      <c r="Y76" s="8">
        <f>IFERROR((VLOOKUP($BP$1&amp;D17,Teams!D:M,3,0)),0)</f>
        <v>0</v>
      </c>
      <c r="Z76" s="8">
        <f>IFERROR((VLOOKUP($BP$1&amp;D17,Teams!D:M,4,0)),0)</f>
        <v>0</v>
      </c>
      <c r="AA76" s="8">
        <f>IFERROR((VLOOKUP($BP$1&amp;D17,Teams!D:M,5,0)),0)</f>
        <v>0</v>
      </c>
      <c r="AB76" s="8">
        <f>IFERROR((VLOOKUP($BP$1&amp;D17,Teams!D:M,6,0)),0)</f>
        <v>0</v>
      </c>
      <c r="AC76" s="8"/>
      <c r="AD76" s="8">
        <f t="shared" si="119"/>
        <v>0</v>
      </c>
      <c r="AE76" s="8">
        <f t="shared" si="120"/>
        <v>0</v>
      </c>
      <c r="AF76" s="8">
        <f t="shared" si="121"/>
        <v>0</v>
      </c>
      <c r="AG76" s="8">
        <f t="shared" si="122"/>
        <v>0</v>
      </c>
      <c r="AH76" s="8">
        <f t="shared" si="123"/>
        <v>0</v>
      </c>
      <c r="AI76" s="8"/>
      <c r="AJ76" s="8"/>
      <c r="AK76" s="8"/>
      <c r="AL76" s="7">
        <f t="shared" ref="AL76:AM76" si="174">AL52</f>
        <v>0</v>
      </c>
      <c r="AM76" s="7">
        <f t="shared" si="174"/>
        <v>0</v>
      </c>
      <c r="AN76" s="7">
        <f t="shared" si="125"/>
        <v>0</v>
      </c>
      <c r="AO76" s="7">
        <f t="shared" si="126"/>
        <v>0</v>
      </c>
      <c r="AP76" s="7">
        <f t="shared" si="127"/>
        <v>0</v>
      </c>
      <c r="AQ76" s="8"/>
      <c r="AR76" s="8"/>
      <c r="AS76" s="7">
        <v>1050000</v>
      </c>
      <c r="AT76" s="7"/>
      <c r="AU76" s="7"/>
      <c r="AV76" s="7"/>
      <c r="AW76" s="7"/>
      <c r="AX76" s="7"/>
      <c r="AY76" s="8"/>
      <c r="AZ76" s="8">
        <v>14</v>
      </c>
      <c r="BA76" s="7">
        <v>80000</v>
      </c>
      <c r="BB76" s="8" t="str">
        <f>IFERROR((IF(BV2="Favouredof",(IF($K$25="Italiano","(sceglierne uno)",(IF($K$25="Español","(elegir uno)",(IF($K$25="Deutsch","(wähle)",(IF(K25="Français","(choisir soit)","(choose either)")))))))),"")),"")</f>
        <v/>
      </c>
      <c r="BC76" s="8"/>
      <c r="BD76" s="8"/>
      <c r="BE76" s="55"/>
      <c r="BF76" s="55"/>
      <c r="BI76" s="54"/>
      <c r="BJ76" s="55"/>
      <c r="BL76" s="8"/>
      <c r="BN76" s="8"/>
      <c r="BO76" s="8"/>
      <c r="BP76" s="8"/>
      <c r="BT76" s="119" t="str">
        <f>IF($K$25="Español","Robar Balón",(IF($K$25="Deutsch","Unerschrocken",(IF($K$25="Français","Pro","Tackle")))))</f>
        <v>Tackle</v>
      </c>
      <c r="BU76" s="8" t="s">
        <v>196</v>
      </c>
      <c r="BV76" s="119" t="str">
        <f>IF($K$25="Español","Robar Balón",(IF($K$25="Deutsch","Unerschrocken",(IF($K$25="Français","Pro","Tackle")))))</f>
        <v>Tackle</v>
      </c>
      <c r="BW76" s="8" t="s">
        <v>196</v>
      </c>
      <c r="BX76" s="119" t="str">
        <f>IF($K$25="Español","Robar Balón",(IF($K$25="Deutsch","Unerschrocken",(IF($K$25="Français","Pro","Tackle")))))</f>
        <v>Tackle</v>
      </c>
      <c r="BY76" s="8" t="s">
        <v>196</v>
      </c>
      <c r="BZ76" s="119" t="str">
        <f>IF($K$25="Español","Robar Balón",(IF($K$25="Deutsch","Unerschrocken",(IF($K$25="Français","Pro","Tackle")))))</f>
        <v>Tackle</v>
      </c>
      <c r="CA76" s="8" t="s">
        <v>196</v>
      </c>
      <c r="CB76" s="274" t="str">
        <f>IF($J$24="Español","Esquivar",(IF($J$24="Deutsch","Gewandt",(IF($J$24="Français","Libération contrôlée","Defensive")))))</f>
        <v>Defensive</v>
      </c>
      <c r="CC76" s="197" t="s">
        <v>197</v>
      </c>
      <c r="CD76" s="119" t="str">
        <f>IF($K$25="Español","Zafarse",(IF($K$25="Deutsch","Wrestling",(IF($K$25="Français","Tacle","Wrestle")))))</f>
        <v>Wrestle</v>
      </c>
      <c r="CE76" s="8" t="s">
        <v>196</v>
      </c>
      <c r="CG76" s="8"/>
      <c r="CH76" s="223" t="str">
        <f t="shared" si="128"/>
        <v/>
      </c>
      <c r="CI76" s="223" t="str">
        <f t="shared" si="145"/>
        <v>Tackle</v>
      </c>
      <c r="CJ76" s="51" t="str">
        <f t="shared" si="129"/>
        <v>Tackle</v>
      </c>
      <c r="CK76" s="51" t="str">
        <f t="shared" si="130"/>
        <v>Tackle</v>
      </c>
      <c r="CL76" s="51" t="str">
        <f t="shared" si="131"/>
        <v>Tackle</v>
      </c>
      <c r="CM76" s="51" t="str">
        <f t="shared" si="132"/>
        <v>Tackle</v>
      </c>
      <c r="CN76" s="51" t="str">
        <f t="shared" si="133"/>
        <v>Tackle</v>
      </c>
      <c r="CO76" s="51" t="str">
        <f t="shared" si="134"/>
        <v>Tackle</v>
      </c>
      <c r="CP76" s="51" t="str">
        <f t="shared" si="135"/>
        <v>Tackle</v>
      </c>
      <c r="CQ76" s="51" t="str">
        <f t="shared" si="136"/>
        <v>Tackle</v>
      </c>
      <c r="CR76" s="51" t="str">
        <f t="shared" si="137"/>
        <v/>
      </c>
      <c r="CS76" s="51" t="str">
        <f t="shared" si="138"/>
        <v>Tackle</v>
      </c>
      <c r="CT76" s="51" t="str">
        <f t="shared" si="139"/>
        <v>Tackle</v>
      </c>
      <c r="CU76" s="51" t="str">
        <f t="shared" si="140"/>
        <v/>
      </c>
      <c r="CV76" s="51" t="str">
        <f t="shared" si="141"/>
        <v/>
      </c>
      <c r="CW76" s="51" t="str">
        <f t="shared" si="142"/>
        <v/>
      </c>
      <c r="DA76" s="8"/>
    </row>
    <row r="77" spans="1:105" ht="15" hidden="1" customHeight="1" x14ac:dyDescent="0.2">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7">
        <v>1060000</v>
      </c>
      <c r="AT77" s="7"/>
      <c r="AU77" s="7"/>
      <c r="AV77" s="7"/>
      <c r="AW77" s="7"/>
      <c r="AX77" s="7"/>
      <c r="AY77" s="8"/>
      <c r="AZ77" s="8">
        <v>15</v>
      </c>
      <c r="BA77" s="7">
        <v>90000</v>
      </c>
      <c r="BB77" s="8" t="str">
        <f>IF(OR(BV2="Favouredof",$BV$2="FavouredofWorldsEdgeSuperleagueBadlandsBrawl"),(IF($BP$1="Nurgle","",(IF($BP$2="DaemonsofKhorne","","Chaos Undivided")))),"")</f>
        <v/>
      </c>
      <c r="BC77" s="8"/>
      <c r="BD77" s="8"/>
      <c r="BE77" s="8"/>
      <c r="BF77" s="55"/>
      <c r="BI77" s="54"/>
      <c r="BJ77" s="55"/>
      <c r="BL77" s="8"/>
      <c r="BN77" s="8"/>
      <c r="BO77" s="8"/>
      <c r="BP77" s="8"/>
      <c r="BT77" s="119" t="str">
        <f>IF($K$25="Español","Zafarse",(IF($K$25="Deutsch","Wrestling",(IF($K$25="Français","Tacle","Wrestle")))))</f>
        <v>Wrestle</v>
      </c>
      <c r="BU77" s="8" t="s">
        <v>196</v>
      </c>
      <c r="BV77" s="119" t="str">
        <f>IF($K$25="Español","Zafarse",(IF($K$25="Deutsch","Wrestling",(IF($K$25="Français","Tacle","Wrestle")))))</f>
        <v>Wrestle</v>
      </c>
      <c r="BW77" s="8" t="s">
        <v>196</v>
      </c>
      <c r="BX77" s="119" t="str">
        <f>IF($K$25="Español","Zafarse",(IF($K$25="Deutsch","Wrestling",(IF($K$25="Français","Tacle","Wrestle")))))</f>
        <v>Wrestle</v>
      </c>
      <c r="BY77" s="8" t="s">
        <v>196</v>
      </c>
      <c r="BZ77" s="119" t="str">
        <f>IF($K$25="Español","Zafarse",(IF($K$25="Deutsch","Wrestling",(IF($K$25="Français","Tacle","Wrestle")))))</f>
        <v>Wrestle</v>
      </c>
      <c r="CA77" s="8" t="s">
        <v>196</v>
      </c>
      <c r="CB77" s="274" t="str">
        <f>IF($J$24="Español","Furtivo",(IF($J$24="Deutsch","Hechtsprung",(IF($J$24="Français","Réception ","Jump Up")))))</f>
        <v>Jump Up</v>
      </c>
      <c r="CC77" s="197" t="s">
        <v>197</v>
      </c>
      <c r="CD77" s="119" t="str">
        <f>IF($K$25="Español","Atrapar",(IF($K$25="Deutsch","Aufspringen",(IF($K$25="Français","Défenseur ","Catch")))))</f>
        <v>Catch</v>
      </c>
      <c r="CE77" s="8" t="s">
        <v>197</v>
      </c>
      <c r="CG77" s="8"/>
      <c r="CH77" s="223" t="str">
        <f t="shared" si="128"/>
        <v/>
      </c>
      <c r="CI77" s="223" t="str">
        <f t="shared" si="145"/>
        <v>Wrestle</v>
      </c>
      <c r="CJ77" s="51" t="str">
        <f t="shared" si="129"/>
        <v>Wrestle</v>
      </c>
      <c r="CK77" s="51" t="str">
        <f t="shared" si="130"/>
        <v>Wrestle</v>
      </c>
      <c r="CL77" s="51" t="str">
        <f t="shared" si="131"/>
        <v>Wrestle</v>
      </c>
      <c r="CM77" s="51" t="str">
        <f t="shared" si="132"/>
        <v>Wrestle</v>
      </c>
      <c r="CN77" s="51" t="str">
        <f t="shared" si="133"/>
        <v>Wrestle</v>
      </c>
      <c r="CO77" s="51" t="str">
        <f t="shared" si="134"/>
        <v>Wrestle</v>
      </c>
      <c r="CP77" s="51" t="str">
        <f t="shared" si="135"/>
        <v>Wrestle</v>
      </c>
      <c r="CQ77" s="51" t="str">
        <f t="shared" si="136"/>
        <v>Wrestle</v>
      </c>
      <c r="CR77" s="51" t="str">
        <f t="shared" si="137"/>
        <v/>
      </c>
      <c r="CS77" s="51" t="str">
        <f t="shared" si="138"/>
        <v>Wrestle</v>
      </c>
      <c r="CT77" s="51" t="str">
        <f t="shared" si="139"/>
        <v>Wrestle</v>
      </c>
      <c r="CU77" s="51" t="str">
        <f t="shared" si="140"/>
        <v/>
      </c>
      <c r="CV77" s="51" t="str">
        <f t="shared" si="141"/>
        <v/>
      </c>
      <c r="CW77" s="51" t="str">
        <f t="shared" si="142"/>
        <v/>
      </c>
      <c r="DA77" s="8"/>
    </row>
    <row r="78" spans="1:105" ht="15" hidden="1" customHeigh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43">
        <f>AH37+AH38+AH39+AH40+AH41+AH42+AH43+AH44+AH45+AH46+AH47+AH48+AH49+AH50+AH51+AH52</f>
        <v>50000</v>
      </c>
      <c r="AK78" s="8"/>
      <c r="AL78" s="8"/>
      <c r="AM78" s="8"/>
      <c r="AN78" s="8"/>
      <c r="AO78" s="8"/>
      <c r="AP78" s="8"/>
      <c r="AQ78" s="8"/>
      <c r="AR78" s="8"/>
      <c r="AS78" s="7">
        <v>1070000</v>
      </c>
      <c r="AT78" s="7"/>
      <c r="AU78" s="7"/>
      <c r="AV78" s="7"/>
      <c r="AW78" s="7"/>
      <c r="AX78" s="7"/>
      <c r="AY78" s="8"/>
      <c r="AZ78" s="8">
        <v>16</v>
      </c>
      <c r="BA78" s="7">
        <v>100000</v>
      </c>
      <c r="BB78" s="8" t="str">
        <f>IF(OR(BV2="Favouredof",BV2="FavouredofWorldsEdgeSuperleagueBadlandsBrawl"),(IF($BP$1="Nurgle","",(IF($BP$2="DaemonsofKhorne","","Khorne")))),"")</f>
        <v/>
      </c>
      <c r="BC78" s="8"/>
      <c r="BD78" s="8"/>
      <c r="BE78" s="8"/>
      <c r="BF78" s="55"/>
      <c r="BL78" s="8"/>
      <c r="BN78" s="8"/>
      <c r="BO78" s="8"/>
      <c r="BP78" s="8"/>
      <c r="BT78" s="119" t="str">
        <f>IF($K$25="Español","Atrapar",(IF($K$25="Deutsch","Aufspringen",(IF($K$25="Français","Défenseur ","Catch")))))</f>
        <v>Catch</v>
      </c>
      <c r="BU78" s="8" t="s">
        <v>197</v>
      </c>
      <c r="BV78" s="119" t="str">
        <f>IF($K$25="Español","Atrapar",(IF($K$25="Deutsch","Aufspringen",(IF($K$25="Français","Défenseur ","Catch")))))</f>
        <v>Catch</v>
      </c>
      <c r="BW78" s="8" t="s">
        <v>197</v>
      </c>
      <c r="BX78" s="119" t="str">
        <f>IF($K$25="Español","Atrapar",(IF($K$25="Deutsch","Aufspringen",(IF($K$25="Français","Défenseur ","Catch")))))</f>
        <v>Catch</v>
      </c>
      <c r="BY78" s="8" t="s">
        <v>197</v>
      </c>
      <c r="BZ78" s="119" t="str">
        <f>IF($K$25="Español","Atrapar",(IF($K$25="Deutsch","Aufspringen",(IF($K$25="Français","Défenseur ","Catch")))))</f>
        <v>Catch</v>
      </c>
      <c r="CA78" s="8" t="s">
        <v>197</v>
      </c>
      <c r="CB78" s="274" t="str">
        <f>IF($J$24="Español","Pies Firmes",(IF($J$24="Deutsch","Heimtückisch",(IF($J$24="Français","Réception plongeante ","Leap")))))</f>
        <v>Leap</v>
      </c>
      <c r="CC78" s="197" t="s">
        <v>197</v>
      </c>
      <c r="CD78" s="119" t="str">
        <f>IF($K$25="Español","Echarse a un Lado",(IF($K$25="Deutsch","Ausweichen",(IF($K$25="Français","Équilibre","Diving Catch")))))</f>
        <v>Diving Catch</v>
      </c>
      <c r="CE78" s="8" t="s">
        <v>197</v>
      </c>
      <c r="CG78" s="8"/>
      <c r="CH78" s="223" t="str">
        <f t="shared" si="128"/>
        <v/>
      </c>
      <c r="CI78" s="223" t="str">
        <f t="shared" si="145"/>
        <v>Catch</v>
      </c>
      <c r="CJ78" s="51" t="str">
        <f t="shared" si="129"/>
        <v>Catch</v>
      </c>
      <c r="CK78" s="51" t="str">
        <f t="shared" si="130"/>
        <v>Catch</v>
      </c>
      <c r="CL78" s="51" t="str">
        <f t="shared" si="131"/>
        <v>Catch</v>
      </c>
      <c r="CM78" s="51" t="str">
        <f t="shared" si="132"/>
        <v>Catch</v>
      </c>
      <c r="CN78" s="51" t="str">
        <f t="shared" si="133"/>
        <v>Catch</v>
      </c>
      <c r="CO78" s="51" t="str">
        <f t="shared" si="134"/>
        <v>Catch</v>
      </c>
      <c r="CP78" s="51" t="str">
        <f t="shared" si="135"/>
        <v>Catch</v>
      </c>
      <c r="CQ78" s="51" t="str">
        <f t="shared" si="136"/>
        <v>Catch</v>
      </c>
      <c r="CR78" s="51" t="str">
        <f t="shared" si="137"/>
        <v/>
      </c>
      <c r="CS78" s="51" t="str">
        <f t="shared" si="138"/>
        <v>Catch</v>
      </c>
      <c r="CT78" s="51" t="str">
        <f t="shared" si="139"/>
        <v>Catch</v>
      </c>
      <c r="CU78" s="51" t="str">
        <f t="shared" si="140"/>
        <v/>
      </c>
      <c r="CV78" s="51" t="str">
        <f t="shared" si="141"/>
        <v/>
      </c>
      <c r="CW78" s="51" t="str">
        <f t="shared" si="142"/>
        <v/>
      </c>
      <c r="DA78" s="8"/>
    </row>
    <row r="79" spans="1:105" ht="15" hidden="1"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7">
        <v>1080000</v>
      </c>
      <c r="AT79" s="7"/>
      <c r="AU79" s="7"/>
      <c r="AV79" s="7"/>
      <c r="AW79" s="7"/>
      <c r="AX79" s="7"/>
      <c r="AY79" s="8"/>
      <c r="AZ79" s="8">
        <v>17</v>
      </c>
      <c r="BA79" s="7">
        <v>110000</v>
      </c>
      <c r="BB79" s="8" t="str">
        <f>IF(OR(BV2="Favouredof",BV2="FavouredofWorldsEdgeSuperleagueBadlandsBrawl"),(IF($BP$1="Nurgle","",(IF($BP$2="DaemonsofKhorne","","Nurgle")))),"")</f>
        <v/>
      </c>
      <c r="BC79" s="8"/>
      <c r="BD79" s="8"/>
      <c r="BE79" s="8"/>
      <c r="BF79" s="55"/>
      <c r="BL79" s="8"/>
      <c r="BN79" s="8"/>
      <c r="BO79" s="8"/>
      <c r="BP79" s="8"/>
      <c r="BT79" s="119" t="str">
        <f>IF($K$25="Español","Echarse a un Lado",(IF($K$25="Deutsch","Ausweichen",(IF($K$25="Français","Équilibre","Diving Catch")))))</f>
        <v>Diving Catch</v>
      </c>
      <c r="BU79" s="8" t="s">
        <v>197</v>
      </c>
      <c r="BV79" s="119" t="str">
        <f>IF($K$25="Español","Echarse a un Lado",(IF($K$25="Deutsch","Ausweichen",(IF($K$25="Français","Équilibre","Diving Catch")))))</f>
        <v>Diving Catch</v>
      </c>
      <c r="BW79" s="8" t="s">
        <v>197</v>
      </c>
      <c r="BX79" s="119" t="str">
        <f>IF($K$25="Español","Echarse a un Lado",(IF($K$25="Deutsch","Ausweichen",(IF($K$25="Français","Équilibre","Diving Catch")))))</f>
        <v>Diving Catch</v>
      </c>
      <c r="BY79" s="8" t="s">
        <v>197</v>
      </c>
      <c r="BZ79" s="119" t="str">
        <f>IF($K$25="Español","Echarse a un Lado",(IF($K$25="Deutsch","Ausweichen",(IF($K$25="Français","Équilibre","Diving Catch")))))</f>
        <v>Diving Catch</v>
      </c>
      <c r="CA79" s="8" t="s">
        <v>197</v>
      </c>
      <c r="CB79" s="274" t="str">
        <f>IF($J$24="Español","Placaje Heroico",(IF($J$24="Deutsch","Sichere Hände",(IF($J$24="Français","Rétablissement","Safe Pair of Hands")))))</f>
        <v>Safe Pair of Hands</v>
      </c>
      <c r="CC79" s="197" t="s">
        <v>197</v>
      </c>
      <c r="CD79" s="119" t="str">
        <f>IF($K$25="Español","En Pie de un Salto",(IF($K$25="Deutsch","Fangsicher",(IF($K$25="Français","Esquive","Diving Tackle")))))</f>
        <v>Diving Tackle</v>
      </c>
      <c r="CE79" s="8" t="s">
        <v>197</v>
      </c>
      <c r="CG79" s="8"/>
      <c r="CH79" s="223" t="str">
        <f t="shared" si="128"/>
        <v/>
      </c>
      <c r="CI79" s="223" t="str">
        <f t="shared" si="145"/>
        <v>Diving Catch</v>
      </c>
      <c r="CJ79" s="51" t="str">
        <f t="shared" si="129"/>
        <v>Diving Catch</v>
      </c>
      <c r="CK79" s="51" t="str">
        <f t="shared" si="130"/>
        <v>Diving Catch</v>
      </c>
      <c r="CL79" s="51" t="str">
        <f t="shared" si="131"/>
        <v>Diving Catch</v>
      </c>
      <c r="CM79" s="51" t="str">
        <f t="shared" si="132"/>
        <v>Diving Catch</v>
      </c>
      <c r="CN79" s="51" t="str">
        <f t="shared" si="133"/>
        <v>Diving Catch</v>
      </c>
      <c r="CO79" s="51" t="str">
        <f t="shared" si="134"/>
        <v>Diving Catch</v>
      </c>
      <c r="CP79" s="51" t="str">
        <f t="shared" si="135"/>
        <v>Diving Catch</v>
      </c>
      <c r="CQ79" s="51" t="str">
        <f t="shared" si="136"/>
        <v>Diving Catch</v>
      </c>
      <c r="CR79" s="51" t="str">
        <f t="shared" si="137"/>
        <v/>
      </c>
      <c r="CS79" s="51" t="str">
        <f t="shared" si="138"/>
        <v>Diving Catch</v>
      </c>
      <c r="CT79" s="51" t="str">
        <f t="shared" si="139"/>
        <v>Diving Catch</v>
      </c>
      <c r="CU79" s="51" t="str">
        <f t="shared" si="140"/>
        <v/>
      </c>
      <c r="CV79" s="51" t="str">
        <f t="shared" si="141"/>
        <v/>
      </c>
      <c r="CW79" s="51" t="str">
        <f t="shared" si="142"/>
        <v/>
      </c>
      <c r="DA79" s="8"/>
    </row>
    <row r="80" spans="1:105" ht="15" hidden="1" customHeight="1" x14ac:dyDescent="0.2">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7">
        <v>1090000</v>
      </c>
      <c r="AT80" s="7"/>
      <c r="AU80" s="7"/>
      <c r="AV80" s="7"/>
      <c r="AW80" s="7"/>
      <c r="AX80" s="7"/>
      <c r="AY80" s="8"/>
      <c r="AZ80" s="8">
        <v>18</v>
      </c>
      <c r="BA80" s="7">
        <v>120000</v>
      </c>
      <c r="BB80" s="8" t="str">
        <f>IF(OR(BV2="Favouredof",BV2="FavouredofWorldsEdgeSuperleagueBadlandsBrawl"),(IF($BP$1="Nurgle","",(IF($BP$2="DaemonsofKhorne","","Slaanesh")))),"")</f>
        <v/>
      </c>
      <c r="BC80" s="8"/>
      <c r="BD80" s="8"/>
      <c r="BE80" s="8"/>
      <c r="BF80" s="8"/>
      <c r="BL80" s="8"/>
      <c r="BN80" s="8"/>
      <c r="BO80" s="8"/>
      <c r="BP80" s="8"/>
      <c r="BT80" s="119" t="str">
        <f>IF($K$25="Español","En Pie de un Salto",(IF($K$25="Deutsch","Fangsicher",(IF($K$25="Français","Esquive","Diving Tackle")))))</f>
        <v>Diving Tackle</v>
      </c>
      <c r="BU80" s="8" t="s">
        <v>197</v>
      </c>
      <c r="BV80" s="119" t="str">
        <f>IF($K$25="Español","En Pie de un Salto",(IF($K$25="Deutsch","Fangsicher",(IF($K$25="Français","Esquive","Diving Tackle")))))</f>
        <v>Diving Tackle</v>
      </c>
      <c r="BW80" s="8" t="s">
        <v>197</v>
      </c>
      <c r="BX80" s="119" t="str">
        <f>IF($K$25="Español","En Pie de un Salto",(IF($K$25="Deutsch","Fangsicher",(IF($K$25="Français","Esquive","Diving Tackle")))))</f>
        <v>Diving Tackle</v>
      </c>
      <c r="BY80" s="8" t="s">
        <v>197</v>
      </c>
      <c r="BZ80" s="119" t="str">
        <f>IF($K$25="Español","En Pie de un Salto",(IF($K$25="Deutsch","Fangsicher",(IF($K$25="Français","Esquive","Diving Tackle")))))</f>
        <v>Diving Tackle</v>
      </c>
      <c r="CA80" s="8" t="s">
        <v>197</v>
      </c>
      <c r="CB80" s="274" t="str">
        <f>IF($J$24="Español","Proteger el Cuero",(IF($J$24="Deutsch","Springen",(IF($J$24="Français","Saut","Sidestep")))))</f>
        <v>Sidestep</v>
      </c>
      <c r="CC80" s="197" t="s">
        <v>197</v>
      </c>
      <c r="CD80" s="119" t="str">
        <f>IF($K$25="Español","Esprintar",(IF($K$25="Deutsch","Fliegender Tackle",(IF($K$25="Français","Glissade contrôlée","Dodge")))))</f>
        <v>Dodge</v>
      </c>
      <c r="CE80" s="8" t="s">
        <v>197</v>
      </c>
      <c r="CG80" s="8"/>
      <c r="CH80" s="223" t="str">
        <f t="shared" si="128"/>
        <v/>
      </c>
      <c r="CI80" s="223" t="str">
        <f t="shared" si="145"/>
        <v>Diving Tackle</v>
      </c>
      <c r="CJ80" s="51" t="str">
        <f t="shared" si="129"/>
        <v>Diving Tackle</v>
      </c>
      <c r="CK80" s="51" t="str">
        <f t="shared" si="130"/>
        <v>Diving Tackle</v>
      </c>
      <c r="CL80" s="51" t="str">
        <f t="shared" si="131"/>
        <v>Diving Tackle</v>
      </c>
      <c r="CM80" s="51" t="str">
        <f t="shared" si="132"/>
        <v>Diving Tackle</v>
      </c>
      <c r="CN80" s="51" t="str">
        <f t="shared" si="133"/>
        <v>Diving Tackle</v>
      </c>
      <c r="CO80" s="51" t="str">
        <f t="shared" si="134"/>
        <v>Diving Tackle</v>
      </c>
      <c r="CP80" s="51" t="str">
        <f t="shared" si="135"/>
        <v>Diving Tackle</v>
      </c>
      <c r="CQ80" s="51" t="str">
        <f t="shared" si="136"/>
        <v>Diving Tackle</v>
      </c>
      <c r="CR80" s="51" t="str">
        <f t="shared" si="137"/>
        <v/>
      </c>
      <c r="CS80" s="51" t="str">
        <f t="shared" si="138"/>
        <v>Diving Tackle</v>
      </c>
      <c r="CT80" s="51" t="str">
        <f t="shared" si="139"/>
        <v>Diving Tackle</v>
      </c>
      <c r="CU80" s="51" t="str">
        <f t="shared" si="140"/>
        <v/>
      </c>
      <c r="CV80" s="51" t="str">
        <f t="shared" si="141"/>
        <v/>
      </c>
      <c r="CW80" s="51" t="str">
        <f t="shared" si="142"/>
        <v/>
      </c>
      <c r="DA80" s="8"/>
    </row>
    <row r="81" spans="1:105" ht="15" hidden="1"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7">
        <v>1100000</v>
      </c>
      <c r="AT81" s="7"/>
      <c r="AU81" s="7"/>
      <c r="AV81" s="7"/>
      <c r="AW81" s="7"/>
      <c r="AX81" s="7"/>
      <c r="AY81" s="8"/>
      <c r="AZ81" s="8">
        <v>19</v>
      </c>
      <c r="BA81" s="7">
        <v>130000</v>
      </c>
      <c r="BB81" s="8" t="str">
        <f>IF(OR(BV2="Favouredof",BV2="FavouredofWorldsEdgeSuperleagueBadlandsBrawl"),(IF($BP$1="Nurgle","",(IF($BP$2="DaemonsofKhorne","","Tzeentch")))),"")</f>
        <v/>
      </c>
      <c r="BC81" s="8"/>
      <c r="BD81" s="8"/>
      <c r="BE81" s="8"/>
      <c r="BF81" s="8"/>
      <c r="BL81" s="8"/>
      <c r="BN81" s="8"/>
      <c r="BO81" s="8"/>
      <c r="BP81" s="8"/>
      <c r="BT81" s="119" t="str">
        <f>IF($K$25="Español","Esprintar",(IF($K$25="Deutsch","Fliegender Tackle",(IF($K$25="Français","Glissade contrôlée","Dodge")))))</f>
        <v>Dodge</v>
      </c>
      <c r="BU81" s="8" t="s">
        <v>197</v>
      </c>
      <c r="BV81" s="119" t="str">
        <f>IF($K$25="Español","Esprintar",(IF($K$25="Deutsch","Fliegender Tackle",(IF($K$25="Français","Glissade contrôlée","Dodge")))))</f>
        <v>Dodge</v>
      </c>
      <c r="BW81" s="8" t="s">
        <v>197</v>
      </c>
      <c r="BX81" s="119" t="str">
        <f>IF($K$25="Español","Esprintar",(IF($K$25="Deutsch","Fliegender Tackle",(IF($K$25="Français","Glissade contrôlée","Dodge")))))</f>
        <v>Dodge</v>
      </c>
      <c r="BY81" s="8" t="s">
        <v>197</v>
      </c>
      <c r="BZ81" s="119" t="str">
        <f>IF($K$25="Español","Esprintar",(IF($K$25="Deutsch","Fliegender Tackle",(IF($K$25="Français","Glissade contrôlée","Dodge")))))</f>
        <v>Dodge</v>
      </c>
      <c r="CA81" s="8" t="s">
        <v>197</v>
      </c>
      <c r="CB81" s="274" t="str">
        <f>IF($J$24="Español","Recepción Heroica",(IF($J$24="Deutsch","Sprinten",(IF($J$24="Français","Sprint","Sneaky Git")))))</f>
        <v>Sneaky Git</v>
      </c>
      <c r="CC81" s="197" t="s">
        <v>197</v>
      </c>
      <c r="CD81" s="119" t="str">
        <f>IF($K$25="Español","Esquivar",(IF($K$25="Deutsch","Gewandt",(IF($K$25="Français","Libération contrôlée","Defensive")))))</f>
        <v>Defensive</v>
      </c>
      <c r="CE81" s="8" t="s">
        <v>197</v>
      </c>
      <c r="CG81" s="8"/>
      <c r="CH81" s="223" t="str">
        <f t="shared" si="128"/>
        <v/>
      </c>
      <c r="CI81" s="223" t="str">
        <f t="shared" si="145"/>
        <v>Dodge</v>
      </c>
      <c r="CJ81" s="51" t="str">
        <f t="shared" si="129"/>
        <v>Dodge</v>
      </c>
      <c r="CK81" s="51" t="str">
        <f t="shared" si="130"/>
        <v>Dodge</v>
      </c>
      <c r="CL81" s="51" t="str">
        <f t="shared" si="131"/>
        <v>Dodge</v>
      </c>
      <c r="CM81" s="51" t="str">
        <f t="shared" si="132"/>
        <v>Dodge</v>
      </c>
      <c r="CN81" s="51" t="str">
        <f t="shared" si="133"/>
        <v>Dodge</v>
      </c>
      <c r="CO81" s="51" t="str">
        <f t="shared" si="134"/>
        <v>Dodge</v>
      </c>
      <c r="CP81" s="51" t="str">
        <f t="shared" si="135"/>
        <v>Dodge</v>
      </c>
      <c r="CQ81" s="51" t="str">
        <f t="shared" si="136"/>
        <v>Dodge</v>
      </c>
      <c r="CR81" s="51" t="str">
        <f t="shared" si="137"/>
        <v/>
      </c>
      <c r="CS81" s="51" t="str">
        <f t="shared" si="138"/>
        <v>Dodge</v>
      </c>
      <c r="CT81" s="51" t="str">
        <f t="shared" si="139"/>
        <v>Dodge</v>
      </c>
      <c r="CU81" s="51" t="str">
        <f t="shared" si="140"/>
        <v/>
      </c>
      <c r="CV81" s="51" t="str">
        <f t="shared" si="141"/>
        <v/>
      </c>
      <c r="CW81" s="51" t="str">
        <f t="shared" si="142"/>
        <v/>
      </c>
      <c r="DA81" s="8"/>
    </row>
    <row r="82" spans="1:105" ht="15" hidden="1"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7">
        <v>1110000</v>
      </c>
      <c r="AT82" s="7"/>
      <c r="AU82" s="7"/>
      <c r="AV82" s="7"/>
      <c r="AW82" s="7"/>
      <c r="AX82" s="7"/>
      <c r="AY82" s="8"/>
      <c r="AZ82" s="8">
        <v>20</v>
      </c>
      <c r="BA82" s="7">
        <v>140000</v>
      </c>
      <c r="BB82" s="8"/>
      <c r="BC82" s="8"/>
      <c r="BD82" s="8"/>
      <c r="BE82" s="8"/>
      <c r="BF82" s="8"/>
      <c r="BL82" s="8"/>
      <c r="BN82" s="8"/>
      <c r="BO82" s="8"/>
      <c r="BP82" s="8"/>
      <c r="BT82" s="119" t="str">
        <f>IF($K$25="Español","Esquivar",(IF($K$25="Deutsch","Gewandt",(IF($K$25="Français","Libération contrôlée","Defensive")))))</f>
        <v>Defensive</v>
      </c>
      <c r="BU82" s="8" t="s">
        <v>197</v>
      </c>
      <c r="BV82" s="119" t="str">
        <f>IF($K$25="Español","Esquivar",(IF($K$25="Deutsch","Gewandt",(IF($K$25="Français","Libération contrôlée","Defensive")))))</f>
        <v>Defensive</v>
      </c>
      <c r="BW82" s="8" t="s">
        <v>197</v>
      </c>
      <c r="BX82" s="119" t="str">
        <f>IF($K$25="Español","Esquivar",(IF($K$25="Deutsch","Gewandt",(IF($K$25="Français","Libération contrôlée","Defensive")))))</f>
        <v>Defensive</v>
      </c>
      <c r="BY82" s="8" t="s">
        <v>197</v>
      </c>
      <c r="BZ82" s="119" t="str">
        <f>IF($K$25="Español","Esquivar",(IF($K$25="Deutsch","Gewandt",(IF($K$25="Français","Libération contrôlée","Defensive")))))</f>
        <v>Defensive</v>
      </c>
      <c r="CA82" s="8" t="s">
        <v>197</v>
      </c>
      <c r="CB82" s="274" t="str">
        <f>IF($J$24="Español","Romper Defensas",(IF($J$24="Deutsch","Sprintensicher",(IF($J$24="Français","Sournois","Sprint")))))</f>
        <v>Sprint</v>
      </c>
      <c r="CC82" s="197" t="s">
        <v>197</v>
      </c>
      <c r="CD82" s="119" t="str">
        <f>IF($K$25="Español","Furtivo",(IF($K$25="Deutsch","Hechtsprung",(IF($K$25="Français","Réception ","Jump Up")))))</f>
        <v>Jump Up</v>
      </c>
      <c r="CE82" s="8" t="s">
        <v>197</v>
      </c>
      <c r="CG82" s="8"/>
      <c r="CH82" s="223" t="str">
        <f t="shared" si="128"/>
        <v/>
      </c>
      <c r="CI82" s="223" t="str">
        <f t="shared" si="145"/>
        <v>Defensive</v>
      </c>
      <c r="CJ82" s="51" t="str">
        <f t="shared" si="129"/>
        <v>Defensive</v>
      </c>
      <c r="CK82" s="51" t="str">
        <f t="shared" si="130"/>
        <v>Defensive</v>
      </c>
      <c r="CL82" s="51" t="str">
        <f t="shared" si="131"/>
        <v>Defensive</v>
      </c>
      <c r="CM82" s="51" t="str">
        <f t="shared" si="132"/>
        <v>Defensive</v>
      </c>
      <c r="CN82" s="51" t="str">
        <f t="shared" si="133"/>
        <v>Defensive</v>
      </c>
      <c r="CO82" s="51" t="str">
        <f t="shared" si="134"/>
        <v>Defensive</v>
      </c>
      <c r="CP82" s="51" t="str">
        <f t="shared" si="135"/>
        <v>Defensive</v>
      </c>
      <c r="CQ82" s="51" t="str">
        <f t="shared" si="136"/>
        <v>Defensive</v>
      </c>
      <c r="CR82" s="51" t="str">
        <f t="shared" si="137"/>
        <v/>
      </c>
      <c r="CS82" s="51" t="str">
        <f t="shared" si="138"/>
        <v>Defensive</v>
      </c>
      <c r="CT82" s="51" t="str">
        <f t="shared" si="139"/>
        <v>Defensive</v>
      </c>
      <c r="CU82" s="51" t="str">
        <f t="shared" si="140"/>
        <v/>
      </c>
      <c r="CV82" s="51" t="str">
        <f t="shared" si="141"/>
        <v/>
      </c>
      <c r="CW82" s="51" t="str">
        <f t="shared" si="142"/>
        <v/>
      </c>
      <c r="DA82" s="8"/>
    </row>
    <row r="83" spans="1:105" ht="15" hidden="1"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7">
        <v>1120000</v>
      </c>
      <c r="AT83" s="7"/>
      <c r="AU83" s="7"/>
      <c r="AV83" s="7"/>
      <c r="AW83" s="7"/>
      <c r="AX83" s="7"/>
      <c r="AY83" s="8"/>
      <c r="AZ83" s="8"/>
      <c r="BA83" s="7">
        <v>150000</v>
      </c>
      <c r="BB83" s="8"/>
      <c r="BC83" s="8"/>
      <c r="BD83" s="8"/>
      <c r="BE83" s="8"/>
      <c r="BF83" s="8"/>
      <c r="BL83" s="8"/>
      <c r="BN83" s="8"/>
      <c r="BO83" s="8"/>
      <c r="BP83" s="8"/>
      <c r="BT83" s="119" t="str">
        <f>IF($K$25="Español","Furtivo",(IF($K$25="Deutsch","Hechtsprung",(IF($K$25="Français","Réception ","Jump Up")))))</f>
        <v>Jump Up</v>
      </c>
      <c r="BU83" s="8" t="s">
        <v>197</v>
      </c>
      <c r="BV83" s="119" t="str">
        <f>IF($K$25="Español","Furtivo",(IF($K$25="Deutsch","Hechtsprung",(IF($K$25="Français","Réception ","Jump Up")))))</f>
        <v>Jump Up</v>
      </c>
      <c r="BW83" s="8" t="s">
        <v>197</v>
      </c>
      <c r="BX83" s="119" t="str">
        <f>IF($K$25="Español","Furtivo",(IF($K$25="Deutsch","Hechtsprung",(IF($K$25="Français","Réception ","Jump Up")))))</f>
        <v>Jump Up</v>
      </c>
      <c r="BY83" s="8" t="s">
        <v>197</v>
      </c>
      <c r="BZ83" s="119" t="str">
        <f>IF($K$25="Español","Furtivo",(IF($K$25="Deutsch","Hechtsprung",(IF($K$25="Français","Réception ","Jump Up")))))</f>
        <v>Jump Up</v>
      </c>
      <c r="CA83" s="8" t="s">
        <v>197</v>
      </c>
      <c r="CB83" s="274" t="str">
        <f>IF($J$24="Español","Saltar",(IF($J$24="Deutsch","Wehrhaft",(IF($J$24="Français","Tacle plongeant ","Sure Feet")))))</f>
        <v>Sure Feet</v>
      </c>
      <c r="CC83" s="197" t="s">
        <v>197</v>
      </c>
      <c r="CD83" s="119" t="str">
        <f>IF($K$25="Español","Pies Firmes",(IF($K$25="Deutsch","Heimtückisch",(IF($K$25="Français","Réception plongeante ","Leap")))))</f>
        <v>Leap</v>
      </c>
      <c r="CE83" s="8" t="s">
        <v>197</v>
      </c>
      <c r="CG83" s="8"/>
      <c r="CH83" s="223" t="str">
        <f t="shared" si="128"/>
        <v/>
      </c>
      <c r="CI83" s="223" t="str">
        <f t="shared" si="145"/>
        <v>Jump Up</v>
      </c>
      <c r="CJ83" s="51" t="str">
        <f t="shared" si="129"/>
        <v>Jump Up</v>
      </c>
      <c r="CK83" s="51" t="str">
        <f t="shared" si="130"/>
        <v>Jump Up</v>
      </c>
      <c r="CL83" s="51" t="str">
        <f t="shared" si="131"/>
        <v>Jump Up</v>
      </c>
      <c r="CM83" s="51" t="str">
        <f t="shared" si="132"/>
        <v>Jump Up</v>
      </c>
      <c r="CN83" s="51" t="str">
        <f t="shared" si="133"/>
        <v>Jump Up</v>
      </c>
      <c r="CO83" s="51" t="str">
        <f t="shared" si="134"/>
        <v>Jump Up</v>
      </c>
      <c r="CP83" s="51" t="str">
        <f t="shared" si="135"/>
        <v>Jump Up</v>
      </c>
      <c r="CQ83" s="51" t="str">
        <f t="shared" si="136"/>
        <v>Jump Up</v>
      </c>
      <c r="CR83" s="51" t="str">
        <f t="shared" si="137"/>
        <v/>
      </c>
      <c r="CS83" s="51" t="str">
        <f t="shared" si="138"/>
        <v>Jump Up</v>
      </c>
      <c r="CT83" s="51" t="str">
        <f t="shared" si="139"/>
        <v>Jump Up</v>
      </c>
      <c r="CU83" s="51" t="str">
        <f t="shared" si="140"/>
        <v/>
      </c>
      <c r="CV83" s="51" t="str">
        <f t="shared" si="141"/>
        <v/>
      </c>
      <c r="CW83" s="51" t="str">
        <f t="shared" si="142"/>
        <v/>
      </c>
      <c r="DA83" s="8"/>
    </row>
    <row r="84" spans="1:105" ht="15" hidden="1" customHeight="1" x14ac:dyDescent="0.2">
      <c r="A84" s="8"/>
      <c r="B84" s="396"/>
      <c r="C84" s="396"/>
      <c r="D84" s="385"/>
      <c r="E84" s="385"/>
      <c r="F84" s="385"/>
      <c r="G84" s="385"/>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7">
        <v>1130000</v>
      </c>
      <c r="AT84" s="7"/>
      <c r="AU84" s="7"/>
      <c r="AV84" s="7"/>
      <c r="AW84" s="7"/>
      <c r="AX84" s="7"/>
      <c r="AY84" s="8"/>
      <c r="AZ84" s="8"/>
      <c r="BA84" s="7">
        <v>160000</v>
      </c>
      <c r="BB84" s="8"/>
      <c r="BC84" s="8"/>
      <c r="BD84" s="8"/>
      <c r="BE84" s="8"/>
      <c r="BF84" s="8"/>
      <c r="BL84" s="8"/>
      <c r="BN84" s="8"/>
      <c r="BO84" s="8"/>
      <c r="BP84" s="8"/>
      <c r="BT84" s="119" t="str">
        <f>IF($K$25="Español","Pies Firmes",(IF($K$25="Deutsch","Heimtückisch",(IF($K$25="Français","Réception plongeante ","Leap")))))</f>
        <v>Leap</v>
      </c>
      <c r="BU84" s="8" t="s">
        <v>197</v>
      </c>
      <c r="BV84" s="119" t="str">
        <f>IF($K$25="Español","Pies Firmes",(IF($K$25="Deutsch","Heimtückisch",(IF($K$25="Français","Réception plongeante ","Leap")))))</f>
        <v>Leap</v>
      </c>
      <c r="BW84" s="8" t="s">
        <v>197</v>
      </c>
      <c r="BX84" s="119" t="str">
        <f>IF($K$25="Español","Pies Firmes",(IF($K$25="Deutsch","Heimtückisch",(IF($K$25="Français","Réception plongeante ","Leap")))))</f>
        <v>Leap</v>
      </c>
      <c r="BY84" s="8" t="s">
        <v>197</v>
      </c>
      <c r="BZ84" s="119" t="str">
        <f>IF($K$25="Español","Pies Firmes",(IF($K$25="Deutsch","Heimtückisch",(IF($K$25="Français","Réception plongeante ","Leap")))))</f>
        <v>Leap</v>
      </c>
      <c r="CA84" s="8" t="s">
        <v>197</v>
      </c>
      <c r="CB84" s="197" t="str">
        <f t="shared" ref="CB84:CC142" si="175">""</f>
        <v/>
      </c>
      <c r="CC84" s="197" t="str">
        <f t="shared" si="175"/>
        <v/>
      </c>
      <c r="CD84" s="119" t="str">
        <f>IF($K$25="Español","Placaje Heroico",(IF($K$25="Deutsch","Sichere Hände",(IF($K$25="Français","Rétablissement","Safe Pair of Hands")))))</f>
        <v>Safe Pair of Hands</v>
      </c>
      <c r="CE84" s="8" t="s">
        <v>197</v>
      </c>
      <c r="CG84" s="8"/>
      <c r="CH84" s="223" t="str">
        <f t="shared" si="128"/>
        <v/>
      </c>
      <c r="CI84" s="223" t="str">
        <f t="shared" si="145"/>
        <v>Leap</v>
      </c>
      <c r="CJ84" s="51" t="str">
        <f t="shared" si="129"/>
        <v>Leap</v>
      </c>
      <c r="CK84" s="51" t="str">
        <f t="shared" si="130"/>
        <v>Leap</v>
      </c>
      <c r="CL84" s="51" t="str">
        <f t="shared" si="131"/>
        <v>Leap</v>
      </c>
      <c r="CM84" s="51" t="str">
        <f t="shared" si="132"/>
        <v>Leap</v>
      </c>
      <c r="CN84" s="51" t="str">
        <f t="shared" si="133"/>
        <v>Leap</v>
      </c>
      <c r="CO84" s="51" t="str">
        <f t="shared" si="134"/>
        <v>Leap</v>
      </c>
      <c r="CP84" s="51" t="str">
        <f t="shared" si="135"/>
        <v>Leap</v>
      </c>
      <c r="CQ84" s="51" t="str">
        <f t="shared" si="136"/>
        <v>Leap</v>
      </c>
      <c r="CR84" s="51" t="str">
        <f t="shared" si="137"/>
        <v/>
      </c>
      <c r="CS84" s="51" t="str">
        <f t="shared" si="138"/>
        <v>Leap</v>
      </c>
      <c r="CT84" s="51" t="str">
        <f t="shared" si="139"/>
        <v>Leap</v>
      </c>
      <c r="CU84" s="51" t="str">
        <f t="shared" si="140"/>
        <v/>
      </c>
      <c r="CV84" s="51" t="str">
        <f t="shared" si="141"/>
        <v/>
      </c>
      <c r="CW84" s="51" t="str">
        <f t="shared" si="142"/>
        <v/>
      </c>
      <c r="DA84" s="8"/>
    </row>
    <row r="85" spans="1:105" ht="15" hidden="1"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7">
        <v>1140000</v>
      </c>
      <c r="AT85" s="7"/>
      <c r="AU85" s="7"/>
      <c r="AV85" s="7"/>
      <c r="AW85" s="7"/>
      <c r="AX85" s="7"/>
      <c r="AY85" s="8"/>
      <c r="AZ85" s="8"/>
      <c r="BA85" s="7">
        <v>170000</v>
      </c>
      <c r="BB85" s="8"/>
      <c r="BC85" s="8"/>
      <c r="BD85" s="8"/>
      <c r="BE85" s="8"/>
      <c r="BF85" s="8"/>
      <c r="BL85" s="8"/>
      <c r="BN85" s="8"/>
      <c r="BO85" s="8"/>
      <c r="BP85" s="8"/>
      <c r="BT85" s="119" t="str">
        <f>IF($K$25="Español","Placaje Heroico",(IF($K$25="Deutsch","Sichere Hände",(IF($K$25="Français","Rétablissement","Safe Pair of Hands")))))</f>
        <v>Safe Pair of Hands</v>
      </c>
      <c r="BU85" s="8" t="s">
        <v>197</v>
      </c>
      <c r="BV85" s="119" t="str">
        <f>IF($K$25="Español","Placaje Heroico",(IF($K$25="Deutsch","Sichere Hände",(IF($K$25="Français","Rétablissement","Safe Pair of Hands")))))</f>
        <v>Safe Pair of Hands</v>
      </c>
      <c r="BW85" s="8" t="s">
        <v>197</v>
      </c>
      <c r="BX85" s="119" t="str">
        <f>IF($K$25="Español","Placaje Heroico",(IF($K$25="Deutsch","Sichere Hände",(IF($K$25="Français","Rétablissement","Safe Pair of Hands")))))</f>
        <v>Safe Pair of Hands</v>
      </c>
      <c r="BY85" s="8" t="s">
        <v>197</v>
      </c>
      <c r="BZ85" s="119" t="str">
        <f>IF($K$25="Español","Placaje Heroico",(IF($K$25="Deutsch","Sichere Hände",(IF($K$25="Français","Rétablissement","Safe Pair of Hands")))))</f>
        <v>Safe Pair of Hands</v>
      </c>
      <c r="CA85" s="8" t="s">
        <v>197</v>
      </c>
      <c r="CB85" s="197" t="str">
        <f t="shared" si="175"/>
        <v/>
      </c>
      <c r="CC85" s="197" t="str">
        <f t="shared" si="175"/>
        <v/>
      </c>
      <c r="CD85" s="119" t="str">
        <f>IF($K$25="Español","Proteger el Cuero",(IF($K$25="Deutsch","Springen",(IF($K$25="Français","Saut","Sidestep")))))</f>
        <v>Sidestep</v>
      </c>
      <c r="CE85" s="8" t="s">
        <v>197</v>
      </c>
      <c r="CG85" s="8"/>
      <c r="CH85" s="223" t="str">
        <f t="shared" si="128"/>
        <v/>
      </c>
      <c r="CI85" s="223" t="str">
        <f t="shared" si="145"/>
        <v>Safe Pair of Hands</v>
      </c>
      <c r="CJ85" s="51" t="str">
        <f t="shared" si="129"/>
        <v>Safe Pair of Hands</v>
      </c>
      <c r="CK85" s="51" t="str">
        <f t="shared" si="130"/>
        <v>Safe Pair of Hands</v>
      </c>
      <c r="CL85" s="51" t="str">
        <f t="shared" si="131"/>
        <v>Safe Pair of Hands</v>
      </c>
      <c r="CM85" s="51" t="str">
        <f t="shared" si="132"/>
        <v>Safe Pair of Hands</v>
      </c>
      <c r="CN85" s="51" t="str">
        <f t="shared" si="133"/>
        <v>Safe Pair of Hands</v>
      </c>
      <c r="CO85" s="51" t="str">
        <f t="shared" si="134"/>
        <v>Safe Pair of Hands</v>
      </c>
      <c r="CP85" s="51" t="str">
        <f t="shared" si="135"/>
        <v>Safe Pair of Hands</v>
      </c>
      <c r="CQ85" s="51" t="str">
        <f t="shared" si="136"/>
        <v>Safe Pair of Hands</v>
      </c>
      <c r="CR85" s="51" t="str">
        <f t="shared" si="137"/>
        <v/>
      </c>
      <c r="CS85" s="51" t="str">
        <f t="shared" si="138"/>
        <v>Safe Pair of Hands</v>
      </c>
      <c r="CT85" s="51" t="str">
        <f t="shared" si="139"/>
        <v>Safe Pair of Hands</v>
      </c>
      <c r="CU85" s="51" t="str">
        <f t="shared" si="140"/>
        <v/>
      </c>
      <c r="CV85" s="51" t="str">
        <f t="shared" si="141"/>
        <v/>
      </c>
      <c r="CW85" s="51" t="str">
        <f t="shared" si="142"/>
        <v/>
      </c>
      <c r="DA85" s="8"/>
    </row>
    <row r="86" spans="1:105" ht="15" hidden="1"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7">
        <v>1150000</v>
      </c>
      <c r="AT86" s="7"/>
      <c r="AU86" s="7"/>
      <c r="AV86" s="7"/>
      <c r="AW86" s="7"/>
      <c r="AX86" s="7"/>
      <c r="AY86" s="8"/>
      <c r="AZ86" s="8"/>
      <c r="BA86" s="7">
        <v>180000</v>
      </c>
      <c r="BB86" s="8"/>
      <c r="BC86" s="8"/>
      <c r="BD86" s="8"/>
      <c r="BE86" s="8"/>
      <c r="BF86" s="8"/>
      <c r="BL86" s="8"/>
      <c r="BN86" s="8"/>
      <c r="BO86" s="8"/>
      <c r="BP86" s="8"/>
      <c r="BT86" s="119" t="str">
        <f>IF($K$25="Español","Proteger el Cuero",(IF($K$25="Deutsch","Springen",(IF($K$25="Français","Saut","Sidestep")))))</f>
        <v>Sidestep</v>
      </c>
      <c r="BU86" s="8" t="s">
        <v>197</v>
      </c>
      <c r="BV86" s="119" t="str">
        <f>IF($K$25="Español","Proteger el Cuero",(IF($K$25="Deutsch","Springen",(IF($K$25="Français","Saut","Sidestep")))))</f>
        <v>Sidestep</v>
      </c>
      <c r="BW86" s="8" t="s">
        <v>197</v>
      </c>
      <c r="BX86" s="119" t="str">
        <f>IF($K$25="Español","Proteger el Cuero",(IF($K$25="Deutsch","Springen",(IF($K$25="Français","Saut","Sidestep")))))</f>
        <v>Sidestep</v>
      </c>
      <c r="BY86" s="8" t="s">
        <v>197</v>
      </c>
      <c r="BZ86" s="119" t="str">
        <f>IF($K$25="Español","Proteger el Cuero",(IF($K$25="Deutsch","Springen",(IF($K$25="Français","Saut","Sidestep")))))</f>
        <v>Sidestep</v>
      </c>
      <c r="CA86" s="8" t="s">
        <v>197</v>
      </c>
      <c r="CB86" s="197" t="str">
        <f t="shared" si="175"/>
        <v/>
      </c>
      <c r="CC86" s="197" t="str">
        <f t="shared" si="175"/>
        <v/>
      </c>
      <c r="CD86" s="119" t="str">
        <f>IF($K$25="Español","Recepción Heroica",(IF($K$25="Deutsch","Sprinten",(IF($K$25="Français","Sprint","Sneaky Git")))))</f>
        <v>Sneaky Git</v>
      </c>
      <c r="CE86" s="8" t="s">
        <v>197</v>
      </c>
      <c r="CG86" s="8"/>
      <c r="CH86" s="223" t="str">
        <f t="shared" si="128"/>
        <v/>
      </c>
      <c r="CI86" s="223" t="str">
        <f t="shared" si="145"/>
        <v>Sidestep</v>
      </c>
      <c r="CJ86" s="51" t="str">
        <f t="shared" si="129"/>
        <v>Sidestep</v>
      </c>
      <c r="CK86" s="51" t="str">
        <f t="shared" si="130"/>
        <v>Sidestep</v>
      </c>
      <c r="CL86" s="51" t="str">
        <f t="shared" si="131"/>
        <v>Sidestep</v>
      </c>
      <c r="CM86" s="51" t="str">
        <f t="shared" si="132"/>
        <v>Sidestep</v>
      </c>
      <c r="CN86" s="51" t="str">
        <f t="shared" si="133"/>
        <v>Sidestep</v>
      </c>
      <c r="CO86" s="51" t="str">
        <f t="shared" si="134"/>
        <v>Sidestep</v>
      </c>
      <c r="CP86" s="51" t="str">
        <f t="shared" si="135"/>
        <v>Sidestep</v>
      </c>
      <c r="CQ86" s="51" t="str">
        <f t="shared" si="136"/>
        <v>Sidestep</v>
      </c>
      <c r="CR86" s="51" t="str">
        <f t="shared" si="137"/>
        <v/>
      </c>
      <c r="CS86" s="51" t="str">
        <f t="shared" si="138"/>
        <v>Sidestep</v>
      </c>
      <c r="CT86" s="51" t="str">
        <f t="shared" si="139"/>
        <v>Sidestep</v>
      </c>
      <c r="CU86" s="51" t="str">
        <f t="shared" si="140"/>
        <v/>
      </c>
      <c r="CV86" s="51" t="str">
        <f t="shared" si="141"/>
        <v/>
      </c>
      <c r="CW86" s="51" t="str">
        <f t="shared" si="142"/>
        <v/>
      </c>
      <c r="DA86" s="8"/>
    </row>
    <row r="87" spans="1:105" ht="15" hidden="1"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7">
        <v>1160000</v>
      </c>
      <c r="AT87" s="7"/>
      <c r="AU87" s="7"/>
      <c r="AV87" s="7"/>
      <c r="AW87" s="7"/>
      <c r="AX87" s="7"/>
      <c r="AY87" s="8"/>
      <c r="AZ87" s="8"/>
      <c r="BA87" s="7">
        <v>190000</v>
      </c>
      <c r="BB87" s="8"/>
      <c r="BC87" s="8"/>
      <c r="BD87" s="8"/>
      <c r="BE87" s="8"/>
      <c r="BF87" s="8"/>
      <c r="BL87" s="8"/>
      <c r="BN87" s="8"/>
      <c r="BO87" s="8"/>
      <c r="BP87" s="8"/>
      <c r="BT87" s="119" t="str">
        <f>IF($K$25="Español","Recepción Heroica",(IF($K$25="Deutsch","Sprinten",(IF($K$25="Français","Sprint","Sneaky Git")))))</f>
        <v>Sneaky Git</v>
      </c>
      <c r="BU87" s="8" t="s">
        <v>197</v>
      </c>
      <c r="BV87" s="119" t="str">
        <f>IF($K$25="Español","Recepción Heroica",(IF($K$25="Deutsch","Sprinten",(IF($K$25="Français","Sprint","Sneaky Git")))))</f>
        <v>Sneaky Git</v>
      </c>
      <c r="BW87" s="8" t="s">
        <v>197</v>
      </c>
      <c r="BX87" s="119" t="str">
        <f>IF($K$25="Español","Recepción Heroica",(IF($K$25="Deutsch","Sprinten",(IF($K$25="Français","Sprint","Sneaky Git")))))</f>
        <v>Sneaky Git</v>
      </c>
      <c r="BY87" s="8" t="s">
        <v>197</v>
      </c>
      <c r="BZ87" s="119" t="str">
        <f>IF($K$25="Español","Recepción Heroica",(IF($K$25="Deutsch","Sprinten",(IF($K$25="Français","Sprint","Sneaky Git")))))</f>
        <v>Sneaky Git</v>
      </c>
      <c r="CA87" s="8" t="s">
        <v>197</v>
      </c>
      <c r="CB87" s="197" t="str">
        <f t="shared" si="175"/>
        <v/>
      </c>
      <c r="CC87" s="197" t="str">
        <f t="shared" si="175"/>
        <v/>
      </c>
      <c r="CD87" s="119" t="str">
        <f>IF($K$25="Español","Romper Defensas",(IF($K$25="Deutsch","Sprintensicher",(IF($K$25="Français","Sournois","Sprint")))))</f>
        <v>Sprint</v>
      </c>
      <c r="CE87" s="8" t="s">
        <v>197</v>
      </c>
      <c r="CG87" s="8"/>
      <c r="CH87" s="223" t="str">
        <f t="shared" si="128"/>
        <v/>
      </c>
      <c r="CI87" s="223" t="str">
        <f t="shared" si="145"/>
        <v>Sneaky Git</v>
      </c>
      <c r="CJ87" s="51" t="str">
        <f t="shared" si="129"/>
        <v>Sneaky Git</v>
      </c>
      <c r="CK87" s="51" t="str">
        <f t="shared" si="130"/>
        <v>Sneaky Git</v>
      </c>
      <c r="CL87" s="51" t="str">
        <f t="shared" si="131"/>
        <v>Sneaky Git</v>
      </c>
      <c r="CM87" s="51" t="str">
        <f t="shared" si="132"/>
        <v>Sneaky Git</v>
      </c>
      <c r="CN87" s="51" t="str">
        <f t="shared" si="133"/>
        <v>Sneaky Git</v>
      </c>
      <c r="CO87" s="51" t="str">
        <f t="shared" si="134"/>
        <v>Sneaky Git</v>
      </c>
      <c r="CP87" s="51" t="str">
        <f t="shared" si="135"/>
        <v>Sneaky Git</v>
      </c>
      <c r="CQ87" s="51" t="str">
        <f t="shared" si="136"/>
        <v>Sneaky Git</v>
      </c>
      <c r="CR87" s="51" t="str">
        <f t="shared" si="137"/>
        <v/>
      </c>
      <c r="CS87" s="51" t="str">
        <f t="shared" si="138"/>
        <v>Sneaky Git</v>
      </c>
      <c r="CT87" s="51" t="str">
        <f t="shared" si="139"/>
        <v>Sneaky Git</v>
      </c>
      <c r="CU87" s="51" t="str">
        <f t="shared" si="140"/>
        <v/>
      </c>
      <c r="CV87" s="51" t="str">
        <f t="shared" si="141"/>
        <v/>
      </c>
      <c r="CW87" s="51" t="str">
        <f t="shared" si="142"/>
        <v/>
      </c>
      <c r="DA87" s="8"/>
    </row>
    <row r="88" spans="1:105" ht="15" hidden="1"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7">
        <v>1170000</v>
      </c>
      <c r="AT88" s="7"/>
      <c r="AU88" s="7"/>
      <c r="AV88" s="7"/>
      <c r="AW88" s="7"/>
      <c r="AX88" s="7"/>
      <c r="AY88" s="8"/>
      <c r="AZ88" s="8"/>
      <c r="BA88" s="7">
        <v>200000</v>
      </c>
      <c r="BB88" s="8"/>
      <c r="BC88" s="8"/>
      <c r="BD88" s="8"/>
      <c r="BE88" s="8"/>
      <c r="BF88" s="8"/>
      <c r="BL88" s="8"/>
      <c r="BN88" s="8"/>
      <c r="BO88" s="8"/>
      <c r="BP88" s="8"/>
      <c r="BT88" s="119" t="str">
        <f>IF($K$25="Español","Romper Defensas",(IF($K$25="Deutsch","Sprintensicher",(IF($K$25="Français","Sournois","Sprint")))))</f>
        <v>Sprint</v>
      </c>
      <c r="BU88" s="8" t="s">
        <v>197</v>
      </c>
      <c r="BV88" s="119" t="str">
        <f>IF($K$25="Español","Romper Defensas",(IF($K$25="Deutsch","Sprintensicher",(IF($K$25="Français","Sournois","Sprint")))))</f>
        <v>Sprint</v>
      </c>
      <c r="BW88" s="8" t="s">
        <v>197</v>
      </c>
      <c r="BX88" s="119" t="str">
        <f>IF($K$25="Español","Romper Defensas",(IF($K$25="Deutsch","Sprintensicher",(IF($K$25="Français","Sournois","Sprint")))))</f>
        <v>Sprint</v>
      </c>
      <c r="BY88" s="8" t="s">
        <v>197</v>
      </c>
      <c r="BZ88" s="119" t="str">
        <f>IF($K$25="Español","Romper Defensas",(IF($K$25="Deutsch","Sprintensicher",(IF($K$25="Français","Sournois","Sprint")))))</f>
        <v>Sprint</v>
      </c>
      <c r="CA88" s="8" t="s">
        <v>197</v>
      </c>
      <c r="CB88" s="197" t="str">
        <f t="shared" si="175"/>
        <v/>
      </c>
      <c r="CC88" s="197" t="str">
        <f t="shared" si="175"/>
        <v/>
      </c>
      <c r="CD88" s="119" t="str">
        <f>IF($K$25="Español","Saltar",(IF($K$25="Deutsch","Wehrhaft",(IF($K$25="Français","Tacle plongeant ","Sure Feet")))))</f>
        <v>Sure Feet</v>
      </c>
      <c r="CE88" s="8" t="s">
        <v>197</v>
      </c>
      <c r="CG88" s="8"/>
      <c r="CH88" s="223" t="str">
        <f t="shared" si="128"/>
        <v/>
      </c>
      <c r="CI88" s="223" t="str">
        <f t="shared" si="145"/>
        <v>Sprint</v>
      </c>
      <c r="CJ88" s="51" t="str">
        <f t="shared" si="129"/>
        <v>Sprint</v>
      </c>
      <c r="CK88" s="51" t="str">
        <f t="shared" si="130"/>
        <v>Sprint</v>
      </c>
      <c r="CL88" s="51" t="str">
        <f t="shared" si="131"/>
        <v>Sprint</v>
      </c>
      <c r="CM88" s="51" t="str">
        <f t="shared" si="132"/>
        <v>Sprint</v>
      </c>
      <c r="CN88" s="51" t="str">
        <f t="shared" si="133"/>
        <v>Sprint</v>
      </c>
      <c r="CO88" s="51" t="str">
        <f t="shared" si="134"/>
        <v>Sprint</v>
      </c>
      <c r="CP88" s="51" t="str">
        <f t="shared" si="135"/>
        <v>Sprint</v>
      </c>
      <c r="CQ88" s="51" t="str">
        <f t="shared" si="136"/>
        <v>Sprint</v>
      </c>
      <c r="CR88" s="51" t="str">
        <f t="shared" si="137"/>
        <v/>
      </c>
      <c r="CS88" s="51" t="str">
        <f t="shared" si="138"/>
        <v>Sprint</v>
      </c>
      <c r="CT88" s="51" t="str">
        <f t="shared" si="139"/>
        <v>Sprint</v>
      </c>
      <c r="CU88" s="51" t="str">
        <f t="shared" si="140"/>
        <v/>
      </c>
      <c r="CV88" s="51" t="str">
        <f t="shared" si="141"/>
        <v/>
      </c>
      <c r="CW88" s="51" t="str">
        <f t="shared" si="142"/>
        <v/>
      </c>
      <c r="DA88" s="8"/>
    </row>
    <row r="89" spans="1:105" ht="15" hidden="1"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7">
        <v>1180000</v>
      </c>
      <c r="AT89" s="7"/>
      <c r="AU89" s="7"/>
      <c r="AV89" s="7"/>
      <c r="AW89" s="7"/>
      <c r="AX89" s="7"/>
      <c r="AY89" s="8"/>
      <c r="AZ89" s="8"/>
      <c r="BA89" s="7">
        <v>210000</v>
      </c>
      <c r="BB89" s="8"/>
      <c r="BC89" s="8"/>
      <c r="BD89" s="8"/>
      <c r="BE89" s="8"/>
      <c r="BF89" s="8"/>
      <c r="BL89" s="8"/>
      <c r="BN89" s="8"/>
      <c r="BO89" s="8"/>
      <c r="BP89" s="8"/>
      <c r="BT89" s="119" t="str">
        <f>IF($K$25="Español","Saltar",(IF($K$25="Deutsch","Wehrhaft",(IF($K$25="Français","Tacle plongeant ","Sure Feet")))))</f>
        <v>Sure Feet</v>
      </c>
      <c r="BU89" s="8" t="s">
        <v>197</v>
      </c>
      <c r="BV89" s="119" t="str">
        <f>IF($K$25="Español","Saltar",(IF($K$25="Deutsch","Wehrhaft",(IF($K$25="Français","Tacle plongeant ","Sure Feet")))))</f>
        <v>Sure Feet</v>
      </c>
      <c r="BW89" s="8" t="s">
        <v>197</v>
      </c>
      <c r="BX89" s="119" t="str">
        <f>IF($K$25="Español","Saltar",(IF($K$25="Deutsch","Wehrhaft",(IF($K$25="Français","Tacle plongeant ","Sure Feet")))))</f>
        <v>Sure Feet</v>
      </c>
      <c r="BY89" s="8" t="s">
        <v>197</v>
      </c>
      <c r="BZ89" s="119" t="str">
        <f>IF($K$25="Español","Saltar",(IF($K$25="Deutsch","Wehrhaft",(IF($K$25="Français","Tacle plongeant ","Sure Feet")))))</f>
        <v>Sure Feet</v>
      </c>
      <c r="CA89" s="8" t="s">
        <v>197</v>
      </c>
      <c r="CB89" s="197" t="str">
        <f t="shared" si="175"/>
        <v/>
      </c>
      <c r="CC89" s="197" t="str">
        <f t="shared" si="175"/>
        <v/>
      </c>
      <c r="CD89" s="8" t="str">
        <f>IF($K$25="Español","Atento al Balón",(IF($K$25="Deutsch","Abspiel",(IF($K$25="Français","Canonnier","Accurate")))))</f>
        <v>Accurate</v>
      </c>
      <c r="CE89" s="8" t="s">
        <v>199</v>
      </c>
      <c r="CG89" s="8"/>
      <c r="CH89" s="223" t="str">
        <f t="shared" si="128"/>
        <v/>
      </c>
      <c r="CI89" s="223" t="str">
        <f t="shared" si="145"/>
        <v>Sure Feet</v>
      </c>
      <c r="CJ89" s="51" t="str">
        <f t="shared" si="129"/>
        <v>Sure Feet</v>
      </c>
      <c r="CK89" s="51" t="str">
        <f t="shared" si="130"/>
        <v>Sure Feet</v>
      </c>
      <c r="CL89" s="51" t="str">
        <f t="shared" si="131"/>
        <v>Sure Feet</v>
      </c>
      <c r="CM89" s="51" t="str">
        <f t="shared" si="132"/>
        <v>Sure Feet</v>
      </c>
      <c r="CN89" s="51" t="str">
        <f t="shared" si="133"/>
        <v>Sure Feet</v>
      </c>
      <c r="CO89" s="51" t="str">
        <f t="shared" si="134"/>
        <v>Sure Feet</v>
      </c>
      <c r="CP89" s="51" t="str">
        <f t="shared" si="135"/>
        <v>Sure Feet</v>
      </c>
      <c r="CQ89" s="51" t="str">
        <f t="shared" si="136"/>
        <v>Sure Feet</v>
      </c>
      <c r="CR89" s="51" t="str">
        <f t="shared" si="137"/>
        <v/>
      </c>
      <c r="CS89" s="51" t="str">
        <f t="shared" si="138"/>
        <v>Sure Feet</v>
      </c>
      <c r="CT89" s="51" t="str">
        <f t="shared" si="139"/>
        <v>Sure Feet</v>
      </c>
      <c r="CU89" s="51" t="str">
        <f t="shared" si="140"/>
        <v/>
      </c>
      <c r="CV89" s="51" t="str">
        <f t="shared" si="141"/>
        <v/>
      </c>
      <c r="CW89" s="51" t="str">
        <f t="shared" si="142"/>
        <v/>
      </c>
      <c r="DA89" s="8"/>
    </row>
    <row r="90" spans="1:105" ht="15" hidden="1"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7">
        <v>1190000</v>
      </c>
      <c r="AT90" s="7"/>
      <c r="AU90" s="7"/>
      <c r="AV90" s="7"/>
      <c r="AW90" s="7"/>
      <c r="AX90" s="7"/>
      <c r="AY90" s="8"/>
      <c r="AZ90" s="8"/>
      <c r="BA90" s="7">
        <v>220000</v>
      </c>
      <c r="BB90" s="8"/>
      <c r="BC90" s="8"/>
      <c r="BD90" s="8"/>
      <c r="BE90" s="8"/>
      <c r="BF90" s="8"/>
      <c r="BL90" s="8"/>
      <c r="BN90" s="8"/>
      <c r="BO90" s="8"/>
      <c r="BP90" s="8"/>
      <c r="BT90" s="8" t="str">
        <f>IF($K$25="Español","Atento al Balón",(IF($K$25="Deutsch","Abspiel",(IF($K$25="Français","Canonnier","Accurate")))))</f>
        <v>Accurate</v>
      </c>
      <c r="BU90" s="8" t="s">
        <v>199</v>
      </c>
      <c r="BV90" s="119" t="str">
        <f>IF($K$25="Español","Abrirse Paso",(IF($K$25="Deutsch","Armhebel",(IF($K$25="Français","Bagarre","Arm Bar")))))</f>
        <v>Arm Bar</v>
      </c>
      <c r="BW90" s="8" t="s">
        <v>198</v>
      </c>
      <c r="BX90" s="8" t="str">
        <f>IF($K$25="Español","Atento al Balón",(IF($K$25="Deutsch","Abspiel",(IF($K$25="Français","Canonnier","Accurate")))))</f>
        <v>Accurate</v>
      </c>
      <c r="BY90" s="8" t="s">
        <v>199</v>
      </c>
      <c r="BZ90" s="119" t="str">
        <f>IF($K$25="Español","Abrirse Paso",(IF($K$25="Deutsch","Armhebel",(IF($K$25="Français","Bagarre","Arm Bar")))))</f>
        <v>Arm Bar</v>
      </c>
      <c r="CA90" s="8" t="s">
        <v>198</v>
      </c>
      <c r="CB90" s="197" t="str">
        <f t="shared" si="175"/>
        <v/>
      </c>
      <c r="CC90" s="197" t="str">
        <f t="shared" si="175"/>
        <v/>
      </c>
      <c r="CD90" s="8" t="str">
        <f>IF($K$25="Español","Cañonero",(IF($K$25="Deutsch","Hau wech das Leder",(IF($K$25="Français","Chef","Cannoneer")))))</f>
        <v>Cannoneer</v>
      </c>
      <c r="CE90" s="8" t="s">
        <v>199</v>
      </c>
      <c r="CG90" s="8"/>
      <c r="CH90" s="223" t="str">
        <f t="shared" si="128"/>
        <v/>
      </c>
      <c r="CI90" s="223" t="str">
        <f t="shared" si="145"/>
        <v>Accurate</v>
      </c>
      <c r="CJ90" s="51" t="str">
        <f t="shared" si="129"/>
        <v>Accurate</v>
      </c>
      <c r="CK90" s="51" t="str">
        <f t="shared" si="130"/>
        <v>Accurate</v>
      </c>
      <c r="CL90" s="51" t="str">
        <f t="shared" si="131"/>
        <v>Accurate</v>
      </c>
      <c r="CM90" s="51" t="str">
        <f t="shared" si="132"/>
        <v>Accurate</v>
      </c>
      <c r="CN90" s="51" t="str">
        <f t="shared" si="133"/>
        <v>Arm Bar</v>
      </c>
      <c r="CO90" s="51" t="str">
        <f t="shared" si="134"/>
        <v>Arm Bar</v>
      </c>
      <c r="CP90" s="51" t="str">
        <f t="shared" si="135"/>
        <v>Arm Bar</v>
      </c>
      <c r="CQ90" s="51" t="str">
        <f t="shared" si="136"/>
        <v>Arm Bar</v>
      </c>
      <c r="CR90" s="51" t="str">
        <f t="shared" si="137"/>
        <v/>
      </c>
      <c r="CS90" s="51" t="str">
        <f t="shared" si="138"/>
        <v>Arm Bar</v>
      </c>
      <c r="CT90" s="51" t="str">
        <f t="shared" si="139"/>
        <v>Arm Bar</v>
      </c>
      <c r="CU90" s="51" t="str">
        <f t="shared" si="140"/>
        <v/>
      </c>
      <c r="CV90" s="51" t="str">
        <f t="shared" si="141"/>
        <v/>
      </c>
      <c r="CW90" s="51" t="str">
        <f t="shared" si="142"/>
        <v/>
      </c>
      <c r="DA90" s="8"/>
    </row>
    <row r="91" spans="1:105" ht="15" hidden="1"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7">
        <v>1200000</v>
      </c>
      <c r="AT91" s="7"/>
      <c r="AU91" s="7"/>
      <c r="AV91" s="7"/>
      <c r="AW91" s="7"/>
      <c r="AX91" s="7"/>
      <c r="AY91" s="8"/>
      <c r="AZ91" s="8"/>
      <c r="BA91" s="7">
        <v>230000</v>
      </c>
      <c r="BB91" s="8"/>
      <c r="BC91" s="8"/>
      <c r="BD91" s="8"/>
      <c r="BE91" s="8"/>
      <c r="BF91" s="8"/>
      <c r="BL91" s="8"/>
      <c r="BN91" s="8"/>
      <c r="BO91" s="8"/>
      <c r="BP91" s="8"/>
      <c r="BT91" s="8" t="str">
        <f>IF($K$25="Español","Cañonero",(IF($K$25="Deutsch","Hau wech das Leder",(IF($K$25="Français","Chef","Cannoneer")))))</f>
        <v>Cannoneer</v>
      </c>
      <c r="BU91" s="8" t="s">
        <v>199</v>
      </c>
      <c r="BV91" s="119" t="str">
        <f>IF($K$25="Español","Apartar",(IF($K$25="Deutsch","Greifer",(IF($K$25="Français","Blocage multiple","Brawler")))))</f>
        <v>Brawler</v>
      </c>
      <c r="BW91" s="8" t="s">
        <v>198</v>
      </c>
      <c r="BX91" s="8" t="str">
        <f>IF($K$25="Español","Cañonero",(IF($K$25="Deutsch","Hau wech das Leder",(IF($K$25="Français","Chef","Cannoneer")))))</f>
        <v>Cannoneer</v>
      </c>
      <c r="BY91" s="8" t="s">
        <v>199</v>
      </c>
      <c r="BZ91" s="119" t="str">
        <f>IF($K$25="Español","Apartar",(IF($K$25="Deutsch","Greifer",(IF($K$25="Français","Blocage multiple","Brawler")))))</f>
        <v>Brawler</v>
      </c>
      <c r="CA91" s="8" t="s">
        <v>198</v>
      </c>
      <c r="CB91" s="197" t="str">
        <f t="shared" si="175"/>
        <v/>
      </c>
      <c r="CC91" s="197" t="str">
        <f t="shared" si="175"/>
        <v/>
      </c>
      <c r="CD91" s="119" t="str">
        <f>IF($K$25="Español","Dejada",(IF($K$25="Deutsch","Im Laufen passen",(IF($K$25="Français","Délestage","Cloud Burster")))))</f>
        <v>Cloud Burster</v>
      </c>
      <c r="CE91" s="8" t="s">
        <v>199</v>
      </c>
      <c r="CG91" s="8"/>
      <c r="CH91" s="223" t="str">
        <f t="shared" si="128"/>
        <v/>
      </c>
      <c r="CI91" s="223" t="str">
        <f t="shared" si="145"/>
        <v>Cannoneer</v>
      </c>
      <c r="CJ91" s="51" t="str">
        <f t="shared" si="129"/>
        <v>Cannoneer</v>
      </c>
      <c r="CK91" s="51" t="str">
        <f t="shared" si="130"/>
        <v>Cannoneer</v>
      </c>
      <c r="CL91" s="51" t="str">
        <f t="shared" si="131"/>
        <v>Cannoneer</v>
      </c>
      <c r="CM91" s="51" t="str">
        <f t="shared" si="132"/>
        <v>Cannoneer</v>
      </c>
      <c r="CN91" s="51" t="str">
        <f t="shared" si="133"/>
        <v>Brawler</v>
      </c>
      <c r="CO91" s="51" t="str">
        <f t="shared" si="134"/>
        <v>Brawler</v>
      </c>
      <c r="CP91" s="51" t="str">
        <f t="shared" si="135"/>
        <v>Brawler</v>
      </c>
      <c r="CQ91" s="51" t="str">
        <f t="shared" si="136"/>
        <v>Brawler</v>
      </c>
      <c r="CR91" s="51" t="str">
        <f t="shared" si="137"/>
        <v/>
      </c>
      <c r="CS91" s="51" t="str">
        <f t="shared" si="138"/>
        <v>Brawler</v>
      </c>
      <c r="CT91" s="51" t="str">
        <f t="shared" si="139"/>
        <v>Brawler</v>
      </c>
      <c r="CU91" s="51" t="str">
        <f t="shared" si="140"/>
        <v/>
      </c>
      <c r="CV91" s="51" t="str">
        <f t="shared" si="141"/>
        <v/>
      </c>
      <c r="CW91" s="51" t="str">
        <f t="shared" si="142"/>
        <v/>
      </c>
      <c r="DA91" s="8"/>
    </row>
    <row r="92" spans="1:105" ht="15" hidden="1"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7">
        <v>1210000</v>
      </c>
      <c r="AT92" s="7"/>
      <c r="AU92" s="7"/>
      <c r="AV92" s="7"/>
      <c r="AW92" s="7"/>
      <c r="AX92" s="7"/>
      <c r="AY92" s="8"/>
      <c r="AZ92" s="8"/>
      <c r="BA92" s="7">
        <v>240000</v>
      </c>
      <c r="BB92" s="8"/>
      <c r="BC92" s="8"/>
      <c r="BD92" s="8"/>
      <c r="BE92" s="8"/>
      <c r="BF92" s="8"/>
      <c r="BL92" s="8"/>
      <c r="BN92" s="8"/>
      <c r="BO92" s="8"/>
      <c r="BP92" s="8"/>
      <c r="BT92" s="119" t="str">
        <f>IF($K$25="Español","Dejada",(IF($K$25="Deutsch","Im Laufen passen",(IF($K$25="Français","Délestage","Cloud Burster")))))</f>
        <v>Cloud Burster</v>
      </c>
      <c r="BU92" s="8" t="s">
        <v>199</v>
      </c>
      <c r="BV92" s="119" t="str">
        <f>IF($K$25="Español","Brazo Fuerte",(IF($K$25="Deutsch","Knochenbrecher (+1)",(IF($K$25="Français","Bras musclé","Break Tackle")))))</f>
        <v>Break Tackle</v>
      </c>
      <c r="BW92" s="8" t="s">
        <v>198</v>
      </c>
      <c r="BX92" s="119" t="str">
        <f>IF($K$25="Español","Dejada",(IF($K$25="Deutsch","Im Laufen passen",(IF($K$25="Français","Délestage","Cloud Burster")))))</f>
        <v>Cloud Burster</v>
      </c>
      <c r="BY92" s="8" t="s">
        <v>199</v>
      </c>
      <c r="BZ92" s="119" t="str">
        <f>IF($K$25="Español","Brazo Fuerte",(IF($K$25="Deutsch","Knochenbrecher (+1)",(IF($K$25="Français","Bras musclé","Break Tackle")))))</f>
        <v>Break Tackle</v>
      </c>
      <c r="CA92" s="8" t="s">
        <v>198</v>
      </c>
      <c r="CB92" s="197" t="str">
        <f t="shared" si="175"/>
        <v/>
      </c>
      <c r="CC92" s="197" t="str">
        <f t="shared" si="175"/>
        <v/>
      </c>
      <c r="CD92" s="119" t="str">
        <f>IF($K$25="Español","Líder",(IF($K$25="Deutsch","In die Wolken",(IF($K$25="Français","Fumblerooskie","Dump-Off")))))</f>
        <v>Dump-Off</v>
      </c>
      <c r="CE92" s="8" t="s">
        <v>199</v>
      </c>
      <c r="CG92" s="8"/>
      <c r="CH92" s="223" t="str">
        <f t="shared" si="128"/>
        <v/>
      </c>
      <c r="CI92" s="223" t="str">
        <f t="shared" si="145"/>
        <v>Cloud Burster</v>
      </c>
      <c r="CJ92" s="51" t="str">
        <f t="shared" si="129"/>
        <v>Cloud Burster</v>
      </c>
      <c r="CK92" s="51" t="str">
        <f t="shared" si="130"/>
        <v>Cloud Burster</v>
      </c>
      <c r="CL92" s="51" t="str">
        <f t="shared" si="131"/>
        <v>Cloud Burster</v>
      </c>
      <c r="CM92" s="51" t="str">
        <f t="shared" si="132"/>
        <v>Cloud Burster</v>
      </c>
      <c r="CN92" s="51" t="str">
        <f t="shared" si="133"/>
        <v>Break Tackle</v>
      </c>
      <c r="CO92" s="51" t="str">
        <f t="shared" si="134"/>
        <v>Break Tackle</v>
      </c>
      <c r="CP92" s="51" t="str">
        <f t="shared" si="135"/>
        <v>Break Tackle</v>
      </c>
      <c r="CQ92" s="51" t="str">
        <f t="shared" si="136"/>
        <v>Break Tackle</v>
      </c>
      <c r="CR92" s="51" t="str">
        <f t="shared" si="137"/>
        <v/>
      </c>
      <c r="CS92" s="51" t="str">
        <f t="shared" si="138"/>
        <v>Break Tackle</v>
      </c>
      <c r="CT92" s="51" t="str">
        <f t="shared" si="139"/>
        <v>Break Tackle</v>
      </c>
      <c r="CU92" s="51" t="str">
        <f t="shared" si="140"/>
        <v/>
      </c>
      <c r="CV92" s="51" t="str">
        <f t="shared" si="141"/>
        <v/>
      </c>
      <c r="CW92" s="51" t="str">
        <f t="shared" si="142"/>
        <v/>
      </c>
      <c r="DA92" s="8"/>
    </row>
    <row r="93" spans="1:105" ht="15" hidden="1"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7">
        <v>1220000</v>
      </c>
      <c r="AT93" s="7"/>
      <c r="AU93" s="7"/>
      <c r="AV93" s="7"/>
      <c r="AW93" s="7"/>
      <c r="AX93" s="7"/>
      <c r="AY93" s="8"/>
      <c r="AZ93" s="8"/>
      <c r="BA93" s="7">
        <v>250000</v>
      </c>
      <c r="BB93" s="8"/>
      <c r="BC93" s="8"/>
      <c r="BD93" s="8"/>
      <c r="BE93" s="8"/>
      <c r="BF93" s="8"/>
      <c r="BL93" s="8"/>
      <c r="BN93" s="8"/>
      <c r="BO93" s="8"/>
      <c r="BP93" s="8"/>
      <c r="BT93" s="119" t="str">
        <f>IF($K$25="Español","Líder",(IF($K$25="Deutsch","In die Wolken",(IF($K$25="Français","Fumblerooskie","Dump-Off")))))</f>
        <v>Dump-Off</v>
      </c>
      <c r="BU93" s="8" t="s">
        <v>199</v>
      </c>
      <c r="BV93" s="119" t="str">
        <f>IF($K$25="Español","Cabeza Dura",(IF($K$25="Deutsch","Mehrfachblock",(IF($K$25="Français","Châtaigne (+1)","Grab")))))</f>
        <v>Grab</v>
      </c>
      <c r="BW93" s="8" t="s">
        <v>198</v>
      </c>
      <c r="BX93" s="119" t="str">
        <f>IF($K$25="Español","Líder",(IF($K$25="Deutsch","In die Wolken",(IF($K$25="Français","Fumblerooskie","Dump-Off")))))</f>
        <v>Dump-Off</v>
      </c>
      <c r="BY93" s="8" t="s">
        <v>199</v>
      </c>
      <c r="BZ93" s="119" t="str">
        <f>IF($K$25="Español","Cabeza Dura",(IF($K$25="Deutsch","Mehrfachblock",(IF($K$25="Français","Châtaigne (+1)","Grab")))))</f>
        <v>Grab</v>
      </c>
      <c r="CA93" s="8" t="s">
        <v>198</v>
      </c>
      <c r="CB93" s="197" t="str">
        <f t="shared" si="175"/>
        <v/>
      </c>
      <c r="CC93" s="197" t="str">
        <f t="shared" si="175"/>
        <v/>
      </c>
      <c r="CD93" s="119" t="str">
        <f>IF($K$25="Español","Nervios de Acero",(IF($K$25="Deutsch","Immer am Ball",(IF($K$25="Français","Nerfs d’acier","Fumblerooskie")))))</f>
        <v>Fumblerooskie</v>
      </c>
      <c r="CE93" s="8" t="s">
        <v>199</v>
      </c>
      <c r="CG93" s="8"/>
      <c r="CH93" s="223" t="str">
        <f t="shared" si="128"/>
        <v/>
      </c>
      <c r="CI93" s="223" t="str">
        <f t="shared" si="145"/>
        <v>Dump-Off</v>
      </c>
      <c r="CJ93" s="51" t="str">
        <f t="shared" si="129"/>
        <v>Dump-Off</v>
      </c>
      <c r="CK93" s="51" t="str">
        <f t="shared" si="130"/>
        <v>Dump-Off</v>
      </c>
      <c r="CL93" s="51" t="str">
        <f t="shared" si="131"/>
        <v>Dump-Off</v>
      </c>
      <c r="CM93" s="51" t="str">
        <f t="shared" si="132"/>
        <v>Dump-Off</v>
      </c>
      <c r="CN93" s="51" t="str">
        <f t="shared" si="133"/>
        <v>Grab</v>
      </c>
      <c r="CO93" s="51" t="str">
        <f t="shared" si="134"/>
        <v>Grab</v>
      </c>
      <c r="CP93" s="51" t="str">
        <f t="shared" si="135"/>
        <v>Grab</v>
      </c>
      <c r="CQ93" s="51" t="str">
        <f t="shared" si="136"/>
        <v>Grab</v>
      </c>
      <c r="CR93" s="51" t="str">
        <f t="shared" si="137"/>
        <v/>
      </c>
      <c r="CS93" s="51" t="str">
        <f t="shared" si="138"/>
        <v>Grab</v>
      </c>
      <c r="CT93" s="51" t="str">
        <f t="shared" si="139"/>
        <v>Grab</v>
      </c>
      <c r="CU93" s="51" t="str">
        <f t="shared" si="140"/>
        <v/>
      </c>
      <c r="CV93" s="51" t="str">
        <f t="shared" si="141"/>
        <v/>
      </c>
      <c r="CW93" s="51" t="str">
        <f t="shared" si="142"/>
        <v/>
      </c>
      <c r="DA93" s="8"/>
    </row>
    <row r="94" spans="1:105" ht="15" hidden="1"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7">
        <v>1230000</v>
      </c>
      <c r="AT94" s="7"/>
      <c r="AU94" s="7"/>
      <c r="AV94" s="7"/>
      <c r="AW94" s="7"/>
      <c r="AX94" s="7"/>
      <c r="AY94" s="8"/>
      <c r="AZ94" s="8"/>
      <c r="BA94" s="7">
        <v>260000</v>
      </c>
      <c r="BB94" s="8"/>
      <c r="BC94" s="8"/>
      <c r="BD94" s="8"/>
      <c r="BE94" s="8"/>
      <c r="BF94" s="8"/>
      <c r="BL94" s="8"/>
      <c r="BN94" s="8"/>
      <c r="BO94" s="8"/>
      <c r="BP94" s="8"/>
      <c r="BT94" s="119" t="str">
        <f>IF($K$25="Español","Nervios de Acero",(IF($K$25="Deutsch","Immer am Ball",(IF($K$25="Français","Nerfs d’acier","Fumblerooskie")))))</f>
        <v>Fumblerooskie</v>
      </c>
      <c r="BU94" s="8" t="s">
        <v>199</v>
      </c>
      <c r="BV94" s="119" t="str">
        <f>IF($K$25="Español","Crujir",(IF($K$25="Deutsch","Ramme",(IF($K$25="Français","Clé de bras","Guard")))))</f>
        <v>Guard</v>
      </c>
      <c r="BW94" s="8" t="s">
        <v>198</v>
      </c>
      <c r="BX94" s="119" t="str">
        <f>IF($K$25="Español","Nervios de Acero",(IF($K$25="Deutsch","Immer am Ball",(IF($K$25="Français","Nerfs d’acier","Fumblerooskie")))))</f>
        <v>Fumblerooskie</v>
      </c>
      <c r="BY94" s="8" t="s">
        <v>199</v>
      </c>
      <c r="BZ94" s="119" t="str">
        <f>IF($K$25="Español","Crujir",(IF($K$25="Deutsch","Ramme",(IF($K$25="Français","Clé de bras","Guard")))))</f>
        <v>Guard</v>
      </c>
      <c r="CA94" s="8" t="s">
        <v>198</v>
      </c>
      <c r="CB94" s="197" t="str">
        <f t="shared" si="175"/>
        <v/>
      </c>
      <c r="CC94" s="197" t="str">
        <f t="shared" si="175"/>
        <v/>
      </c>
      <c r="CD94" s="119" t="str">
        <f>IF($K$25="Español","Partenubes",(IF($K$25="Deutsch","Kanonier",(IF($K$25="Français","Passe","Hail Mary Pass")))))</f>
        <v>Hail Mary Pass</v>
      </c>
      <c r="CE94" s="8" t="s">
        <v>199</v>
      </c>
      <c r="CG94" s="8"/>
      <c r="CH94" s="223" t="str">
        <f t="shared" si="128"/>
        <v/>
      </c>
      <c r="CI94" s="223" t="str">
        <f t="shared" si="145"/>
        <v>Fumblerooskie</v>
      </c>
      <c r="CJ94" s="51" t="str">
        <f t="shared" si="129"/>
        <v>Fumblerooskie</v>
      </c>
      <c r="CK94" s="51" t="str">
        <f t="shared" si="130"/>
        <v>Fumblerooskie</v>
      </c>
      <c r="CL94" s="51" t="str">
        <f t="shared" si="131"/>
        <v>Fumblerooskie</v>
      </c>
      <c r="CM94" s="51" t="str">
        <f t="shared" si="132"/>
        <v>Fumblerooskie</v>
      </c>
      <c r="CN94" s="51" t="str">
        <f t="shared" si="133"/>
        <v>Guard</v>
      </c>
      <c r="CO94" s="51" t="str">
        <f t="shared" si="134"/>
        <v>Guard</v>
      </c>
      <c r="CP94" s="51" t="str">
        <f t="shared" si="135"/>
        <v>Guard</v>
      </c>
      <c r="CQ94" s="51" t="str">
        <f t="shared" si="136"/>
        <v>Guard</v>
      </c>
      <c r="CR94" s="51" t="str">
        <f t="shared" si="137"/>
        <v/>
      </c>
      <c r="CS94" s="51" t="str">
        <f t="shared" si="138"/>
        <v>Guard</v>
      </c>
      <c r="CT94" s="51" t="str">
        <f t="shared" si="139"/>
        <v>Guard</v>
      </c>
      <c r="CU94" s="51" t="str">
        <f t="shared" si="140"/>
        <v/>
      </c>
      <c r="CV94" s="51" t="str">
        <f t="shared" si="141"/>
        <v/>
      </c>
      <c r="CW94" s="51" t="str">
        <f t="shared" si="142"/>
        <v/>
      </c>
      <c r="DA94" s="8"/>
    </row>
    <row r="95" spans="1:105" ht="15" hidden="1"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7">
        <v>1240000</v>
      </c>
      <c r="AT95" s="7"/>
      <c r="AU95" s="7"/>
      <c r="AV95" s="7"/>
      <c r="AW95" s="7"/>
      <c r="AX95" s="7"/>
      <c r="AY95" s="8"/>
      <c r="AZ95" s="8"/>
      <c r="BA95" s="7">
        <v>270000</v>
      </c>
      <c r="BB95" s="8"/>
      <c r="BC95" s="8"/>
      <c r="BD95" s="8"/>
      <c r="BE95" s="8"/>
      <c r="BF95" s="8"/>
      <c r="BL95" s="8"/>
      <c r="BN95" s="8"/>
      <c r="BO95" s="8"/>
      <c r="BP95" s="8"/>
      <c r="BT95" s="119" t="str">
        <f>IF($K$25="Español","Partenubes",(IF($K$25="Deutsch","Kanonier",(IF($K$25="Français","Passe","Hail Mary Pass")))))</f>
        <v>Hail Mary Pass</v>
      </c>
      <c r="BU95" s="8" t="s">
        <v>199</v>
      </c>
      <c r="BV95" s="8" t="str">
        <f>IF($K$25="Español","Defensa",(IF($K$25="Deutsch","Raufbold",(IF($K$25="Français","Crâne épais","Juggernaut")))))</f>
        <v>Juggernaut</v>
      </c>
      <c r="BW95" s="8" t="s">
        <v>198</v>
      </c>
      <c r="BX95" s="119" t="str">
        <f>IF($K$25="Español","Partenubes",(IF($K$25="Deutsch","Kanonier",(IF($K$25="Français","Passe","Hail Mary Pass")))))</f>
        <v>Hail Mary Pass</v>
      </c>
      <c r="BY95" s="8" t="s">
        <v>199</v>
      </c>
      <c r="BZ95" s="8" t="str">
        <f>IF($K$25="Español","Defensa",(IF($K$25="Deutsch","Raufbold",(IF($K$25="Français","Crâne épais","Juggernaut")))))</f>
        <v>Juggernaut</v>
      </c>
      <c r="CA95" s="8" t="s">
        <v>198</v>
      </c>
      <c r="CB95" s="197" t="str">
        <f t="shared" si="175"/>
        <v/>
      </c>
      <c r="CC95" s="197" t="str">
        <f t="shared" si="175"/>
        <v/>
      </c>
      <c r="CD95" s="119" t="str">
        <f>IF($K$25="Español","Pasar",(IF($K$25="Deutsch","Nerven aus Stahl",(IF($K$25="Français","Passe assurée","Leader")))))</f>
        <v>Leader</v>
      </c>
      <c r="CE95" s="8" t="s">
        <v>199</v>
      </c>
      <c r="CG95" s="8"/>
      <c r="CH95" s="223" t="str">
        <f t="shared" si="128"/>
        <v/>
      </c>
      <c r="CI95" s="223" t="str">
        <f t="shared" si="145"/>
        <v>Hail Mary Pass</v>
      </c>
      <c r="CJ95" s="51" t="str">
        <f t="shared" si="129"/>
        <v>Hail Mary Pass</v>
      </c>
      <c r="CK95" s="51" t="str">
        <f t="shared" si="130"/>
        <v>Hail Mary Pass</v>
      </c>
      <c r="CL95" s="51" t="str">
        <f t="shared" si="131"/>
        <v>Hail Mary Pass</v>
      </c>
      <c r="CM95" s="51" t="str">
        <f t="shared" si="132"/>
        <v>Hail Mary Pass</v>
      </c>
      <c r="CN95" s="51" t="str">
        <f t="shared" si="133"/>
        <v>Juggernaut</v>
      </c>
      <c r="CO95" s="51" t="str">
        <f t="shared" si="134"/>
        <v>Juggernaut</v>
      </c>
      <c r="CP95" s="51" t="str">
        <f t="shared" si="135"/>
        <v>Juggernaut</v>
      </c>
      <c r="CQ95" s="51" t="str">
        <f t="shared" si="136"/>
        <v>Juggernaut</v>
      </c>
      <c r="CR95" s="51" t="str">
        <f t="shared" si="137"/>
        <v/>
      </c>
      <c r="CS95" s="51" t="str">
        <f t="shared" si="138"/>
        <v>Juggernaut</v>
      </c>
      <c r="CT95" s="51" t="str">
        <f t="shared" si="139"/>
        <v>Juggernaut</v>
      </c>
      <c r="CU95" s="51" t="str">
        <f t="shared" si="140"/>
        <v/>
      </c>
      <c r="CV95" s="51" t="str">
        <f t="shared" si="141"/>
        <v/>
      </c>
      <c r="CW95" s="51" t="str">
        <f t="shared" si="142"/>
        <v/>
      </c>
      <c r="DA95" s="8"/>
    </row>
    <row r="96" spans="1:105" ht="15" hidden="1"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7">
        <v>1250000</v>
      </c>
      <c r="AT96" s="7"/>
      <c r="AU96" s="7"/>
      <c r="AV96" s="7"/>
      <c r="AW96" s="7"/>
      <c r="AX96" s="7"/>
      <c r="AY96" s="8"/>
      <c r="AZ96" s="8"/>
      <c r="BA96" s="7">
        <v>280000</v>
      </c>
      <c r="BB96" s="8"/>
      <c r="BC96" s="8"/>
      <c r="BD96" s="8"/>
      <c r="BE96" s="8"/>
      <c r="BF96" s="8"/>
      <c r="BL96" s="8"/>
      <c r="BN96" s="8"/>
      <c r="BO96" s="8"/>
      <c r="BP96" s="8"/>
      <c r="BT96" s="119" t="str">
        <f>IF($K$25="Español","Pasar",(IF($K$25="Deutsch","Nerven aus Stahl",(IF($K$25="Français","Passe assurée","Leader")))))</f>
        <v>Leader</v>
      </c>
      <c r="BU96" s="8" t="s">
        <v>199</v>
      </c>
      <c r="BV96" s="8" t="str">
        <f>IF($K$25="Español","Golpe Mortífero (+1)",(IF($K$25="Deutsch","Schweres Gerät",(IF($K$25="Français","Esquive en force","Mighty Blow (+1)")))))</f>
        <v>Mighty Blow (+1)</v>
      </c>
      <c r="BW96" s="8" t="s">
        <v>198</v>
      </c>
      <c r="BX96" s="119" t="str">
        <f>IF($K$25="Español","Pasar",(IF($K$25="Deutsch","Nerven aus Stahl",(IF($K$25="Français","Passe assurée","Leader")))))</f>
        <v>Leader</v>
      </c>
      <c r="BY96" s="8" t="s">
        <v>199</v>
      </c>
      <c r="BZ96" s="8" t="str">
        <f>IF($K$25="Español","Golpe Mortífero (+1)",(IF($K$25="Deutsch","Schweres Gerät",(IF($K$25="Français","Esquive en force","Mighty Blow (+1)")))))</f>
        <v>Mighty Blow (+1)</v>
      </c>
      <c r="CA96" s="8" t="s">
        <v>198</v>
      </c>
      <c r="CB96" s="197" t="str">
        <f t="shared" si="175"/>
        <v/>
      </c>
      <c r="CC96" s="197" t="str">
        <f t="shared" si="175"/>
        <v/>
      </c>
      <c r="CD96" s="119" t="str">
        <f>IF($K$25="Español","Pase a la Carrera",(IF($K$25="Deutsch","Scheinpatzer",(IF($K$25="Français","Passe dans la course","Nerves of Steel")))))</f>
        <v>Nerves of Steel</v>
      </c>
      <c r="CE96" s="8" t="s">
        <v>199</v>
      </c>
      <c r="CG96" s="8"/>
      <c r="CH96" s="223" t="str">
        <f t="shared" si="128"/>
        <v/>
      </c>
      <c r="CI96" s="223" t="str">
        <f t="shared" si="145"/>
        <v>Leader</v>
      </c>
      <c r="CJ96" s="51" t="str">
        <f t="shared" si="129"/>
        <v>Leader</v>
      </c>
      <c r="CK96" s="51" t="str">
        <f t="shared" si="130"/>
        <v>Leader</v>
      </c>
      <c r="CL96" s="51" t="str">
        <f t="shared" si="131"/>
        <v>Leader</v>
      </c>
      <c r="CM96" s="51" t="str">
        <f t="shared" si="132"/>
        <v>Leader</v>
      </c>
      <c r="CN96" s="51" t="str">
        <f t="shared" si="133"/>
        <v>Mighty Blow (+1)</v>
      </c>
      <c r="CO96" s="51" t="str">
        <f t="shared" si="134"/>
        <v>Mighty Blow (+1)</v>
      </c>
      <c r="CP96" s="51" t="str">
        <f t="shared" si="135"/>
        <v>Mighty Blow (+1)</v>
      </c>
      <c r="CQ96" s="51" t="str">
        <f t="shared" si="136"/>
        <v>Mighty Blow (+1)</v>
      </c>
      <c r="CR96" s="51" t="str">
        <f t="shared" si="137"/>
        <v/>
      </c>
      <c r="CS96" s="51" t="str">
        <f t="shared" si="138"/>
        <v>Mighty Blow (+1)</v>
      </c>
      <c r="CT96" s="51" t="str">
        <f t="shared" si="139"/>
        <v>Mighty Blow (+1)</v>
      </c>
      <c r="CU96" s="51" t="str">
        <f t="shared" si="140"/>
        <v/>
      </c>
      <c r="CV96" s="51" t="str">
        <f t="shared" si="141"/>
        <v/>
      </c>
      <c r="CW96" s="51" t="str">
        <f t="shared" si="142"/>
        <v/>
      </c>
      <c r="DA96" s="8"/>
    </row>
    <row r="97" spans="1:105" ht="15" hidden="1"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7">
        <v>1260000</v>
      </c>
      <c r="AT97" s="7"/>
      <c r="AU97" s="7"/>
      <c r="AV97" s="7"/>
      <c r="AW97" s="7"/>
      <c r="AX97" s="7"/>
      <c r="AY97" s="8"/>
      <c r="AZ97" s="53"/>
      <c r="BA97" s="7">
        <v>290000</v>
      </c>
      <c r="BB97" s="53"/>
      <c r="BC97" s="53"/>
      <c r="BD97" s="8"/>
      <c r="BE97" s="53"/>
      <c r="BF97" s="8"/>
      <c r="BI97" s="10"/>
      <c r="BJ97" s="10"/>
      <c r="BK97" s="10"/>
      <c r="BL97" s="8"/>
      <c r="BN97" s="8"/>
      <c r="BO97" s="8"/>
      <c r="BP97" s="8"/>
      <c r="BT97" s="119" t="str">
        <f>IF($K$25="Español","Pase a la Carrera",(IF($K$25="Deutsch","Scheinpatzer",(IF($K$25="Français","Passe dans la course","Nerves of Steel")))))</f>
        <v>Nerves of Steel</v>
      </c>
      <c r="BU97" s="8" t="s">
        <v>199</v>
      </c>
      <c r="BV97" s="8" t="str">
        <f>IF($K$25="Español","Imparable",(IF($K$25="Deutsch","Standfest",(IF($K$25="Français","Garde","Multiple Blocks")))))</f>
        <v>Multiple Blocks</v>
      </c>
      <c r="BW97" s="8" t="s">
        <v>198</v>
      </c>
      <c r="BX97" s="119" t="str">
        <f>IF($K$25="Español","Pase a la Carrera",(IF($K$25="Deutsch","Scheinpatzer",(IF($K$25="Français","Passe dans la course","Nerves of Steel")))))</f>
        <v>Nerves of Steel</v>
      </c>
      <c r="BY97" s="8" t="s">
        <v>199</v>
      </c>
      <c r="BZ97" s="8" t="str">
        <f>IF($K$25="Español","Imparable",(IF($K$25="Deutsch","Standfest",(IF($K$25="Français","Garde","Multiple Blocks")))))</f>
        <v>Multiple Blocks</v>
      </c>
      <c r="CA97" s="8" t="s">
        <v>198</v>
      </c>
      <c r="CB97" s="197" t="str">
        <f t="shared" si="175"/>
        <v/>
      </c>
      <c r="CC97" s="197" t="str">
        <f t="shared" si="175"/>
        <v/>
      </c>
      <c r="CD97" s="119" t="str">
        <f>IF($K$25="Español","Pase a lo Loco",(IF($K$25="Deutsch","Sicherer Pass",(IF($K$25="Français","Passe désespérée","On the Ball")))))</f>
        <v>On the Ball</v>
      </c>
      <c r="CE97" s="8" t="s">
        <v>199</v>
      </c>
      <c r="CG97" s="8"/>
      <c r="CH97" s="223" t="str">
        <f t="shared" si="128"/>
        <v/>
      </c>
      <c r="CI97" s="223" t="str">
        <f t="shared" si="145"/>
        <v>Nerves of Steel</v>
      </c>
      <c r="CJ97" s="51" t="str">
        <f t="shared" si="129"/>
        <v>Nerves of Steel</v>
      </c>
      <c r="CK97" s="51" t="str">
        <f t="shared" si="130"/>
        <v>Nerves of Steel</v>
      </c>
      <c r="CL97" s="51" t="str">
        <f t="shared" si="131"/>
        <v>Nerves of Steel</v>
      </c>
      <c r="CM97" s="51" t="str">
        <f t="shared" si="132"/>
        <v>Nerves of Steel</v>
      </c>
      <c r="CN97" s="51" t="str">
        <f t="shared" si="133"/>
        <v>Multiple Blocks</v>
      </c>
      <c r="CO97" s="51" t="str">
        <f t="shared" si="134"/>
        <v>Multiple Blocks</v>
      </c>
      <c r="CP97" s="51" t="str">
        <f t="shared" si="135"/>
        <v>Multiple Blocks</v>
      </c>
      <c r="CQ97" s="51" t="str">
        <f t="shared" si="136"/>
        <v>Multiple Blocks</v>
      </c>
      <c r="CR97" s="51" t="str">
        <f t="shared" si="137"/>
        <v/>
      </c>
      <c r="CS97" s="51" t="str">
        <f t="shared" si="138"/>
        <v>Multiple Blocks</v>
      </c>
      <c r="CT97" s="51" t="str">
        <f t="shared" si="139"/>
        <v>Multiple Blocks</v>
      </c>
      <c r="CU97" s="51" t="str">
        <f t="shared" si="140"/>
        <v/>
      </c>
      <c r="CV97" s="51" t="str">
        <f t="shared" si="141"/>
        <v/>
      </c>
      <c r="CW97" s="51" t="str">
        <f t="shared" si="142"/>
        <v/>
      </c>
      <c r="DA97" s="8"/>
    </row>
    <row r="98" spans="1:105" ht="15" hidden="1"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7">
        <v>1270000</v>
      </c>
      <c r="AT98" s="7"/>
      <c r="AU98" s="7"/>
      <c r="AV98" s="7"/>
      <c r="AW98" s="7"/>
      <c r="AX98" s="7"/>
      <c r="AY98" s="8"/>
      <c r="AZ98" s="55"/>
      <c r="BA98" s="7">
        <v>300000</v>
      </c>
      <c r="BB98" s="55"/>
      <c r="BC98" s="55"/>
      <c r="BD98" s="8"/>
      <c r="BE98" s="55"/>
      <c r="BF98" s="8"/>
      <c r="BH98" s="8"/>
      <c r="BI98" s="8"/>
      <c r="BJ98" s="8"/>
      <c r="BK98" s="8"/>
      <c r="BL98" s="8"/>
      <c r="BN98" s="8"/>
      <c r="BO98" s="8"/>
      <c r="BP98" s="8"/>
      <c r="BT98" s="119" t="str">
        <f>IF($K$25="Español","Pase a lo Loco",(IF($K$25="Deutsch","Sicherer Pass",(IF($K$25="Français","Passe désespérée","On the Ball")))))</f>
        <v>On the Ball</v>
      </c>
      <c r="BU98" s="8" t="s">
        <v>199</v>
      </c>
      <c r="BV98" s="8" t="str">
        <f>IF($K$25="Español","Llave de Brazo",(IF($K$25="Deutsch","Starker Wurfarm",(IF($K$25="Français","Juggernaut","Pile Diver")))))</f>
        <v>Pile Diver</v>
      </c>
      <c r="BW98" s="8" t="s">
        <v>198</v>
      </c>
      <c r="BX98" s="119" t="str">
        <f>IF($K$25="Español","Pase a lo Loco",(IF($K$25="Deutsch","Sicherer Pass",(IF($K$25="Français","Passe désespérée","On the Ball")))))</f>
        <v>On the Ball</v>
      </c>
      <c r="BY98" s="8" t="s">
        <v>199</v>
      </c>
      <c r="BZ98" s="8" t="str">
        <f>IF($K$25="Español","Llave de Brazo",(IF($K$25="Deutsch","Starker Wurfarm",(IF($K$25="Français","Juggernaut","Pile Diver")))))</f>
        <v>Pile Diver</v>
      </c>
      <c r="CA98" s="8" t="s">
        <v>198</v>
      </c>
      <c r="CB98" s="197" t="str">
        <f t="shared" si="175"/>
        <v/>
      </c>
      <c r="CC98" s="197" t="str">
        <f t="shared" si="175"/>
        <v/>
      </c>
      <c r="CD98" s="119" t="str">
        <f>IF($K$25="Español","Pase Precipitado",(IF($K$25="Deutsch","Teamkapitän",(IF($K$25="Français","Perce-nuage","Pass")))))</f>
        <v>Pass</v>
      </c>
      <c r="CE98" s="8" t="s">
        <v>199</v>
      </c>
      <c r="CG98" s="8"/>
      <c r="CH98" s="223" t="str">
        <f t="shared" si="128"/>
        <v/>
      </c>
      <c r="CI98" s="223" t="str">
        <f t="shared" si="145"/>
        <v>On the Ball</v>
      </c>
      <c r="CJ98" s="51" t="str">
        <f t="shared" si="129"/>
        <v>On the Ball</v>
      </c>
      <c r="CK98" s="51" t="str">
        <f t="shared" si="130"/>
        <v>On the Ball</v>
      </c>
      <c r="CL98" s="51" t="str">
        <f t="shared" si="131"/>
        <v>On the Ball</v>
      </c>
      <c r="CM98" s="51" t="str">
        <f t="shared" si="132"/>
        <v>On the Ball</v>
      </c>
      <c r="CN98" s="51" t="str">
        <f t="shared" si="133"/>
        <v>Pile Diver</v>
      </c>
      <c r="CO98" s="51" t="str">
        <f t="shared" si="134"/>
        <v>Pile Diver</v>
      </c>
      <c r="CP98" s="51" t="str">
        <f t="shared" si="135"/>
        <v>Pile Diver</v>
      </c>
      <c r="CQ98" s="51" t="str">
        <f t="shared" si="136"/>
        <v>Pile Diver</v>
      </c>
      <c r="CR98" s="51" t="str">
        <f t="shared" si="137"/>
        <v/>
      </c>
      <c r="CS98" s="51" t="str">
        <f t="shared" si="138"/>
        <v>Pile Diver</v>
      </c>
      <c r="CT98" s="51" t="str">
        <f t="shared" si="139"/>
        <v>Pile Diver</v>
      </c>
      <c r="CU98" s="51" t="str">
        <f t="shared" si="140"/>
        <v/>
      </c>
      <c r="CV98" s="51" t="str">
        <f t="shared" si="141"/>
        <v/>
      </c>
      <c r="CW98" s="51" t="str">
        <f t="shared" si="142"/>
        <v/>
      </c>
      <c r="DA98" s="8"/>
    </row>
    <row r="99" spans="1:105" ht="15" hidden="1"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7">
        <v>1280000</v>
      </c>
      <c r="AT99" s="7"/>
      <c r="AU99" s="7"/>
      <c r="AV99" s="7"/>
      <c r="AW99" s="7"/>
      <c r="AX99" s="7"/>
      <c r="AY99" s="8"/>
      <c r="AZ99" s="55"/>
      <c r="BA99" s="7">
        <v>310000</v>
      </c>
      <c r="BB99" s="55"/>
      <c r="BC99" s="55"/>
      <c r="BD99" s="8"/>
      <c r="BE99" s="55"/>
      <c r="BF99" s="8"/>
      <c r="BH99" s="8"/>
      <c r="BJ99" s="10"/>
      <c r="BL99" s="8"/>
      <c r="BN99" s="8"/>
      <c r="BO99" s="8"/>
      <c r="BP99" s="8"/>
      <c r="BT99" s="119" t="str">
        <f>IF($K$25="Español","Pase Precipitado",(IF($K$25="Deutsch","Teamkapitän",(IF($K$25="Français","Perce-nuage","Pass")))))</f>
        <v>Pass</v>
      </c>
      <c r="BU99" s="8" t="s">
        <v>199</v>
      </c>
      <c r="BV99" s="8" t="str">
        <f>IF($K$25="Español","Luchador",(IF($K$25="Deutsch","Tackle durchbrechen",(IF($K$25="Français","Mateau-pilon","Stand Firm")))))</f>
        <v>Stand Firm</v>
      </c>
      <c r="BW99" s="8" t="s">
        <v>198</v>
      </c>
      <c r="BX99" s="119" t="str">
        <f>IF($K$25="Español","Pase Precipitado",(IF($K$25="Deutsch","Teamkapitän",(IF($K$25="Français","Perce-nuage","Pass")))))</f>
        <v>Pass</v>
      </c>
      <c r="BY99" s="8" t="s">
        <v>199</v>
      </c>
      <c r="BZ99" s="8" t="str">
        <f>IF($K$25="Español","Luchador",(IF($K$25="Deutsch","Tackle durchbrechen",(IF($K$25="Français","Mateau-pilon","Stand Firm")))))</f>
        <v>Stand Firm</v>
      </c>
      <c r="CA99" s="8" t="s">
        <v>198</v>
      </c>
      <c r="CB99" s="197" t="str">
        <f t="shared" si="175"/>
        <v/>
      </c>
      <c r="CC99" s="197" t="str">
        <f t="shared" si="175"/>
        <v/>
      </c>
      <c r="CD99" s="119" t="str">
        <f>IF($K$25="Español","Pase Seguro",(IF($K$25="Deutsch","Wurfsicher",(IF($K$25="Français","Précision","Running Pass")))))</f>
        <v>Running Pass</v>
      </c>
      <c r="CE99" s="8" t="s">
        <v>199</v>
      </c>
      <c r="CG99" s="8"/>
      <c r="CH99" s="223" t="str">
        <f t="shared" si="128"/>
        <v/>
      </c>
      <c r="CI99" s="223" t="str">
        <f t="shared" si="145"/>
        <v>Pass</v>
      </c>
      <c r="CJ99" s="51" t="str">
        <f t="shared" si="129"/>
        <v>Pass</v>
      </c>
      <c r="CK99" s="51" t="str">
        <f t="shared" si="130"/>
        <v>Pass</v>
      </c>
      <c r="CL99" s="51" t="str">
        <f t="shared" si="131"/>
        <v>Pass</v>
      </c>
      <c r="CM99" s="51" t="str">
        <f t="shared" si="132"/>
        <v>Pass</v>
      </c>
      <c r="CN99" s="51" t="str">
        <f t="shared" si="133"/>
        <v>Stand Firm</v>
      </c>
      <c r="CO99" s="51" t="str">
        <f t="shared" si="134"/>
        <v>Stand Firm</v>
      </c>
      <c r="CP99" s="51" t="str">
        <f t="shared" si="135"/>
        <v>Stand Firm</v>
      </c>
      <c r="CQ99" s="51" t="str">
        <f t="shared" si="136"/>
        <v>Stand Firm</v>
      </c>
      <c r="CR99" s="51" t="str">
        <f t="shared" si="137"/>
        <v/>
      </c>
      <c r="CS99" s="51" t="str">
        <f t="shared" si="138"/>
        <v>Stand Firm</v>
      </c>
      <c r="CT99" s="51" t="str">
        <f t="shared" si="139"/>
        <v>Stand Firm</v>
      </c>
      <c r="CU99" s="51" t="str">
        <f t="shared" si="140"/>
        <v/>
      </c>
      <c r="CV99" s="51" t="str">
        <f t="shared" si="141"/>
        <v/>
      </c>
      <c r="CW99" s="51" t="str">
        <f t="shared" si="142"/>
        <v/>
      </c>
      <c r="DA99" s="8"/>
    </row>
    <row r="100" spans="1:105" ht="15" hidden="1"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7">
        <v>1290000</v>
      </c>
      <c r="AT100" s="7"/>
      <c r="AU100" s="7"/>
      <c r="AV100" s="7"/>
      <c r="AW100" s="7"/>
      <c r="AX100" s="7"/>
      <c r="AY100" s="8"/>
      <c r="AZ100" s="55"/>
      <c r="BA100" s="7">
        <v>320000</v>
      </c>
      <c r="BB100" s="55"/>
      <c r="BC100" s="55"/>
      <c r="BD100" s="8"/>
      <c r="BE100" s="55"/>
      <c r="BF100" s="8"/>
      <c r="BG100" s="8"/>
      <c r="BH100" s="8"/>
      <c r="BJ100" s="8"/>
      <c r="BL100" s="8"/>
      <c r="BN100" s="8"/>
      <c r="BO100" s="8"/>
      <c r="BP100" s="8"/>
      <c r="BT100" s="119" t="str">
        <f>IF($K$25="Español","Pase Seguro",(IF($K$25="Deutsch","Wurfsicher",(IF($K$25="Français","Précision","Running Pass")))))</f>
        <v>Running Pass</v>
      </c>
      <c r="BU100" s="8" t="s">
        <v>199</v>
      </c>
      <c r="BV100" s="8" t="str">
        <f>IF($K$25="Español","Mantenerse Firme",(IF($K$25="Deutsch","Robust",(IF($K$25="Français","Projection","Strong Arm")))))</f>
        <v>Strong Arm</v>
      </c>
      <c r="BW100" s="8" t="s">
        <v>198</v>
      </c>
      <c r="BX100" s="119" t="str">
        <f>IF($K$25="Español","Pase Seguro",(IF($K$25="Deutsch","Wurfsicher",(IF($K$25="Français","Précision","Running Pass")))))</f>
        <v>Running Pass</v>
      </c>
      <c r="BY100" s="8" t="s">
        <v>199</v>
      </c>
      <c r="BZ100" s="8" t="str">
        <f>IF($K$25="Español","Mantenerse Firme",(IF($K$25="Deutsch","Robust",(IF($K$25="Français","Projection","Strong Arm")))))</f>
        <v>Strong Arm</v>
      </c>
      <c r="CA100" s="8" t="s">
        <v>198</v>
      </c>
      <c r="CB100" s="197" t="str">
        <f t="shared" si="175"/>
        <v/>
      </c>
      <c r="CC100" s="197" t="str">
        <f t="shared" si="175"/>
        <v/>
      </c>
      <c r="CD100" s="119" t="str">
        <f>IF($K$25="Español","Precisión",(IF($K$25="Deutsch","Zielsicher",(IF($K$25="Français","Sur le ballon","Safe Pass")))))</f>
        <v>Safe Pass</v>
      </c>
      <c r="CE100" s="8" t="s">
        <v>199</v>
      </c>
      <c r="CG100" s="8"/>
      <c r="CH100" s="223" t="str">
        <f t="shared" si="128"/>
        <v/>
      </c>
      <c r="CI100" s="223" t="str">
        <f t="shared" si="145"/>
        <v>Running Pass</v>
      </c>
      <c r="CJ100" s="51" t="str">
        <f t="shared" si="129"/>
        <v>Running Pass</v>
      </c>
      <c r="CK100" s="51" t="str">
        <f t="shared" si="130"/>
        <v>Running Pass</v>
      </c>
      <c r="CL100" s="51" t="str">
        <f t="shared" si="131"/>
        <v>Running Pass</v>
      </c>
      <c r="CM100" s="51" t="str">
        <f t="shared" si="132"/>
        <v>Running Pass</v>
      </c>
      <c r="CN100" s="51" t="str">
        <f t="shared" si="133"/>
        <v>Strong Arm</v>
      </c>
      <c r="CO100" s="51" t="str">
        <f t="shared" si="134"/>
        <v>Strong Arm</v>
      </c>
      <c r="CP100" s="51" t="str">
        <f t="shared" si="135"/>
        <v>Strong Arm</v>
      </c>
      <c r="CQ100" s="51" t="str">
        <f t="shared" si="136"/>
        <v>Strong Arm</v>
      </c>
      <c r="CR100" s="51" t="str">
        <f t="shared" si="137"/>
        <v/>
      </c>
      <c r="CS100" s="51" t="str">
        <f t="shared" si="138"/>
        <v>Strong Arm</v>
      </c>
      <c r="CT100" s="51" t="str">
        <f t="shared" si="139"/>
        <v>Strong Arm</v>
      </c>
      <c r="CU100" s="51" t="str">
        <f t="shared" si="140"/>
        <v/>
      </c>
      <c r="CV100" s="51" t="str">
        <f t="shared" si="141"/>
        <v/>
      </c>
      <c r="CW100" s="51" t="str">
        <f t="shared" si="142"/>
        <v/>
      </c>
      <c r="DA100" s="8"/>
    </row>
    <row r="101" spans="1:105" ht="15" hidden="1"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7">
        <v>1300000</v>
      </c>
      <c r="AT101" s="7"/>
      <c r="AU101" s="7"/>
      <c r="AV101" s="7"/>
      <c r="AW101" s="7"/>
      <c r="AX101" s="7"/>
      <c r="AY101" s="8"/>
      <c r="AZ101" s="55"/>
      <c r="BA101" s="7">
        <v>330000</v>
      </c>
      <c r="BB101" s="55"/>
      <c r="BC101" s="55"/>
      <c r="BD101" s="8"/>
      <c r="BE101" s="55"/>
      <c r="BF101" s="8"/>
      <c r="BG101" s="8"/>
      <c r="BH101" s="8"/>
      <c r="BL101" s="8"/>
      <c r="BN101" s="8"/>
      <c r="BO101" s="8"/>
      <c r="BP101" s="8"/>
      <c r="BT101" s="119" t="str">
        <f>IF($K$25="Español","Precisión",(IF($K$25="Deutsch","Zielsicher",(IF($K$25="Français","Sur le ballon","Safe Pass")))))</f>
        <v>Safe Pass</v>
      </c>
      <c r="BU101" s="8" t="s">
        <v>199</v>
      </c>
      <c r="BV101" s="8" t="str">
        <f>IF($K$25="Español","Placaje Múltiple",(IF($K$25="Deutsch","Unterstützen",(IF($K$25="Français","Stabilité","Thick Skull")))))</f>
        <v>Thick Skull</v>
      </c>
      <c r="BW101" s="8" t="s">
        <v>198</v>
      </c>
      <c r="BX101" s="119" t="str">
        <f>IF($K$25="Español","Precisión",(IF($K$25="Deutsch","Zielsicher",(IF($K$25="Français","Sur le ballon","Safe Pass")))))</f>
        <v>Safe Pass</v>
      </c>
      <c r="BY101" s="8" t="s">
        <v>199</v>
      </c>
      <c r="BZ101" s="8" t="str">
        <f>IF($K$25="Español","Placaje Múltiple",(IF($K$25="Deutsch","Unterstützen",(IF($K$25="Français","Stabilité","Thick Skull")))))</f>
        <v>Thick Skull</v>
      </c>
      <c r="CA101" s="8" t="s">
        <v>198</v>
      </c>
      <c r="CB101" s="197" t="str">
        <f t="shared" si="175"/>
        <v/>
      </c>
      <c r="CC101" s="197" t="str">
        <f t="shared" si="175"/>
        <v/>
      </c>
      <c r="CD101" s="119" t="str">
        <f>IF($K$25="Español","Abrirse Paso",(IF($K$25="Deutsch","Armhebel",(IF($K$25="Français","Bagarre","Arm Bar")))))</f>
        <v>Arm Bar</v>
      </c>
      <c r="CE101" s="8" t="s">
        <v>198</v>
      </c>
      <c r="CG101" s="8"/>
      <c r="CH101" s="223" t="str">
        <f t="shared" si="128"/>
        <v/>
      </c>
      <c r="CI101" s="223" t="str">
        <f t="shared" si="145"/>
        <v>Safe Pass</v>
      </c>
      <c r="CJ101" s="51" t="str">
        <f t="shared" si="129"/>
        <v>Safe Pass</v>
      </c>
      <c r="CK101" s="51" t="str">
        <f t="shared" si="130"/>
        <v>Safe Pass</v>
      </c>
      <c r="CL101" s="51" t="str">
        <f t="shared" si="131"/>
        <v>Safe Pass</v>
      </c>
      <c r="CM101" s="51" t="str">
        <f t="shared" si="132"/>
        <v>Safe Pass</v>
      </c>
      <c r="CN101" s="51" t="str">
        <f t="shared" si="133"/>
        <v>Thick Skull</v>
      </c>
      <c r="CO101" s="51" t="str">
        <f t="shared" si="134"/>
        <v>Thick Skull</v>
      </c>
      <c r="CP101" s="51" t="str">
        <f t="shared" si="135"/>
        <v>Thick Skull</v>
      </c>
      <c r="CQ101" s="51" t="str">
        <f t="shared" si="136"/>
        <v>Thick Skull</v>
      </c>
      <c r="CR101" s="51" t="str">
        <f t="shared" si="137"/>
        <v/>
      </c>
      <c r="CS101" s="51" t="str">
        <f t="shared" si="138"/>
        <v>Thick Skull</v>
      </c>
      <c r="CT101" s="51" t="str">
        <f t="shared" si="139"/>
        <v>Thick Skull</v>
      </c>
      <c r="CU101" s="51" t="str">
        <f t="shared" si="140"/>
        <v/>
      </c>
      <c r="CV101" s="51" t="str">
        <f t="shared" si="141"/>
        <v/>
      </c>
      <c r="CW101" s="51" t="str">
        <f t="shared" si="142"/>
        <v/>
      </c>
      <c r="DA101" s="8"/>
    </row>
    <row r="102" spans="1:105" ht="15" hidden="1"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7">
        <v>1310000</v>
      </c>
      <c r="AT102" s="7"/>
      <c r="AU102" s="7"/>
      <c r="AV102" s="7"/>
      <c r="AW102" s="7"/>
      <c r="AX102" s="7"/>
      <c r="AY102" s="8"/>
      <c r="AZ102" s="55"/>
      <c r="BA102" s="7">
        <v>340000</v>
      </c>
      <c r="BB102" s="55"/>
      <c r="BC102" s="55"/>
      <c r="BD102" s="8"/>
      <c r="BE102" s="55"/>
      <c r="BF102" s="8"/>
      <c r="BG102" s="8"/>
      <c r="BH102" s="8"/>
      <c r="BL102" s="8"/>
      <c r="BN102" s="8"/>
      <c r="BO102" s="8"/>
      <c r="BP102" s="8"/>
      <c r="BT102" s="119" t="str">
        <f>IF($K$25="Español","Abrirse Paso",(IF($K$25="Deutsch","Armhebel",(IF($K$25="Français","Bagarre","Arm Bar")))))</f>
        <v>Arm Bar</v>
      </c>
      <c r="BU102" s="8" t="s">
        <v>198</v>
      </c>
      <c r="BV102" s="119" t="str">
        <f>IF($K$25="Español","Apariencia Asquerosa",(IF($K$25="Deutsch","Abstoßendes Aussehen",(IF($K$25="Français","Bras supplémentaire","Big Hand")))))</f>
        <v>Big Hand</v>
      </c>
      <c r="BW102" s="8" t="s">
        <v>200</v>
      </c>
      <c r="BX102" s="119" t="str">
        <f>IF($K$25="Español","Abrirse Paso",(IF($K$25="Deutsch","Armhebel",(IF($K$25="Français","Bagarre","Arm Bar")))))</f>
        <v>Arm Bar</v>
      </c>
      <c r="BY102" s="8" t="s">
        <v>198</v>
      </c>
      <c r="BZ102" s="8" t="str">
        <f t="shared" ref="BZ102:CA102" si="176">""</f>
        <v/>
      </c>
      <c r="CA102" s="8" t="str">
        <f t="shared" si="176"/>
        <v/>
      </c>
      <c r="CB102" s="197" t="str">
        <f t="shared" si="175"/>
        <v/>
      </c>
      <c r="CC102" s="197" t="str">
        <f t="shared" si="175"/>
        <v/>
      </c>
      <c r="CD102" s="119" t="str">
        <f>IF($K$25="Español","Apartar",(IF($K$25="Deutsch","Greifer",(IF($K$25="Français","Blocage multiple","Brawler")))))</f>
        <v>Brawler</v>
      </c>
      <c r="CE102" s="8" t="s">
        <v>198</v>
      </c>
      <c r="CG102" s="8"/>
      <c r="CH102" s="223" t="str">
        <f t="shared" si="128"/>
        <v/>
      </c>
      <c r="CI102" s="223" t="str">
        <f t="shared" si="145"/>
        <v>Arm Bar</v>
      </c>
      <c r="CJ102" s="51" t="str">
        <f t="shared" si="129"/>
        <v>Arm Bar</v>
      </c>
      <c r="CK102" s="51" t="str">
        <f t="shared" si="130"/>
        <v>Arm Bar</v>
      </c>
      <c r="CL102" s="51" t="str">
        <f t="shared" si="131"/>
        <v>Arm Bar</v>
      </c>
      <c r="CM102" s="51" t="str">
        <f t="shared" si="132"/>
        <v>Arm Bar</v>
      </c>
      <c r="CN102" s="51" t="str">
        <f t="shared" si="133"/>
        <v/>
      </c>
      <c r="CO102" s="51" t="str">
        <f t="shared" si="134"/>
        <v/>
      </c>
      <c r="CP102" s="51" t="str">
        <f t="shared" si="135"/>
        <v/>
      </c>
      <c r="CQ102" s="51" t="str">
        <f t="shared" si="136"/>
        <v/>
      </c>
      <c r="CR102" s="51" t="str">
        <f t="shared" si="137"/>
        <v/>
      </c>
      <c r="CS102" s="51" t="str">
        <f t="shared" si="138"/>
        <v/>
      </c>
      <c r="CT102" s="51" t="str">
        <f t="shared" si="139"/>
        <v/>
      </c>
      <c r="CU102" s="51" t="str">
        <f t="shared" si="140"/>
        <v/>
      </c>
      <c r="CV102" s="51" t="str">
        <f t="shared" si="141"/>
        <v/>
      </c>
      <c r="CW102" s="51" t="str">
        <f t="shared" si="142"/>
        <v/>
      </c>
      <c r="DA102" s="8"/>
    </row>
    <row r="103" spans="1:105" ht="15" hidden="1"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7">
        <v>1320000</v>
      </c>
      <c r="AT103" s="7"/>
      <c r="AU103" s="7"/>
      <c r="AV103" s="7"/>
      <c r="AW103" s="7"/>
      <c r="AX103" s="7"/>
      <c r="AY103" s="8"/>
      <c r="AZ103" s="55"/>
      <c r="BA103" s="7">
        <v>350000</v>
      </c>
      <c r="BB103" s="55"/>
      <c r="BC103" s="55"/>
      <c r="BD103" s="8"/>
      <c r="BE103" s="55"/>
      <c r="BF103" s="8"/>
      <c r="BL103" s="8"/>
      <c r="BN103" s="8"/>
      <c r="BO103" s="8"/>
      <c r="BP103" s="8"/>
      <c r="BT103" s="119" t="str">
        <f>IF($K$25="Español","Apartar",(IF($K$25="Deutsch","Greifer",(IF($K$25="Français","Blocage multiple","Brawler")))))</f>
        <v>Brawler</v>
      </c>
      <c r="BU103" s="8" t="s">
        <v>198</v>
      </c>
      <c r="BV103" s="119" t="str">
        <f>IF($K$25="Español","Boca Monstruosa",(IF($K$25="Deutsch","Eisenharte Haut",(IF($K$25="Français","Cornes","Claw / Claws")))))</f>
        <v>Claw / Claws</v>
      </c>
      <c r="BW103" s="8" t="s">
        <v>200</v>
      </c>
      <c r="BX103" s="119" t="str">
        <f>IF($K$25="Español","Apartar",(IF($K$25="Deutsch","Greifer",(IF($K$25="Français","Blocage multiple","Brawler")))))</f>
        <v>Brawler</v>
      </c>
      <c r="BY103" s="8" t="s">
        <v>198</v>
      </c>
      <c r="BZ103" s="8" t="str">
        <f t="shared" ref="BZ103:CA103" si="177">""</f>
        <v/>
      </c>
      <c r="CA103" s="8" t="str">
        <f t="shared" si="177"/>
        <v/>
      </c>
      <c r="CB103" s="197" t="str">
        <f t="shared" si="175"/>
        <v/>
      </c>
      <c r="CC103" s="197" t="str">
        <f t="shared" si="175"/>
        <v/>
      </c>
      <c r="CD103" s="119" t="str">
        <f>IF($K$25="Español","Brazo Fuerte",(IF($K$25="Deutsch","Knochenbrecher (+1)",(IF($K$25="Français","Bras musclé","Break Tackle")))))</f>
        <v>Break Tackle</v>
      </c>
      <c r="CE103" s="8" t="s">
        <v>198</v>
      </c>
      <c r="CG103" s="8"/>
      <c r="CH103" s="223" t="str">
        <f t="shared" si="128"/>
        <v/>
      </c>
      <c r="CI103" s="223" t="str">
        <f t="shared" si="145"/>
        <v>Brawler</v>
      </c>
      <c r="CJ103" s="51" t="str">
        <f t="shared" si="129"/>
        <v>Brawler</v>
      </c>
      <c r="CK103" s="51" t="str">
        <f t="shared" si="130"/>
        <v>Brawler</v>
      </c>
      <c r="CL103" s="51" t="str">
        <f t="shared" si="131"/>
        <v>Brawler</v>
      </c>
      <c r="CM103" s="51" t="str">
        <f t="shared" si="132"/>
        <v>Brawler</v>
      </c>
      <c r="CN103" s="51" t="str">
        <f t="shared" si="133"/>
        <v/>
      </c>
      <c r="CO103" s="51" t="str">
        <f t="shared" si="134"/>
        <v/>
      </c>
      <c r="CP103" s="51" t="str">
        <f t="shared" si="135"/>
        <v/>
      </c>
      <c r="CQ103" s="51" t="str">
        <f t="shared" si="136"/>
        <v/>
      </c>
      <c r="CR103" s="51" t="str">
        <f t="shared" si="137"/>
        <v/>
      </c>
      <c r="CS103" s="51" t="str">
        <f t="shared" si="138"/>
        <v/>
      </c>
      <c r="CT103" s="51" t="str">
        <f t="shared" si="139"/>
        <v/>
      </c>
      <c r="CU103" s="51" t="str">
        <f t="shared" si="140"/>
        <v/>
      </c>
      <c r="CV103" s="51" t="str">
        <f t="shared" si="141"/>
        <v/>
      </c>
      <c r="CW103" s="51" t="str">
        <f t="shared" si="142"/>
        <v/>
      </c>
      <c r="DA103" s="8"/>
    </row>
    <row r="104" spans="1:105" ht="15" hidden="1"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7">
        <v>1330000</v>
      </c>
      <c r="AT104" s="7"/>
      <c r="AU104" s="7"/>
      <c r="AV104" s="7"/>
      <c r="AW104" s="7"/>
      <c r="AX104" s="7"/>
      <c r="AY104" s="8"/>
      <c r="AZ104" s="53"/>
      <c r="BA104" s="7">
        <v>360000</v>
      </c>
      <c r="BB104" s="53"/>
      <c r="BC104" s="53"/>
      <c r="BD104" s="8"/>
      <c r="BE104" s="53"/>
      <c r="BF104" s="8"/>
      <c r="BL104" s="8"/>
      <c r="BN104" s="8"/>
      <c r="BO104" s="8"/>
      <c r="BP104" s="8"/>
      <c r="BT104" s="119" t="str">
        <f>IF($K$25="Español","Brazo Fuerte",(IF($K$25="Deutsch","Knochenbrecher (+1)",(IF($K$25="Français","Bras musclé","Break Tackle")))))</f>
        <v>Break Tackle</v>
      </c>
      <c r="BU104" s="8" t="s">
        <v>198</v>
      </c>
      <c r="BV104" s="119" t="str">
        <f>IF($K$25="Español","Brazos Adicionales",(IF($K$25="Deutsch","Große Hand",(IF($K$25="Français","Deux tête","Disturbing Presence")))))</f>
        <v>Disturbing Presence</v>
      </c>
      <c r="BW104" s="8" t="s">
        <v>200</v>
      </c>
      <c r="BX104" s="119" t="str">
        <f>IF($K$25="Español","Brazo Fuerte",(IF($K$25="Deutsch","Knochenbrecher (+1)",(IF($K$25="Français","Bras musclé","Break Tackle")))))</f>
        <v>Break Tackle</v>
      </c>
      <c r="BY104" s="8" t="s">
        <v>198</v>
      </c>
      <c r="BZ104" s="8" t="str">
        <f t="shared" ref="BZ104:CA104" si="178">""</f>
        <v/>
      </c>
      <c r="CA104" s="8" t="str">
        <f t="shared" si="178"/>
        <v/>
      </c>
      <c r="CB104" s="197" t="str">
        <f t="shared" si="175"/>
        <v/>
      </c>
      <c r="CC104" s="197" t="str">
        <f t="shared" si="175"/>
        <v/>
      </c>
      <c r="CD104" s="119" t="str">
        <f>IF($K$25="Español","Cabeza Dura",(IF($K$25="Deutsch","Mehrfachblock",(IF($K$25="Français","Châtaigne (+1)","Grab")))))</f>
        <v>Grab</v>
      </c>
      <c r="CE104" s="8" t="s">
        <v>198</v>
      </c>
      <c r="CG104" s="8"/>
      <c r="CH104" s="223" t="str">
        <f t="shared" si="128"/>
        <v/>
      </c>
      <c r="CI104" s="223" t="str">
        <f t="shared" si="145"/>
        <v>Break Tackle</v>
      </c>
      <c r="CJ104" s="51" t="str">
        <f t="shared" si="129"/>
        <v>Break Tackle</v>
      </c>
      <c r="CK104" s="51" t="str">
        <f t="shared" si="130"/>
        <v>Break Tackle</v>
      </c>
      <c r="CL104" s="51" t="str">
        <f t="shared" si="131"/>
        <v>Break Tackle</v>
      </c>
      <c r="CM104" s="51" t="str">
        <f t="shared" si="132"/>
        <v>Break Tackle</v>
      </c>
      <c r="CN104" s="51" t="str">
        <f t="shared" si="133"/>
        <v/>
      </c>
      <c r="CO104" s="51" t="str">
        <f t="shared" si="134"/>
        <v/>
      </c>
      <c r="CP104" s="51" t="str">
        <f t="shared" si="135"/>
        <v/>
      </c>
      <c r="CQ104" s="51" t="str">
        <f t="shared" si="136"/>
        <v/>
      </c>
      <c r="CR104" s="51" t="str">
        <f t="shared" si="137"/>
        <v/>
      </c>
      <c r="CS104" s="51" t="str">
        <f t="shared" si="138"/>
        <v/>
      </c>
      <c r="CT104" s="51" t="str">
        <f t="shared" si="139"/>
        <v/>
      </c>
      <c r="CU104" s="51" t="str">
        <f t="shared" si="140"/>
        <v/>
      </c>
      <c r="CV104" s="51" t="str">
        <f t="shared" si="141"/>
        <v/>
      </c>
      <c r="CW104" s="51" t="str">
        <f t="shared" si="142"/>
        <v/>
      </c>
      <c r="DA104" s="8"/>
    </row>
    <row r="105" spans="1:105" ht="15" hidden="1"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7">
        <v>1340000</v>
      </c>
      <c r="AT105" s="7"/>
      <c r="AU105" s="7"/>
      <c r="AV105" s="7"/>
      <c r="AW105" s="7"/>
      <c r="AX105" s="7"/>
      <c r="AY105" s="8"/>
      <c r="AZ105" s="55"/>
      <c r="BA105" s="7">
        <v>370000</v>
      </c>
      <c r="BB105" s="55"/>
      <c r="BC105" s="55"/>
      <c r="BD105" s="8"/>
      <c r="BE105" s="55"/>
      <c r="BF105" s="8"/>
      <c r="BL105" s="8"/>
      <c r="BN105" s="8"/>
      <c r="BO105" s="8"/>
      <c r="BP105" s="8"/>
      <c r="BT105" s="119" t="str">
        <f>IF($K$25="Español","Cabeza Dura",(IF($K$25="Deutsch","Mehrfachblock",(IF($K$25="Français","Châtaigne (+1)","Grab")))))</f>
        <v>Grab</v>
      </c>
      <c r="BU105" s="8" t="s">
        <v>198</v>
      </c>
      <c r="BV105" s="119" t="str">
        <f>IF($K$25="Español","Cola Prensil",(IF($K$25="Deutsch","Hörner",(IF($K$25="Français","Grande gueule","Extra Arms")))))</f>
        <v>Extra Arms</v>
      </c>
      <c r="BW105" s="8" t="s">
        <v>200</v>
      </c>
      <c r="BX105" s="119" t="str">
        <f>IF($K$25="Español","Cabeza Dura",(IF($K$25="Deutsch","Mehrfachblock",(IF($K$25="Français","Châtaigne (+1)","Grab")))))</f>
        <v>Grab</v>
      </c>
      <c r="BY105" s="8" t="s">
        <v>198</v>
      </c>
      <c r="BZ105" s="8" t="str">
        <f t="shared" ref="BZ105:CA105" si="179">""</f>
        <v/>
      </c>
      <c r="CA105" s="8" t="str">
        <f t="shared" si="179"/>
        <v/>
      </c>
      <c r="CB105" s="197" t="str">
        <f t="shared" si="175"/>
        <v/>
      </c>
      <c r="CC105" s="197" t="str">
        <f t="shared" si="175"/>
        <v/>
      </c>
      <c r="CD105" s="119" t="str">
        <f>IF($K$25="Español","Crujir",(IF($K$25="Deutsch","Ramme",(IF($K$25="Français","Clé de bras","Guard")))))</f>
        <v>Guard</v>
      </c>
      <c r="CE105" s="8" t="s">
        <v>198</v>
      </c>
      <c r="CG105" s="8"/>
      <c r="CH105" s="223" t="str">
        <f t="shared" si="128"/>
        <v/>
      </c>
      <c r="CI105" s="223" t="str">
        <f t="shared" si="145"/>
        <v>Grab</v>
      </c>
      <c r="CJ105" s="51" t="str">
        <f t="shared" si="129"/>
        <v>Grab</v>
      </c>
      <c r="CK105" s="51" t="str">
        <f t="shared" si="130"/>
        <v>Grab</v>
      </c>
      <c r="CL105" s="51" t="str">
        <f t="shared" si="131"/>
        <v>Grab</v>
      </c>
      <c r="CM105" s="51" t="str">
        <f t="shared" si="132"/>
        <v>Grab</v>
      </c>
      <c r="CN105" s="51" t="str">
        <f t="shared" si="133"/>
        <v/>
      </c>
      <c r="CO105" s="51" t="str">
        <f t="shared" si="134"/>
        <v/>
      </c>
      <c r="CP105" s="51" t="str">
        <f t="shared" si="135"/>
        <v/>
      </c>
      <c r="CQ105" s="51" t="str">
        <f t="shared" si="136"/>
        <v/>
      </c>
      <c r="CR105" s="51" t="str">
        <f t="shared" si="137"/>
        <v/>
      </c>
      <c r="CS105" s="51" t="str">
        <f t="shared" si="138"/>
        <v/>
      </c>
      <c r="CT105" s="51" t="str">
        <f t="shared" si="139"/>
        <v/>
      </c>
      <c r="CU105" s="51" t="str">
        <f t="shared" si="140"/>
        <v/>
      </c>
      <c r="CV105" s="51" t="str">
        <f t="shared" si="141"/>
        <v/>
      </c>
      <c r="CW105" s="51" t="str">
        <f t="shared" si="142"/>
        <v/>
      </c>
      <c r="DA105" s="8"/>
    </row>
    <row r="106" spans="1:105" ht="15" hidden="1"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7">
        <v>1350000</v>
      </c>
      <c r="AT106" s="7"/>
      <c r="AU106" s="7"/>
      <c r="AV106" s="7"/>
      <c r="AW106" s="7"/>
      <c r="AX106" s="7"/>
      <c r="AY106" s="8"/>
      <c r="AZ106" s="55"/>
      <c r="BA106" s="7">
        <v>380000</v>
      </c>
      <c r="BB106" s="55"/>
      <c r="BC106" s="55"/>
      <c r="BD106" s="8"/>
      <c r="BE106" s="55"/>
      <c r="BF106" s="8"/>
      <c r="BL106" s="8"/>
      <c r="BN106" s="8"/>
      <c r="BO106" s="8"/>
      <c r="BP106" s="8"/>
      <c r="BT106" s="119" t="str">
        <f>IF($K$25="Español","Crujir",(IF($K$25="Deutsch","Ramme",(IF($K$25="Français","Clé de bras","Guard")))))</f>
        <v>Guard</v>
      </c>
      <c r="BU106" s="8" t="s">
        <v>198</v>
      </c>
      <c r="BV106" s="119" t="str">
        <f>IF($K$25="Español","Cuernos",(IF($K$25="Deutsch","Klammerschwanz",(IF($K$25="Français","Griffes","Foul Appearance")))))</f>
        <v>Foul Appearance</v>
      </c>
      <c r="BW106" s="8" t="s">
        <v>200</v>
      </c>
      <c r="BX106" s="119" t="str">
        <f>IF($K$25="Español","Crujir",(IF($K$25="Deutsch","Ramme",(IF($K$25="Français","Clé de bras","Guard")))))</f>
        <v>Guard</v>
      </c>
      <c r="BY106" s="8" t="s">
        <v>198</v>
      </c>
      <c r="BZ106" s="8" t="str">
        <f t="shared" ref="BZ106:CA106" si="180">""</f>
        <v/>
      </c>
      <c r="CA106" s="8" t="str">
        <f t="shared" si="180"/>
        <v/>
      </c>
      <c r="CB106" s="197" t="str">
        <f t="shared" si="175"/>
        <v/>
      </c>
      <c r="CC106" s="197" t="str">
        <f t="shared" si="175"/>
        <v/>
      </c>
      <c r="CD106" s="8" t="str">
        <f>IF($K$25="Español","Defensa",(IF($K$25="Deutsch","Raufbold",(IF($K$25="Français","Crâne épais","Juggernaut")))))</f>
        <v>Juggernaut</v>
      </c>
      <c r="CE106" s="8" t="s">
        <v>198</v>
      </c>
      <c r="CG106" s="8"/>
      <c r="CH106" s="223" t="str">
        <f t="shared" si="128"/>
        <v/>
      </c>
      <c r="CI106" s="223" t="str">
        <f t="shared" si="145"/>
        <v>Guard</v>
      </c>
      <c r="CJ106" s="51" t="str">
        <f t="shared" si="129"/>
        <v>Guard</v>
      </c>
      <c r="CK106" s="51" t="str">
        <f t="shared" si="130"/>
        <v>Guard</v>
      </c>
      <c r="CL106" s="51" t="str">
        <f t="shared" si="131"/>
        <v>Guard</v>
      </c>
      <c r="CM106" s="51" t="str">
        <f t="shared" si="132"/>
        <v>Guard</v>
      </c>
      <c r="CN106" s="51" t="str">
        <f t="shared" si="133"/>
        <v/>
      </c>
      <c r="CO106" s="51" t="str">
        <f t="shared" si="134"/>
        <v/>
      </c>
      <c r="CP106" s="51" t="str">
        <f t="shared" si="135"/>
        <v/>
      </c>
      <c r="CQ106" s="51" t="str">
        <f t="shared" si="136"/>
        <v/>
      </c>
      <c r="CR106" s="51" t="str">
        <f t="shared" si="137"/>
        <v/>
      </c>
      <c r="CS106" s="51" t="str">
        <f t="shared" si="138"/>
        <v/>
      </c>
      <c r="CT106" s="51" t="str">
        <f t="shared" si="139"/>
        <v/>
      </c>
      <c r="CU106" s="51" t="str">
        <f t="shared" si="140"/>
        <v/>
      </c>
      <c r="CV106" s="51" t="str">
        <f t="shared" si="141"/>
        <v/>
      </c>
      <c r="CW106" s="51" t="str">
        <f t="shared" si="142"/>
        <v/>
      </c>
      <c r="DA106" s="8"/>
    </row>
    <row r="107" spans="1:105" ht="15" hidden="1"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7">
        <v>1360000</v>
      </c>
      <c r="AT107" s="7"/>
      <c r="AU107" s="7"/>
      <c r="AV107" s="7"/>
      <c r="AW107" s="7"/>
      <c r="AX107" s="7"/>
      <c r="AY107" s="8"/>
      <c r="AZ107" s="55"/>
      <c r="BA107" s="7">
        <v>390000</v>
      </c>
      <c r="BB107" s="55"/>
      <c r="BC107" s="55"/>
      <c r="BD107" s="8"/>
      <c r="BE107" s="55"/>
      <c r="BF107" s="8"/>
      <c r="BL107" s="8"/>
      <c r="BN107" s="8"/>
      <c r="BO107" s="8"/>
      <c r="BP107" s="8"/>
      <c r="BT107" s="8" t="str">
        <f>IF($K$25="Español","Defensa",(IF($K$25="Deutsch","Raufbold",(IF($K$25="Français","Crâne épais","Juggernaut")))))</f>
        <v>Juggernaut</v>
      </c>
      <c r="BU107" s="8" t="s">
        <v>198</v>
      </c>
      <c r="BV107" s="119" t="str">
        <f>IF($K$25="Español","Dos Cabezas",(IF($K$25="Deutsch","Klauen",(IF($K$25="Français","Main démesurée","Horns")))))</f>
        <v>Horns</v>
      </c>
      <c r="BW107" s="8" t="s">
        <v>200</v>
      </c>
      <c r="BX107" s="8" t="str">
        <f>IF($K$25="Español","Defensa",(IF($K$25="Deutsch","Raufbold",(IF($K$25="Français","Crâne épais","Juggernaut")))))</f>
        <v>Juggernaut</v>
      </c>
      <c r="BY107" s="8" t="s">
        <v>198</v>
      </c>
      <c r="BZ107" s="8" t="str">
        <f t="shared" ref="BZ107:CA107" si="181">""</f>
        <v/>
      </c>
      <c r="CA107" s="8" t="str">
        <f t="shared" si="181"/>
        <v/>
      </c>
      <c r="CB107" s="197" t="str">
        <f t="shared" si="175"/>
        <v/>
      </c>
      <c r="CC107" s="197" t="str">
        <f t="shared" si="175"/>
        <v/>
      </c>
      <c r="CD107" s="8" t="str">
        <f>IF($K$25="Español","Golpe Mortífero (+1)",(IF($K$25="Deutsch","Schweres Gerät",(IF($K$25="Français","Esquive en force","Mighty Blow (+1)")))))</f>
        <v>Mighty Blow (+1)</v>
      </c>
      <c r="CE107" s="8" t="s">
        <v>198</v>
      </c>
      <c r="CG107" s="8"/>
      <c r="CH107" s="223" t="str">
        <f t="shared" si="128"/>
        <v/>
      </c>
      <c r="CI107" s="223" t="str">
        <f t="shared" si="145"/>
        <v>Juggernaut</v>
      </c>
      <c r="CJ107" s="51" t="str">
        <f t="shared" si="129"/>
        <v>Juggernaut</v>
      </c>
      <c r="CK107" s="51" t="str">
        <f t="shared" si="130"/>
        <v>Juggernaut</v>
      </c>
      <c r="CL107" s="51" t="str">
        <f t="shared" si="131"/>
        <v>Juggernaut</v>
      </c>
      <c r="CM107" s="51" t="str">
        <f t="shared" si="132"/>
        <v>Juggernaut</v>
      </c>
      <c r="CN107" s="51" t="str">
        <f t="shared" si="133"/>
        <v/>
      </c>
      <c r="CO107" s="51" t="str">
        <f t="shared" si="134"/>
        <v/>
      </c>
      <c r="CP107" s="51" t="str">
        <f t="shared" si="135"/>
        <v/>
      </c>
      <c r="CQ107" s="51" t="str">
        <f t="shared" si="136"/>
        <v/>
      </c>
      <c r="CR107" s="51" t="str">
        <f t="shared" si="137"/>
        <v/>
      </c>
      <c r="CS107" s="51" t="str">
        <f t="shared" si="138"/>
        <v/>
      </c>
      <c r="CT107" s="51" t="str">
        <f t="shared" si="139"/>
        <v/>
      </c>
      <c r="CU107" s="51" t="str">
        <f t="shared" si="140"/>
        <v/>
      </c>
      <c r="CV107" s="51" t="str">
        <f t="shared" si="141"/>
        <v/>
      </c>
      <c r="CW107" s="51" t="str">
        <f t="shared" si="142"/>
        <v/>
      </c>
      <c r="DA107" s="8"/>
    </row>
    <row r="108" spans="1:105" ht="15" hidden="1"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7">
        <v>1370000</v>
      </c>
      <c r="AT108" s="7"/>
      <c r="AU108" s="7"/>
      <c r="AV108" s="7"/>
      <c r="AW108" s="7"/>
      <c r="AX108" s="7"/>
      <c r="AY108" s="8"/>
      <c r="AZ108" s="55"/>
      <c r="BA108" s="7">
        <v>400000</v>
      </c>
      <c r="BB108" s="55"/>
      <c r="BC108" s="55"/>
      <c r="BD108" s="8"/>
      <c r="BE108" s="55"/>
      <c r="BF108" s="8"/>
      <c r="BL108" s="8"/>
      <c r="BN108" s="8"/>
      <c r="BO108" s="8"/>
      <c r="BP108" s="8"/>
      <c r="BT108" s="8" t="str">
        <f>IF($K$25="Español","Golpe Mortífero (+1)",(IF($K$25="Deutsch","Schweres Gerät",(IF($K$25="Français","Esquive en force","Mighty Blow (+1)")))))</f>
        <v>Mighty Blow (+1)</v>
      </c>
      <c r="BU108" s="8" t="s">
        <v>198</v>
      </c>
      <c r="BV108" s="8" t="str">
        <f>IF($K$25="Español","Garra / Garras",(IF($K$25="Deutsch","Monströses Maul",(IF($K$25="Français","Queue préhensile","Iron Hard Skin")))))</f>
        <v>Iron Hard Skin</v>
      </c>
      <c r="BW108" s="8" t="s">
        <v>200</v>
      </c>
      <c r="BX108" s="8" t="str">
        <f>IF($K$25="Español","Golpe Mortífero (+1)",(IF($K$25="Deutsch","Schweres Gerät",(IF($K$25="Français","Esquive en force","Mighty Blow (+1)")))))</f>
        <v>Mighty Blow (+1)</v>
      </c>
      <c r="BY108" s="8" t="s">
        <v>198</v>
      </c>
      <c r="BZ108" s="8" t="str">
        <f t="shared" ref="BZ108:CA108" si="182">""</f>
        <v/>
      </c>
      <c r="CA108" s="8" t="str">
        <f t="shared" si="182"/>
        <v/>
      </c>
      <c r="CB108" s="197" t="str">
        <f t="shared" si="175"/>
        <v/>
      </c>
      <c r="CC108" s="197" t="str">
        <f t="shared" si="175"/>
        <v/>
      </c>
      <c r="CD108" s="8" t="str">
        <f>IF($K$25="Español","Imparable",(IF($K$25="Deutsch","Standfest",(IF($K$25="Français","Garde","Multiple Blocks")))))</f>
        <v>Multiple Blocks</v>
      </c>
      <c r="CE108" s="8" t="s">
        <v>198</v>
      </c>
      <c r="CG108" s="8"/>
      <c r="CH108" s="223" t="str">
        <f t="shared" si="128"/>
        <v/>
      </c>
      <c r="CI108" s="223" t="str">
        <f t="shared" si="145"/>
        <v>Mighty Blow (+1)</v>
      </c>
      <c r="CJ108" s="51" t="str">
        <f t="shared" si="129"/>
        <v>Mighty Blow (+1)</v>
      </c>
      <c r="CK108" s="51" t="str">
        <f t="shared" si="130"/>
        <v>Mighty Blow (+1)</v>
      </c>
      <c r="CL108" s="51" t="str">
        <f t="shared" si="131"/>
        <v>Mighty Blow (+1)</v>
      </c>
      <c r="CM108" s="51" t="str">
        <f t="shared" si="132"/>
        <v>Mighty Blow (+1)</v>
      </c>
      <c r="CN108" s="51" t="str">
        <f t="shared" si="133"/>
        <v/>
      </c>
      <c r="CO108" s="51" t="str">
        <f t="shared" si="134"/>
        <v/>
      </c>
      <c r="CP108" s="51" t="str">
        <f t="shared" si="135"/>
        <v/>
      </c>
      <c r="CQ108" s="51" t="str">
        <f t="shared" si="136"/>
        <v/>
      </c>
      <c r="CR108" s="51" t="str">
        <f t="shared" si="137"/>
        <v/>
      </c>
      <c r="CS108" s="51" t="str">
        <f t="shared" si="138"/>
        <v/>
      </c>
      <c r="CT108" s="51" t="str">
        <f t="shared" si="139"/>
        <v/>
      </c>
      <c r="CU108" s="51" t="str">
        <f t="shared" si="140"/>
        <v/>
      </c>
      <c r="CV108" s="51" t="str">
        <f t="shared" si="141"/>
        <v/>
      </c>
      <c r="CW108" s="51" t="str">
        <f t="shared" si="142"/>
        <v/>
      </c>
      <c r="DA108" s="8"/>
    </row>
    <row r="109" spans="1:105" ht="15" hidden="1"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7">
        <v>1380000</v>
      </c>
      <c r="AT109" s="7"/>
      <c r="AU109" s="7"/>
      <c r="AV109" s="7"/>
      <c r="AW109" s="7"/>
      <c r="AX109" s="7"/>
      <c r="AY109" s="8"/>
      <c r="AZ109" s="55"/>
      <c r="BA109" s="7">
        <v>410000</v>
      </c>
      <c r="BB109" s="55"/>
      <c r="BC109" s="55"/>
      <c r="BD109" s="8"/>
      <c r="BE109" s="55"/>
      <c r="BF109" s="8"/>
      <c r="BL109" s="8"/>
      <c r="BN109" s="8"/>
      <c r="BO109" s="8"/>
      <c r="BP109" s="8"/>
      <c r="BT109" s="8" t="str">
        <f>IF($K$25="Español","Imparable",(IF($K$25="Deutsch","Standfest",(IF($K$25="Français","Garde","Multiple Blocks")))))</f>
        <v>Multiple Blocks</v>
      </c>
      <c r="BU109" s="8" t="s">
        <v>198</v>
      </c>
      <c r="BV109" s="8" t="str">
        <f>IF($K$25="Español","Mano Grande",(IF($K$25="Deutsch","Sehr lange Beine",(IF($K$25="Français","Peau de fer","Monstrous Mouth")))))</f>
        <v>Monstrous Mouth</v>
      </c>
      <c r="BW109" s="8" t="s">
        <v>200</v>
      </c>
      <c r="BX109" s="8" t="str">
        <f>IF($K$25="Español","Imparable",(IF($K$25="Deutsch","Standfest",(IF($K$25="Français","Garde","Multiple Blocks")))))</f>
        <v>Multiple Blocks</v>
      </c>
      <c r="BY109" s="8" t="s">
        <v>198</v>
      </c>
      <c r="BZ109" s="8" t="str">
        <f t="shared" ref="BZ109:CA109" si="183">""</f>
        <v/>
      </c>
      <c r="CA109" s="8" t="str">
        <f t="shared" si="183"/>
        <v/>
      </c>
      <c r="CB109" s="197" t="str">
        <f t="shared" si="175"/>
        <v/>
      </c>
      <c r="CC109" s="197" t="str">
        <f t="shared" si="175"/>
        <v/>
      </c>
      <c r="CD109" s="8" t="str">
        <f>IF($K$25="Español","Llave de Brazo",(IF($K$25="Deutsch","Starker Wurfarm",(IF($K$25="Français","Juggernaut","Pile Diver")))))</f>
        <v>Pile Diver</v>
      </c>
      <c r="CE109" s="8" t="s">
        <v>198</v>
      </c>
      <c r="CG109" s="8"/>
      <c r="CH109" s="223" t="str">
        <f t="shared" si="128"/>
        <v/>
      </c>
      <c r="CI109" s="223" t="str">
        <f t="shared" si="145"/>
        <v>Multiple Blocks</v>
      </c>
      <c r="CJ109" s="51" t="str">
        <f t="shared" si="129"/>
        <v>Multiple Blocks</v>
      </c>
      <c r="CK109" s="51" t="str">
        <f t="shared" si="130"/>
        <v>Multiple Blocks</v>
      </c>
      <c r="CL109" s="51" t="str">
        <f t="shared" si="131"/>
        <v>Multiple Blocks</v>
      </c>
      <c r="CM109" s="51" t="str">
        <f t="shared" si="132"/>
        <v>Multiple Blocks</v>
      </c>
      <c r="CN109" s="51" t="str">
        <f t="shared" si="133"/>
        <v/>
      </c>
      <c r="CO109" s="51" t="str">
        <f t="shared" si="134"/>
        <v/>
      </c>
      <c r="CP109" s="51" t="str">
        <f t="shared" si="135"/>
        <v/>
      </c>
      <c r="CQ109" s="51" t="str">
        <f t="shared" si="136"/>
        <v/>
      </c>
      <c r="CR109" s="51" t="str">
        <f t="shared" si="137"/>
        <v/>
      </c>
      <c r="CS109" s="51" t="str">
        <f t="shared" si="138"/>
        <v/>
      </c>
      <c r="CT109" s="51" t="str">
        <f t="shared" si="139"/>
        <v/>
      </c>
      <c r="CU109" s="51" t="str">
        <f t="shared" si="140"/>
        <v/>
      </c>
      <c r="CV109" s="51" t="str">
        <f t="shared" si="141"/>
        <v/>
      </c>
      <c r="CW109" s="51" t="str">
        <f t="shared" si="142"/>
        <v/>
      </c>
      <c r="DA109" s="8"/>
    </row>
    <row r="110" spans="1:105" ht="15" hidden="1"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7">
        <v>1390000</v>
      </c>
      <c r="AT110" s="7"/>
      <c r="AU110" s="7"/>
      <c r="AV110" s="7"/>
      <c r="AW110" s="7"/>
      <c r="AX110" s="7"/>
      <c r="AY110" s="8"/>
      <c r="AZ110" s="55"/>
      <c r="BA110" s="7">
        <v>420000</v>
      </c>
      <c r="BB110" s="55"/>
      <c r="BC110" s="55"/>
      <c r="BD110" s="8"/>
      <c r="BE110" s="55"/>
      <c r="BF110" s="8"/>
      <c r="BL110" s="8"/>
      <c r="BN110" s="8"/>
      <c r="BO110" s="8"/>
      <c r="BP110" s="8"/>
      <c r="BT110" s="8" t="str">
        <f>IF($K$25="Español","Llave de Brazo",(IF($K$25="Deutsch","Starker Wurfarm",(IF($K$25="Français","Juggernaut","Pile Diver")))))</f>
        <v>Pile Diver</v>
      </c>
      <c r="BU110" s="8" t="s">
        <v>198</v>
      </c>
      <c r="BV110" s="119" t="str">
        <f>IF($K$25="Español","Piel Ferrea",(IF($K$25="Deutsch","Tentakel",(IF($K$25="Français","Présence perturbante","Prehensile Tail")))))</f>
        <v>Prehensile Tail</v>
      </c>
      <c r="BW110" s="8" t="s">
        <v>200</v>
      </c>
      <c r="BX110" s="8" t="str">
        <f>IF($K$25="Español","Llave de Brazo",(IF($K$25="Deutsch","Starker Wurfarm",(IF($K$25="Français","Juggernaut","Pile Diver")))))</f>
        <v>Pile Diver</v>
      </c>
      <c r="BY110" s="8" t="s">
        <v>198</v>
      </c>
      <c r="BZ110" s="8" t="str">
        <f t="shared" ref="BZ110:CA110" si="184">""</f>
        <v/>
      </c>
      <c r="CA110" s="8" t="str">
        <f t="shared" si="184"/>
        <v/>
      </c>
      <c r="CB110" s="197" t="str">
        <f t="shared" si="175"/>
        <v/>
      </c>
      <c r="CC110" s="197" t="str">
        <f t="shared" si="175"/>
        <v/>
      </c>
      <c r="CD110" s="8" t="str">
        <f>IF($K$25="Español","Luchador",(IF($K$25="Deutsch","Tackle durchbrechen",(IF($K$25="Français","Mateau-pilon","Stand Firm")))))</f>
        <v>Stand Firm</v>
      </c>
      <c r="CE110" s="8" t="s">
        <v>198</v>
      </c>
      <c r="CG110" s="8"/>
      <c r="CH110" s="223" t="str">
        <f t="shared" si="128"/>
        <v/>
      </c>
      <c r="CI110" s="223" t="str">
        <f t="shared" si="145"/>
        <v>Pile Diver</v>
      </c>
      <c r="CJ110" s="51" t="str">
        <f t="shared" si="129"/>
        <v>Pile Diver</v>
      </c>
      <c r="CK110" s="51" t="str">
        <f t="shared" si="130"/>
        <v>Pile Diver</v>
      </c>
      <c r="CL110" s="51" t="str">
        <f t="shared" si="131"/>
        <v>Pile Diver</v>
      </c>
      <c r="CM110" s="51" t="str">
        <f t="shared" si="132"/>
        <v>Pile Diver</v>
      </c>
      <c r="CN110" s="51" t="str">
        <f t="shared" si="133"/>
        <v/>
      </c>
      <c r="CO110" s="51" t="str">
        <f t="shared" si="134"/>
        <v/>
      </c>
      <c r="CP110" s="51" t="str">
        <f t="shared" si="135"/>
        <v/>
      </c>
      <c r="CQ110" s="51" t="str">
        <f t="shared" si="136"/>
        <v/>
      </c>
      <c r="CR110" s="51" t="str">
        <f t="shared" si="137"/>
        <v/>
      </c>
      <c r="CS110" s="51" t="str">
        <f t="shared" si="138"/>
        <v/>
      </c>
      <c r="CT110" s="51" t="str">
        <f t="shared" si="139"/>
        <v/>
      </c>
      <c r="CU110" s="51" t="str">
        <f t="shared" si="140"/>
        <v/>
      </c>
      <c r="CV110" s="51" t="str">
        <f t="shared" si="141"/>
        <v/>
      </c>
      <c r="CW110" s="51" t="str">
        <f t="shared" si="142"/>
        <v/>
      </c>
      <c r="DA110" s="8"/>
    </row>
    <row r="111" spans="1:105" ht="15" hidden="1"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7">
        <v>1400000</v>
      </c>
      <c r="AT111" s="7"/>
      <c r="AU111" s="7"/>
      <c r="AV111" s="7"/>
      <c r="AW111" s="7"/>
      <c r="AX111" s="7"/>
      <c r="AY111" s="8"/>
      <c r="AZ111" s="8"/>
      <c r="BA111" s="7">
        <v>430000</v>
      </c>
      <c r="BB111" s="8"/>
      <c r="BC111" s="8"/>
      <c r="BD111" s="8"/>
      <c r="BE111" s="8"/>
      <c r="BF111" s="8"/>
      <c r="BL111" s="8"/>
      <c r="BN111" s="8"/>
      <c r="BO111" s="8"/>
      <c r="BP111" s="8"/>
      <c r="BT111" s="8" t="str">
        <f>IF($K$25="Español","Luchador",(IF($K$25="Deutsch","Tackle durchbrechen",(IF($K$25="Français","Mateau-pilon","Stand Firm")))))</f>
        <v>Stand Firm</v>
      </c>
      <c r="BU111" s="8" t="s">
        <v>198</v>
      </c>
      <c r="BV111" s="119" t="str">
        <f>IF($K$25="Español","Piernas muy Largas",(IF($K$25="Deutsch","Verstörende Präsenz",(IF($K$25="Français","Répulsion","Tentacles")))))</f>
        <v>Tentacles</v>
      </c>
      <c r="BW111" s="8" t="s">
        <v>200</v>
      </c>
      <c r="BX111" s="8" t="str">
        <f>IF($K$25="Español","Luchador",(IF($K$25="Deutsch","Tackle durchbrechen",(IF($K$25="Français","Mateau-pilon","Stand Firm")))))</f>
        <v>Stand Firm</v>
      </c>
      <c r="BY111" s="8" t="s">
        <v>198</v>
      </c>
      <c r="BZ111" s="8" t="str">
        <f t="shared" ref="BZ111:CA111" si="185">""</f>
        <v/>
      </c>
      <c r="CA111" s="8" t="str">
        <f t="shared" si="185"/>
        <v/>
      </c>
      <c r="CB111" s="197" t="str">
        <f t="shared" si="175"/>
        <v/>
      </c>
      <c r="CC111" s="197" t="str">
        <f t="shared" si="175"/>
        <v/>
      </c>
      <c r="CD111" s="8" t="str">
        <f>IF($K$25="Español","Mantenerse Firme",(IF($K$25="Deutsch","Robust",(IF($K$25="Français","Projection","Strong Arm")))))</f>
        <v>Strong Arm</v>
      </c>
      <c r="CE111" s="8" t="s">
        <v>198</v>
      </c>
      <c r="CG111" s="8"/>
      <c r="CH111" s="223" t="str">
        <f t="shared" si="128"/>
        <v/>
      </c>
      <c r="CI111" s="223" t="str">
        <f t="shared" si="145"/>
        <v>Stand Firm</v>
      </c>
      <c r="CJ111" s="51" t="str">
        <f t="shared" si="129"/>
        <v>Stand Firm</v>
      </c>
      <c r="CK111" s="51" t="str">
        <f t="shared" si="130"/>
        <v>Stand Firm</v>
      </c>
      <c r="CL111" s="51" t="str">
        <f t="shared" si="131"/>
        <v>Stand Firm</v>
      </c>
      <c r="CM111" s="51" t="str">
        <f t="shared" si="132"/>
        <v>Stand Firm</v>
      </c>
      <c r="CN111" s="51" t="str">
        <f t="shared" si="133"/>
        <v/>
      </c>
      <c r="CO111" s="51" t="str">
        <f t="shared" si="134"/>
        <v/>
      </c>
      <c r="CP111" s="51" t="str">
        <f t="shared" si="135"/>
        <v/>
      </c>
      <c r="CQ111" s="51" t="str">
        <f t="shared" si="136"/>
        <v/>
      </c>
      <c r="CR111" s="51" t="str">
        <f t="shared" si="137"/>
        <v/>
      </c>
      <c r="CS111" s="51" t="str">
        <f t="shared" si="138"/>
        <v/>
      </c>
      <c r="CT111" s="51" t="str">
        <f t="shared" si="139"/>
        <v/>
      </c>
      <c r="CU111" s="51" t="str">
        <f t="shared" si="140"/>
        <v/>
      </c>
      <c r="CV111" s="51" t="str">
        <f t="shared" si="141"/>
        <v/>
      </c>
      <c r="CW111" s="51" t="str">
        <f t="shared" si="142"/>
        <v/>
      </c>
      <c r="DA111" s="8"/>
    </row>
    <row r="112" spans="1:105" ht="15" hidden="1"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7">
        <v>1410000</v>
      </c>
      <c r="AT112" s="7"/>
      <c r="AU112" s="7"/>
      <c r="AV112" s="7"/>
      <c r="AW112" s="7"/>
      <c r="AX112" s="7"/>
      <c r="AY112" s="8"/>
      <c r="AZ112" s="8"/>
      <c r="BA112" s="7">
        <v>440000</v>
      </c>
      <c r="BB112" s="8"/>
      <c r="BC112" s="8"/>
      <c r="BD112" s="8"/>
      <c r="BE112" s="8"/>
      <c r="BF112" s="8"/>
      <c r="BL112" s="8"/>
      <c r="BN112" s="8"/>
      <c r="BO112" s="8"/>
      <c r="BP112" s="8"/>
      <c r="BT112" s="8" t="str">
        <f>IF($K$25="Español","Mantenerse Firme",(IF($K$25="Deutsch","Robust",(IF($K$25="Français","Projection","Strong Arm")))))</f>
        <v>Strong Arm</v>
      </c>
      <c r="BU112" s="8" t="s">
        <v>198</v>
      </c>
      <c r="BV112" s="119" t="str">
        <f>IF($K$25="Español","Presencia Perturbadora",(IF($K$25="Deutsch","Zwei Köpfe",(IF($K$25="Français","Tentacule","Two Heads")))))</f>
        <v>Two Heads</v>
      </c>
      <c r="BW112" s="8" t="s">
        <v>200</v>
      </c>
      <c r="BX112" s="8" t="str">
        <f>IF($K$25="Español","Mantenerse Firme",(IF($K$25="Deutsch","Robust",(IF($K$25="Français","Projection","Strong Arm")))))</f>
        <v>Strong Arm</v>
      </c>
      <c r="BY112" s="8" t="s">
        <v>198</v>
      </c>
      <c r="BZ112" s="8" t="str">
        <f t="shared" ref="BZ112:CA112" si="186">""</f>
        <v/>
      </c>
      <c r="CA112" s="8" t="str">
        <f t="shared" si="186"/>
        <v/>
      </c>
      <c r="CB112" s="197" t="str">
        <f t="shared" si="175"/>
        <v/>
      </c>
      <c r="CC112" s="197" t="str">
        <f t="shared" si="175"/>
        <v/>
      </c>
      <c r="CD112" s="8" t="str">
        <f>IF($K$25="Español","Placaje Múltiple",(IF($K$25="Deutsch","Unterstützen",(IF($K$25="Français","Stabilité","Thick Skull")))))</f>
        <v>Thick Skull</v>
      </c>
      <c r="CE112" s="8" t="s">
        <v>198</v>
      </c>
      <c r="CG112" s="8"/>
      <c r="CH112" s="223" t="str">
        <f t="shared" si="128"/>
        <v/>
      </c>
      <c r="CI112" s="223" t="str">
        <f t="shared" si="145"/>
        <v>Strong Arm</v>
      </c>
      <c r="CJ112" s="51" t="str">
        <f t="shared" si="129"/>
        <v>Strong Arm</v>
      </c>
      <c r="CK112" s="51" t="str">
        <f t="shared" si="130"/>
        <v>Strong Arm</v>
      </c>
      <c r="CL112" s="51" t="str">
        <f t="shared" si="131"/>
        <v>Strong Arm</v>
      </c>
      <c r="CM112" s="51" t="str">
        <f t="shared" si="132"/>
        <v>Strong Arm</v>
      </c>
      <c r="CN112" s="51" t="str">
        <f t="shared" si="133"/>
        <v/>
      </c>
      <c r="CO112" s="51" t="str">
        <f t="shared" si="134"/>
        <v/>
      </c>
      <c r="CP112" s="51" t="str">
        <f t="shared" si="135"/>
        <v/>
      </c>
      <c r="CQ112" s="51" t="str">
        <f t="shared" si="136"/>
        <v/>
      </c>
      <c r="CR112" s="51" t="str">
        <f t="shared" si="137"/>
        <v/>
      </c>
      <c r="CS112" s="51" t="str">
        <f t="shared" si="138"/>
        <v/>
      </c>
      <c r="CT112" s="51" t="str">
        <f t="shared" si="139"/>
        <v/>
      </c>
      <c r="CU112" s="51" t="str">
        <f t="shared" si="140"/>
        <v/>
      </c>
      <c r="CV112" s="51" t="str">
        <f t="shared" si="141"/>
        <v/>
      </c>
      <c r="CW112" s="51" t="str">
        <f t="shared" si="142"/>
        <v/>
      </c>
      <c r="DA112" s="8"/>
    </row>
    <row r="113" spans="1:107" ht="15" hidden="1"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7">
        <v>1420000</v>
      </c>
      <c r="AT113" s="7"/>
      <c r="AU113" s="7"/>
      <c r="AV113" s="7"/>
      <c r="AW113" s="7"/>
      <c r="AX113" s="7"/>
      <c r="AY113" s="8"/>
      <c r="AZ113" s="8"/>
      <c r="BA113" s="7">
        <v>450000</v>
      </c>
      <c r="BB113" s="8"/>
      <c r="BC113" s="8"/>
      <c r="BD113" s="8"/>
      <c r="BE113" s="8"/>
      <c r="BF113" s="8"/>
      <c r="BL113" s="8"/>
      <c r="BN113" s="8"/>
      <c r="BO113" s="8"/>
      <c r="BP113" s="8"/>
      <c r="BT113" s="8" t="str">
        <f>IF($K$25="Español","Placaje Múltiple",(IF($K$25="Deutsch","Unterstützen",(IF($K$25="Français","Stabilité","Thick Skull")))))</f>
        <v>Thick Skull</v>
      </c>
      <c r="BU113" s="8" t="s">
        <v>198</v>
      </c>
      <c r="BV113" s="119" t="str">
        <f>IF($K$25="Español","Tentáculos",(IF($K$25="Deutsch","Zusätzliche Arme",(IF($K$25="Français","Très longues jambes","Very Long Legs")))))</f>
        <v>Very Long Legs</v>
      </c>
      <c r="BW113" s="8" t="s">
        <v>200</v>
      </c>
      <c r="BX113" s="8" t="str">
        <f>IF($K$25="Español","Placaje Múltiple",(IF($K$25="Deutsch","Unterstützen",(IF($K$25="Français","Stabilité","Thick Skull")))))</f>
        <v>Thick Skull</v>
      </c>
      <c r="BY113" s="8" t="s">
        <v>198</v>
      </c>
      <c r="BZ113" s="8" t="str">
        <f t="shared" ref="BZ113:CA113" si="187">""</f>
        <v/>
      </c>
      <c r="CA113" s="8" t="str">
        <f t="shared" si="187"/>
        <v/>
      </c>
      <c r="CB113" s="197" t="str">
        <f t="shared" si="175"/>
        <v/>
      </c>
      <c r="CC113" s="197" t="str">
        <f t="shared" si="175"/>
        <v/>
      </c>
      <c r="CD113" s="119" t="str">
        <f>IF($K$25="Español","Apariencia Asquerosa",(IF($K$25="Deutsch","Abstoßendes Aussehen",(IF($K$25="Français","Bras supplémentaire","Big Hand")))))</f>
        <v>Big Hand</v>
      </c>
      <c r="CE113" s="8" t="s">
        <v>200</v>
      </c>
      <c r="CG113" s="8"/>
      <c r="CH113" s="223" t="str">
        <f t="shared" si="128"/>
        <v/>
      </c>
      <c r="CI113" s="223" t="str">
        <f t="shared" si="145"/>
        <v>Thick Skull</v>
      </c>
      <c r="CJ113" s="51" t="str">
        <f t="shared" si="129"/>
        <v>Thick Skull</v>
      </c>
      <c r="CK113" s="51" t="str">
        <f t="shared" si="130"/>
        <v>Thick Skull</v>
      </c>
      <c r="CL113" s="51" t="str">
        <f t="shared" si="131"/>
        <v>Thick Skull</v>
      </c>
      <c r="CM113" s="51" t="str">
        <f t="shared" si="132"/>
        <v>Thick Skull</v>
      </c>
      <c r="CN113" s="51" t="str">
        <f t="shared" si="133"/>
        <v/>
      </c>
      <c r="CO113" s="51" t="str">
        <f t="shared" si="134"/>
        <v/>
      </c>
      <c r="CP113" s="51" t="str">
        <f t="shared" si="135"/>
        <v/>
      </c>
      <c r="CQ113" s="51" t="str">
        <f t="shared" si="136"/>
        <v/>
      </c>
      <c r="CR113" s="51" t="str">
        <f t="shared" si="137"/>
        <v/>
      </c>
      <c r="CS113" s="51" t="str">
        <f t="shared" si="138"/>
        <v/>
      </c>
      <c r="CT113" s="51" t="str">
        <f t="shared" si="139"/>
        <v/>
      </c>
      <c r="CU113" s="51" t="str">
        <f t="shared" si="140"/>
        <v/>
      </c>
      <c r="CV113" s="51" t="str">
        <f t="shared" si="141"/>
        <v/>
      </c>
      <c r="CW113" s="51" t="str">
        <f t="shared" si="142"/>
        <v/>
      </c>
      <c r="DA113" s="8"/>
    </row>
    <row r="114" spans="1:107" ht="15" hidden="1"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7">
        <v>1430000</v>
      </c>
      <c r="AT114" s="7"/>
      <c r="AU114" s="7"/>
      <c r="AV114" s="7"/>
      <c r="AW114" s="7"/>
      <c r="AX114" s="7"/>
      <c r="AY114" s="8"/>
      <c r="AZ114" s="8"/>
      <c r="BA114" s="7">
        <v>460000</v>
      </c>
      <c r="BB114" s="8"/>
      <c r="BC114" s="8"/>
      <c r="BD114" s="8"/>
      <c r="BE114" s="8"/>
      <c r="BF114" s="8"/>
      <c r="BL114" s="8"/>
      <c r="BN114" s="8"/>
      <c r="BO114" s="8"/>
      <c r="BP114" s="8"/>
      <c r="BT114" s="119" t="str">
        <f>IF($K$25="Español","Apariencia Asquerosa",(IF($K$25="Deutsch","Abstoßendes Aussehen",(IF($K$25="Français","Bras supplémentaire","Big Hand")))))</f>
        <v>Big Hand</v>
      </c>
      <c r="BU114" s="8" t="s">
        <v>200</v>
      </c>
      <c r="BV114" s="8" t="str">
        <f t="shared" ref="BV114:CA114" si="188">""</f>
        <v/>
      </c>
      <c r="BW114" s="8" t="str">
        <f t="shared" si="188"/>
        <v/>
      </c>
      <c r="BX114" s="8" t="str">
        <f t="shared" si="188"/>
        <v/>
      </c>
      <c r="BY114" s="8" t="str">
        <f t="shared" si="188"/>
        <v/>
      </c>
      <c r="BZ114" s="8" t="str">
        <f t="shared" si="188"/>
        <v/>
      </c>
      <c r="CA114" s="8" t="str">
        <f t="shared" si="188"/>
        <v/>
      </c>
      <c r="CB114" s="197" t="str">
        <f t="shared" si="175"/>
        <v/>
      </c>
      <c r="CC114" s="197" t="str">
        <f t="shared" si="175"/>
        <v/>
      </c>
      <c r="CD114" s="119" t="str">
        <f>IF($K$25="Español","Boca Monstruosa",(IF($K$25="Deutsch","Eisenharte Haut",(IF($K$25="Français","Cornes","Claw / Claws")))))</f>
        <v>Claw / Claws</v>
      </c>
      <c r="CE114" s="8" t="s">
        <v>200</v>
      </c>
      <c r="CG114" s="8"/>
      <c r="CH114" s="223" t="str">
        <f t="shared" si="128"/>
        <v/>
      </c>
      <c r="CI114" s="223" t="str">
        <f t="shared" si="145"/>
        <v/>
      </c>
      <c r="CJ114" s="51" t="str">
        <f t="shared" si="129"/>
        <v/>
      </c>
      <c r="CK114" s="51" t="str">
        <f t="shared" si="130"/>
        <v/>
      </c>
      <c r="CL114" s="51" t="str">
        <f t="shared" si="131"/>
        <v/>
      </c>
      <c r="CM114" s="51" t="str">
        <f t="shared" si="132"/>
        <v/>
      </c>
      <c r="CN114" s="51" t="str">
        <f t="shared" si="133"/>
        <v/>
      </c>
      <c r="CO114" s="51" t="str">
        <f t="shared" si="134"/>
        <v/>
      </c>
      <c r="CP114" s="51" t="str">
        <f t="shared" si="135"/>
        <v/>
      </c>
      <c r="CQ114" s="51" t="str">
        <f t="shared" si="136"/>
        <v/>
      </c>
      <c r="CR114" s="51" t="str">
        <f t="shared" si="137"/>
        <v/>
      </c>
      <c r="CS114" s="51" t="str">
        <f t="shared" si="138"/>
        <v/>
      </c>
      <c r="CT114" s="51" t="str">
        <f t="shared" si="139"/>
        <v/>
      </c>
      <c r="CU114" s="51" t="str">
        <f t="shared" si="140"/>
        <v/>
      </c>
      <c r="CV114" s="51" t="str">
        <f t="shared" si="141"/>
        <v/>
      </c>
      <c r="CW114" s="51" t="str">
        <f t="shared" si="142"/>
        <v/>
      </c>
      <c r="DA114" s="8"/>
    </row>
    <row r="115" spans="1:107" ht="15" hidden="1"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7">
        <v>1440000</v>
      </c>
      <c r="AT115" s="7"/>
      <c r="AU115" s="7"/>
      <c r="AV115" s="7"/>
      <c r="AW115" s="7"/>
      <c r="AX115" s="7"/>
      <c r="AY115" s="8"/>
      <c r="AZ115" s="8"/>
      <c r="BA115" s="7">
        <v>470000</v>
      </c>
      <c r="BB115" s="8"/>
      <c r="BC115" s="8"/>
      <c r="BD115" s="8"/>
      <c r="BE115" s="8"/>
      <c r="BF115" s="8"/>
      <c r="BL115" s="8"/>
      <c r="BN115" s="8"/>
      <c r="BO115" s="8"/>
      <c r="BP115" s="8"/>
      <c r="BT115" s="119" t="str">
        <f>IF($K$25="Español","Boca Monstruosa",(IF($K$25="Deutsch","Eisenharte Haut",(IF($K$25="Français","Cornes","Claw / Claws")))))</f>
        <v>Claw / Claws</v>
      </c>
      <c r="BU115" s="8" t="s">
        <v>200</v>
      </c>
      <c r="BV115" s="8" t="str">
        <f t="shared" ref="BV115:CA115" si="189">""</f>
        <v/>
      </c>
      <c r="BW115" s="8" t="str">
        <f t="shared" si="189"/>
        <v/>
      </c>
      <c r="BX115" s="8" t="str">
        <f t="shared" si="189"/>
        <v/>
      </c>
      <c r="BY115" s="8" t="str">
        <f t="shared" si="189"/>
        <v/>
      </c>
      <c r="BZ115" s="8" t="str">
        <f t="shared" si="189"/>
        <v/>
      </c>
      <c r="CA115" s="8" t="str">
        <f t="shared" si="189"/>
        <v/>
      </c>
      <c r="CB115" s="197" t="str">
        <f t="shared" si="175"/>
        <v/>
      </c>
      <c r="CC115" s="197" t="str">
        <f t="shared" si="175"/>
        <v/>
      </c>
      <c r="CD115" s="119" t="str">
        <f>IF($K$25="Español","Brazos Adicionales",(IF($K$25="Deutsch","Große Hand",(IF($K$25="Français","Deux tête","Disturbing Presence")))))</f>
        <v>Disturbing Presence</v>
      </c>
      <c r="CE115" s="8" t="s">
        <v>200</v>
      </c>
      <c r="CG115" s="8"/>
      <c r="CH115" s="223" t="str">
        <f t="shared" si="128"/>
        <v/>
      </c>
      <c r="CI115" s="223" t="str">
        <f t="shared" si="145"/>
        <v/>
      </c>
      <c r="CJ115" s="51" t="str">
        <f t="shared" si="129"/>
        <v/>
      </c>
      <c r="CK115" s="51" t="str">
        <f t="shared" si="130"/>
        <v/>
      </c>
      <c r="CL115" s="51" t="str">
        <f t="shared" si="131"/>
        <v/>
      </c>
      <c r="CM115" s="51" t="str">
        <f t="shared" si="132"/>
        <v/>
      </c>
      <c r="CN115" s="51" t="str">
        <f t="shared" si="133"/>
        <v/>
      </c>
      <c r="CO115" s="51" t="str">
        <f t="shared" si="134"/>
        <v/>
      </c>
      <c r="CP115" s="51" t="str">
        <f t="shared" si="135"/>
        <v/>
      </c>
      <c r="CQ115" s="51" t="str">
        <f t="shared" si="136"/>
        <v/>
      </c>
      <c r="CR115" s="51" t="str">
        <f t="shared" si="137"/>
        <v/>
      </c>
      <c r="CS115" s="51" t="str">
        <f t="shared" si="138"/>
        <v/>
      </c>
      <c r="CT115" s="51" t="str">
        <f t="shared" si="139"/>
        <v/>
      </c>
      <c r="CU115" s="51" t="str">
        <f t="shared" si="140"/>
        <v/>
      </c>
      <c r="CV115" s="51" t="str">
        <f t="shared" si="141"/>
        <v/>
      </c>
      <c r="CW115" s="51" t="str">
        <f t="shared" si="142"/>
        <v/>
      </c>
      <c r="DA115" s="8"/>
    </row>
    <row r="116" spans="1:107" ht="15" hidden="1"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7">
        <v>1450000</v>
      </c>
      <c r="AT116" s="7"/>
      <c r="AU116" s="7"/>
      <c r="AV116" s="7"/>
      <c r="AW116" s="7"/>
      <c r="AX116" s="7"/>
      <c r="AY116" s="8"/>
      <c r="AZ116" s="8"/>
      <c r="BA116" s="7">
        <v>480000</v>
      </c>
      <c r="BB116" s="8"/>
      <c r="BC116" s="8"/>
      <c r="BD116" s="8"/>
      <c r="BE116" s="8"/>
      <c r="BF116" s="8"/>
      <c r="BL116" s="8"/>
      <c r="BN116" s="8"/>
      <c r="BO116" s="8"/>
      <c r="BP116" s="8"/>
      <c r="BT116" s="119" t="str">
        <f>IF($K$25="Español","Brazos Adicionales",(IF($K$25="Deutsch","Große Hand",(IF($K$25="Français","Deux tête","Disturbing Presence")))))</f>
        <v>Disturbing Presence</v>
      </c>
      <c r="BU116" s="8" t="s">
        <v>200</v>
      </c>
      <c r="BV116" s="8" t="str">
        <f t="shared" ref="BV116:CA116" si="190">""</f>
        <v/>
      </c>
      <c r="BW116" s="8" t="str">
        <f t="shared" si="190"/>
        <v/>
      </c>
      <c r="BX116" s="8" t="str">
        <f t="shared" si="190"/>
        <v/>
      </c>
      <c r="BY116" s="8" t="str">
        <f t="shared" si="190"/>
        <v/>
      </c>
      <c r="BZ116" s="8" t="str">
        <f t="shared" si="190"/>
        <v/>
      </c>
      <c r="CA116" s="8" t="str">
        <f t="shared" si="190"/>
        <v/>
      </c>
      <c r="CB116" s="197" t="str">
        <f t="shared" si="175"/>
        <v/>
      </c>
      <c r="CC116" s="197" t="str">
        <f t="shared" si="175"/>
        <v/>
      </c>
      <c r="CD116" s="119" t="str">
        <f>IF($K$25="Español","Cola Prensil",(IF($K$25="Deutsch","Hörner",(IF($K$25="Français","Grande gueule","Extra Arms")))))</f>
        <v>Extra Arms</v>
      </c>
      <c r="CE116" s="8" t="s">
        <v>200</v>
      </c>
      <c r="CG116" s="8"/>
      <c r="CH116" s="223" t="str">
        <f t="shared" si="128"/>
        <v/>
      </c>
      <c r="CI116" s="223" t="str">
        <f t="shared" si="145"/>
        <v/>
      </c>
      <c r="CJ116" s="51" t="str">
        <f t="shared" si="129"/>
        <v/>
      </c>
      <c r="CK116" s="51" t="str">
        <f t="shared" si="130"/>
        <v/>
      </c>
      <c r="CL116" s="51" t="str">
        <f t="shared" si="131"/>
        <v/>
      </c>
      <c r="CM116" s="51" t="str">
        <f t="shared" si="132"/>
        <v/>
      </c>
      <c r="CN116" s="51" t="str">
        <f t="shared" si="133"/>
        <v/>
      </c>
      <c r="CO116" s="51" t="str">
        <f t="shared" si="134"/>
        <v/>
      </c>
      <c r="CP116" s="51" t="str">
        <f t="shared" si="135"/>
        <v/>
      </c>
      <c r="CQ116" s="51" t="str">
        <f t="shared" si="136"/>
        <v/>
      </c>
      <c r="CR116" s="51" t="str">
        <f t="shared" si="137"/>
        <v/>
      </c>
      <c r="CS116" s="51" t="str">
        <f t="shared" si="138"/>
        <v/>
      </c>
      <c r="CT116" s="51" t="str">
        <f t="shared" si="139"/>
        <v/>
      </c>
      <c r="CU116" s="51" t="str">
        <f t="shared" si="140"/>
        <v/>
      </c>
      <c r="CV116" s="51" t="str">
        <f t="shared" si="141"/>
        <v/>
      </c>
      <c r="CW116" s="51" t="str">
        <f t="shared" si="142"/>
        <v/>
      </c>
      <c r="DA116" s="8"/>
    </row>
    <row r="117" spans="1:107" ht="15" hidden="1"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7">
        <v>1460000</v>
      </c>
      <c r="AT117" s="7"/>
      <c r="AU117" s="7"/>
      <c r="AV117" s="7"/>
      <c r="AW117" s="7"/>
      <c r="AX117" s="7"/>
      <c r="AY117" s="8"/>
      <c r="AZ117" s="8"/>
      <c r="BA117" s="7">
        <v>490000</v>
      </c>
      <c r="BB117" s="8"/>
      <c r="BC117" s="8"/>
      <c r="BD117" s="8"/>
      <c r="BE117" s="8"/>
      <c r="BF117" s="8"/>
      <c r="BL117" s="8"/>
      <c r="BN117" s="8"/>
      <c r="BO117" s="8"/>
      <c r="BP117" s="8"/>
      <c r="BT117" s="119" t="str">
        <f>IF($K$25="Español","Cola Prensil",(IF($K$25="Deutsch","Hörner",(IF($K$25="Français","Grande gueule","Extra Arms")))))</f>
        <v>Extra Arms</v>
      </c>
      <c r="BU117" s="8" t="s">
        <v>200</v>
      </c>
      <c r="BV117" s="8" t="str">
        <f t="shared" ref="BV117:CA117" si="191">""</f>
        <v/>
      </c>
      <c r="BW117" s="8" t="str">
        <f t="shared" si="191"/>
        <v/>
      </c>
      <c r="BX117" s="8" t="str">
        <f t="shared" si="191"/>
        <v/>
      </c>
      <c r="BY117" s="8" t="str">
        <f t="shared" si="191"/>
        <v/>
      </c>
      <c r="BZ117" s="8" t="str">
        <f t="shared" si="191"/>
        <v/>
      </c>
      <c r="CA117" s="8" t="str">
        <f t="shared" si="191"/>
        <v/>
      </c>
      <c r="CB117" s="197" t="str">
        <f t="shared" si="175"/>
        <v/>
      </c>
      <c r="CC117" s="197" t="str">
        <f t="shared" si="175"/>
        <v/>
      </c>
      <c r="CD117" s="119" t="str">
        <f>IF($K$25="Español","Cuernos",(IF($K$25="Deutsch","Klammerschwanz",(IF($K$25="Français","Griffes","Foul Appearance")))))</f>
        <v>Foul Appearance</v>
      </c>
      <c r="CE117" s="8" t="s">
        <v>200</v>
      </c>
      <c r="CG117" s="8"/>
      <c r="CH117" s="223" t="str">
        <f t="shared" si="128"/>
        <v/>
      </c>
      <c r="CI117" s="223" t="str">
        <f t="shared" si="145"/>
        <v/>
      </c>
      <c r="CJ117" s="51" t="str">
        <f t="shared" si="129"/>
        <v/>
      </c>
      <c r="CK117" s="51" t="str">
        <f t="shared" si="130"/>
        <v/>
      </c>
      <c r="CL117" s="51" t="str">
        <f t="shared" si="131"/>
        <v/>
      </c>
      <c r="CM117" s="51" t="str">
        <f t="shared" si="132"/>
        <v/>
      </c>
      <c r="CN117" s="51" t="str">
        <f t="shared" si="133"/>
        <v/>
      </c>
      <c r="CO117" s="51" t="str">
        <f t="shared" si="134"/>
        <v/>
      </c>
      <c r="CP117" s="51" t="str">
        <f t="shared" si="135"/>
        <v/>
      </c>
      <c r="CQ117" s="51" t="str">
        <f t="shared" si="136"/>
        <v/>
      </c>
      <c r="CR117" s="51" t="str">
        <f t="shared" si="137"/>
        <v/>
      </c>
      <c r="CS117" s="51" t="str">
        <f t="shared" si="138"/>
        <v/>
      </c>
      <c r="CT117" s="51" t="str">
        <f t="shared" si="139"/>
        <v/>
      </c>
      <c r="CU117" s="51" t="str">
        <f t="shared" si="140"/>
        <v/>
      </c>
      <c r="CV117" s="51" t="str">
        <f t="shared" si="141"/>
        <v/>
      </c>
      <c r="CW117" s="51" t="str">
        <f t="shared" si="142"/>
        <v/>
      </c>
      <c r="DA117" s="8"/>
    </row>
    <row r="118" spans="1:107" ht="15" hidden="1"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7">
        <v>1470000</v>
      </c>
      <c r="AT118" s="7"/>
      <c r="AU118" s="7"/>
      <c r="AV118" s="7"/>
      <c r="AW118" s="7"/>
      <c r="AX118" s="7"/>
      <c r="AY118" s="8"/>
      <c r="AZ118" s="8"/>
      <c r="BA118" s="7">
        <v>500000</v>
      </c>
      <c r="BB118" s="8"/>
      <c r="BC118" s="8"/>
      <c r="BD118" s="8"/>
      <c r="BE118" s="8"/>
      <c r="BF118" s="8"/>
      <c r="BL118" s="8"/>
      <c r="BN118" s="8"/>
      <c r="BO118" s="8"/>
      <c r="BP118" s="8"/>
      <c r="BT118" s="119" t="str">
        <f>IF($K$25="Español","Cuernos",(IF($K$25="Deutsch","Klammerschwanz",(IF($K$25="Français","Griffes","Foul Appearance")))))</f>
        <v>Foul Appearance</v>
      </c>
      <c r="BU118" s="8" t="s">
        <v>200</v>
      </c>
      <c r="BV118" s="8" t="str">
        <f t="shared" ref="BV118:CA118" si="192">""</f>
        <v/>
      </c>
      <c r="BW118" s="8" t="str">
        <f t="shared" si="192"/>
        <v/>
      </c>
      <c r="BX118" s="8" t="str">
        <f t="shared" si="192"/>
        <v/>
      </c>
      <c r="BY118" s="8" t="str">
        <f t="shared" si="192"/>
        <v/>
      </c>
      <c r="BZ118" s="8" t="str">
        <f t="shared" si="192"/>
        <v/>
      </c>
      <c r="CA118" s="8" t="str">
        <f t="shared" si="192"/>
        <v/>
      </c>
      <c r="CB118" s="197" t="str">
        <f t="shared" si="175"/>
        <v/>
      </c>
      <c r="CC118" s="197" t="str">
        <f t="shared" si="175"/>
        <v/>
      </c>
      <c r="CD118" s="119" t="str">
        <f>IF($K$25="Español","Dos Cabezas",(IF($K$25="Deutsch","Klauen",(IF($K$25="Français","Main démesurée","Horns")))))</f>
        <v>Horns</v>
      </c>
      <c r="CE118" s="8" t="s">
        <v>200</v>
      </c>
      <c r="CG118" s="8"/>
      <c r="CH118" s="223" t="str">
        <f t="shared" si="128"/>
        <v/>
      </c>
      <c r="CI118" s="223" t="str">
        <f t="shared" si="145"/>
        <v/>
      </c>
      <c r="CJ118" s="51" t="str">
        <f t="shared" si="129"/>
        <v/>
      </c>
      <c r="CK118" s="51" t="str">
        <f t="shared" si="130"/>
        <v/>
      </c>
      <c r="CL118" s="51" t="str">
        <f t="shared" si="131"/>
        <v/>
      </c>
      <c r="CM118" s="51" t="str">
        <f t="shared" si="132"/>
        <v/>
      </c>
      <c r="CN118" s="51" t="str">
        <f t="shared" si="133"/>
        <v/>
      </c>
      <c r="CO118" s="51" t="str">
        <f t="shared" si="134"/>
        <v/>
      </c>
      <c r="CP118" s="51" t="str">
        <f t="shared" si="135"/>
        <v/>
      </c>
      <c r="CQ118" s="51" t="str">
        <f t="shared" si="136"/>
        <v/>
      </c>
      <c r="CR118" s="51" t="str">
        <f t="shared" si="137"/>
        <v/>
      </c>
      <c r="CS118" s="51" t="str">
        <f t="shared" si="138"/>
        <v/>
      </c>
      <c r="CT118" s="51" t="str">
        <f t="shared" si="139"/>
        <v/>
      </c>
      <c r="CU118" s="51" t="str">
        <f t="shared" si="140"/>
        <v/>
      </c>
      <c r="CV118" s="51" t="str">
        <f t="shared" si="141"/>
        <v/>
      </c>
      <c r="CW118" s="51" t="str">
        <f t="shared" si="142"/>
        <v/>
      </c>
      <c r="DA118" s="8"/>
    </row>
    <row r="119" spans="1:107" ht="15" hidden="1"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7">
        <v>1480000</v>
      </c>
      <c r="AT119" s="7"/>
      <c r="AU119" s="7"/>
      <c r="AV119" s="7"/>
      <c r="AW119" s="7"/>
      <c r="AX119" s="7"/>
      <c r="AY119" s="8"/>
      <c r="AZ119" s="8"/>
      <c r="BA119" s="8"/>
      <c r="BB119" s="8"/>
      <c r="BC119" s="8"/>
      <c r="BD119" s="8"/>
      <c r="BE119" s="8"/>
      <c r="BF119" s="8"/>
      <c r="BL119" s="8"/>
      <c r="BN119" s="8"/>
      <c r="BO119" s="8"/>
      <c r="BP119" s="8"/>
      <c r="BT119" s="119" t="str">
        <f>IF($K$25="Español","Dos Cabezas",(IF($K$25="Deutsch","Klauen",(IF($K$25="Français","Main démesurée","Horns")))))</f>
        <v>Horns</v>
      </c>
      <c r="BU119" s="8" t="s">
        <v>200</v>
      </c>
      <c r="BV119" s="8" t="str">
        <f t="shared" ref="BV119:CA119" si="193">""</f>
        <v/>
      </c>
      <c r="BW119" s="8" t="str">
        <f t="shared" si="193"/>
        <v/>
      </c>
      <c r="BX119" s="8" t="str">
        <f t="shared" si="193"/>
        <v/>
      </c>
      <c r="BY119" s="8" t="str">
        <f t="shared" si="193"/>
        <v/>
      </c>
      <c r="BZ119" s="8" t="str">
        <f t="shared" si="193"/>
        <v/>
      </c>
      <c r="CA119" s="8" t="str">
        <f t="shared" si="193"/>
        <v/>
      </c>
      <c r="CB119" s="197" t="str">
        <f t="shared" si="175"/>
        <v/>
      </c>
      <c r="CC119" s="197" t="str">
        <f t="shared" si="175"/>
        <v/>
      </c>
      <c r="CD119" s="8" t="str">
        <f>IF($K$25="Español","Garra / Garras",(IF($K$25="Deutsch","Monströses Maul",(IF($K$25="Français","Queue préhensile","Iron Hard Skin")))))</f>
        <v>Iron Hard Skin</v>
      </c>
      <c r="CE119" s="8" t="s">
        <v>200</v>
      </c>
      <c r="CG119" s="8"/>
      <c r="CH119" s="223" t="str">
        <f t="shared" si="128"/>
        <v/>
      </c>
      <c r="CI119" s="223" t="str">
        <f t="shared" si="145"/>
        <v/>
      </c>
      <c r="CJ119" s="51" t="str">
        <f t="shared" si="129"/>
        <v/>
      </c>
      <c r="CK119" s="51" t="str">
        <f t="shared" si="130"/>
        <v/>
      </c>
      <c r="CL119" s="51" t="str">
        <f t="shared" si="131"/>
        <v/>
      </c>
      <c r="CM119" s="51" t="str">
        <f t="shared" si="132"/>
        <v/>
      </c>
      <c r="CN119" s="51" t="str">
        <f t="shared" si="133"/>
        <v/>
      </c>
      <c r="CO119" s="51" t="str">
        <f t="shared" si="134"/>
        <v/>
      </c>
      <c r="CP119" s="51" t="str">
        <f t="shared" si="135"/>
        <v/>
      </c>
      <c r="CQ119" s="51" t="str">
        <f t="shared" si="136"/>
        <v/>
      </c>
      <c r="CR119" s="51" t="str">
        <f t="shared" si="137"/>
        <v/>
      </c>
      <c r="CS119" s="51" t="str">
        <f t="shared" si="138"/>
        <v/>
      </c>
      <c r="CT119" s="51" t="str">
        <f t="shared" si="139"/>
        <v/>
      </c>
      <c r="CU119" s="51" t="str">
        <f t="shared" si="140"/>
        <v/>
      </c>
      <c r="CV119" s="51" t="str">
        <f t="shared" si="141"/>
        <v/>
      </c>
      <c r="CW119" s="51" t="str">
        <f t="shared" si="142"/>
        <v/>
      </c>
      <c r="DA119" s="8"/>
    </row>
    <row r="120" spans="1:107" ht="15" hidden="1"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7">
        <v>1490000</v>
      </c>
      <c r="AT120" s="7"/>
      <c r="AU120" s="7"/>
      <c r="AV120" s="7"/>
      <c r="AW120" s="7"/>
      <c r="AX120" s="7"/>
      <c r="AY120" s="8"/>
      <c r="AZ120" s="8"/>
      <c r="BA120" s="8"/>
      <c r="BB120" s="8"/>
      <c r="BC120" s="8"/>
      <c r="BD120" s="8"/>
      <c r="BE120" s="8"/>
      <c r="BF120" s="8"/>
      <c r="BL120" s="8"/>
      <c r="BN120" s="8"/>
      <c r="BO120" s="8"/>
      <c r="BP120" s="8"/>
      <c r="BT120" s="8" t="str">
        <f>IF($K$25="Español","Garra / Garras",(IF($K$25="Deutsch","Monströses Maul",(IF($K$25="Français","Queue préhensile","Iron Hard Skin")))))</f>
        <v>Iron Hard Skin</v>
      </c>
      <c r="BU120" s="8" t="s">
        <v>200</v>
      </c>
      <c r="BV120" s="8" t="str">
        <f t="shared" ref="BV120:CA120" si="194">""</f>
        <v/>
      </c>
      <c r="BW120" s="8" t="str">
        <f t="shared" si="194"/>
        <v/>
      </c>
      <c r="BX120" s="8" t="str">
        <f t="shared" si="194"/>
        <v/>
      </c>
      <c r="BY120" s="8" t="str">
        <f t="shared" si="194"/>
        <v/>
      </c>
      <c r="BZ120" s="8" t="str">
        <f t="shared" si="194"/>
        <v/>
      </c>
      <c r="CA120" s="8" t="str">
        <f t="shared" si="194"/>
        <v/>
      </c>
      <c r="CB120" s="197" t="str">
        <f t="shared" si="175"/>
        <v/>
      </c>
      <c r="CC120" s="197" t="str">
        <f t="shared" si="175"/>
        <v/>
      </c>
      <c r="CD120" s="8" t="str">
        <f>IF($K$25="Español","Mano Grande",(IF($K$25="Deutsch","Sehr lange Beine",(IF($K$25="Français","Peau de fer","Monstrous Mouth")))))</f>
        <v>Monstrous Mouth</v>
      </c>
      <c r="CE120" s="8" t="s">
        <v>200</v>
      </c>
      <c r="CG120" s="8"/>
      <c r="CH120" s="223" t="str">
        <f t="shared" si="128"/>
        <v/>
      </c>
      <c r="CI120" s="223" t="str">
        <f t="shared" si="145"/>
        <v/>
      </c>
      <c r="CJ120" s="51" t="str">
        <f t="shared" si="129"/>
        <v/>
      </c>
      <c r="CK120" s="51" t="str">
        <f t="shared" si="130"/>
        <v/>
      </c>
      <c r="CL120" s="51" t="str">
        <f t="shared" si="131"/>
        <v/>
      </c>
      <c r="CM120" s="51" t="str">
        <f t="shared" si="132"/>
        <v/>
      </c>
      <c r="CN120" s="51" t="str">
        <f t="shared" si="133"/>
        <v/>
      </c>
      <c r="CO120" s="51" t="str">
        <f t="shared" si="134"/>
        <v/>
      </c>
      <c r="CP120" s="51" t="str">
        <f t="shared" si="135"/>
        <v/>
      </c>
      <c r="CQ120" s="51" t="str">
        <f t="shared" si="136"/>
        <v/>
      </c>
      <c r="CR120" s="51" t="str">
        <f t="shared" si="137"/>
        <v/>
      </c>
      <c r="CS120" s="51" t="str">
        <f t="shared" si="138"/>
        <v/>
      </c>
      <c r="CT120" s="51" t="str">
        <f t="shared" si="139"/>
        <v/>
      </c>
      <c r="CU120" s="51" t="str">
        <f t="shared" si="140"/>
        <v/>
      </c>
      <c r="CV120" s="51" t="str">
        <f t="shared" si="141"/>
        <v/>
      </c>
      <c r="CW120" s="51" t="str">
        <f t="shared" si="142"/>
        <v/>
      </c>
      <c r="DA120" s="8"/>
    </row>
    <row r="121" spans="1:107" ht="15" hidden="1"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7">
        <v>1500000</v>
      </c>
      <c r="AT121" s="7"/>
      <c r="AU121" s="7"/>
      <c r="AV121" s="7"/>
      <c r="AW121" s="7"/>
      <c r="AX121" s="7"/>
      <c r="AY121" s="8"/>
      <c r="AZ121" s="8"/>
      <c r="BA121" s="8"/>
      <c r="BB121" s="8"/>
      <c r="BC121" s="8"/>
      <c r="BD121" s="8"/>
      <c r="BE121" s="8"/>
      <c r="BF121" s="8"/>
      <c r="BL121" s="8"/>
      <c r="BN121" s="8"/>
      <c r="BO121" s="8"/>
      <c r="BP121" s="8"/>
      <c r="BT121" s="8" t="str">
        <f>IF($K$25="Español","Mano Grande",(IF($K$25="Deutsch","Sehr lange Beine",(IF($K$25="Français","Peau de fer","Monstrous Mouth")))))</f>
        <v>Monstrous Mouth</v>
      </c>
      <c r="BU121" s="8" t="s">
        <v>200</v>
      </c>
      <c r="BV121" s="8" t="str">
        <f t="shared" ref="BV121:CA121" si="195">""</f>
        <v/>
      </c>
      <c r="BW121" s="8" t="str">
        <f t="shared" si="195"/>
        <v/>
      </c>
      <c r="BX121" s="8" t="str">
        <f t="shared" si="195"/>
        <v/>
      </c>
      <c r="BY121" s="8" t="str">
        <f t="shared" si="195"/>
        <v/>
      </c>
      <c r="BZ121" s="8" t="str">
        <f t="shared" si="195"/>
        <v/>
      </c>
      <c r="CA121" s="8" t="str">
        <f t="shared" si="195"/>
        <v/>
      </c>
      <c r="CB121" s="197" t="str">
        <f t="shared" si="175"/>
        <v/>
      </c>
      <c r="CC121" s="197" t="str">
        <f t="shared" si="175"/>
        <v/>
      </c>
      <c r="CD121" s="119" t="str">
        <f>IF($K$25="Español","Piel Ferrea",(IF($K$25="Deutsch","Tentakel",(IF($K$25="Français","Présence perturbante","Prehensile Tail")))))</f>
        <v>Prehensile Tail</v>
      </c>
      <c r="CE121" s="8" t="s">
        <v>200</v>
      </c>
      <c r="CG121" s="8"/>
      <c r="CH121" s="223" t="str">
        <f t="shared" si="128"/>
        <v/>
      </c>
      <c r="CI121" s="223" t="str">
        <f t="shared" si="145"/>
        <v/>
      </c>
      <c r="CJ121" s="51" t="str">
        <f t="shared" si="129"/>
        <v/>
      </c>
      <c r="CK121" s="51" t="str">
        <f t="shared" si="130"/>
        <v/>
      </c>
      <c r="CL121" s="51" t="str">
        <f t="shared" si="131"/>
        <v/>
      </c>
      <c r="CM121" s="51" t="str">
        <f t="shared" si="132"/>
        <v/>
      </c>
      <c r="CN121" s="51" t="str">
        <f t="shared" si="133"/>
        <v/>
      </c>
      <c r="CO121" s="51" t="str">
        <f t="shared" si="134"/>
        <v/>
      </c>
      <c r="CP121" s="51" t="str">
        <f t="shared" si="135"/>
        <v/>
      </c>
      <c r="CQ121" s="51" t="str">
        <f t="shared" si="136"/>
        <v/>
      </c>
      <c r="CR121" s="51" t="str">
        <f t="shared" si="137"/>
        <v/>
      </c>
      <c r="CS121" s="51" t="str">
        <f t="shared" si="138"/>
        <v/>
      </c>
      <c r="CT121" s="51" t="str">
        <f t="shared" si="139"/>
        <v/>
      </c>
      <c r="CU121" s="51" t="str">
        <f t="shared" si="140"/>
        <v/>
      </c>
      <c r="CV121" s="51" t="str">
        <f t="shared" si="141"/>
        <v/>
      </c>
      <c r="CW121" s="51" t="str">
        <f t="shared" si="142"/>
        <v/>
      </c>
      <c r="DA121" s="8"/>
    </row>
    <row r="122" spans="1:107" ht="15" hidden="1"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7">
        <v>1510000</v>
      </c>
      <c r="AT122" s="7"/>
      <c r="AU122" s="7"/>
      <c r="AV122" s="7"/>
      <c r="AW122" s="7"/>
      <c r="AX122" s="7"/>
      <c r="AY122" s="8"/>
      <c r="AZ122" s="8"/>
      <c r="BA122" s="8"/>
      <c r="BB122" s="8"/>
      <c r="BC122" s="8"/>
      <c r="BD122" s="8"/>
      <c r="BE122" s="8"/>
      <c r="BF122" s="8"/>
      <c r="BL122" s="8"/>
      <c r="BN122" s="8"/>
      <c r="BO122" s="8"/>
      <c r="BP122" s="8"/>
      <c r="BT122" s="119" t="str">
        <f>IF($K$25="Español","Piel Ferrea",(IF($K$25="Deutsch","Tentakel",(IF($K$25="Français","Présence perturbante","Prehensile Tail")))))</f>
        <v>Prehensile Tail</v>
      </c>
      <c r="BU122" s="8" t="s">
        <v>200</v>
      </c>
      <c r="BV122" s="8" t="str">
        <f t="shared" ref="BV122:CA122" si="196">""</f>
        <v/>
      </c>
      <c r="BW122" s="8" t="str">
        <f t="shared" si="196"/>
        <v/>
      </c>
      <c r="BX122" s="8" t="str">
        <f t="shared" si="196"/>
        <v/>
      </c>
      <c r="BY122" s="8" t="str">
        <f t="shared" si="196"/>
        <v/>
      </c>
      <c r="BZ122" s="8" t="str">
        <f t="shared" si="196"/>
        <v/>
      </c>
      <c r="CA122" s="8" t="str">
        <f t="shared" si="196"/>
        <v/>
      </c>
      <c r="CB122" s="197" t="str">
        <f t="shared" si="175"/>
        <v/>
      </c>
      <c r="CC122" s="197" t="str">
        <f t="shared" si="175"/>
        <v/>
      </c>
      <c r="CD122" s="119" t="str">
        <f>IF($K$25="Español","Piernas muy Largas",(IF($K$25="Deutsch","Verstörende Präsenz",(IF($K$25="Français","Répulsion","Tentacles")))))</f>
        <v>Tentacles</v>
      </c>
      <c r="CE122" s="8" t="s">
        <v>200</v>
      </c>
      <c r="CG122" s="8"/>
      <c r="CH122" s="223" t="str">
        <f t="shared" si="128"/>
        <v/>
      </c>
      <c r="CI122" s="223" t="str">
        <f t="shared" si="145"/>
        <v/>
      </c>
      <c r="CJ122" s="51" t="str">
        <f t="shared" si="129"/>
        <v/>
      </c>
      <c r="CK122" s="51" t="str">
        <f t="shared" si="130"/>
        <v/>
      </c>
      <c r="CL122" s="51" t="str">
        <f t="shared" si="131"/>
        <v/>
      </c>
      <c r="CM122" s="51" t="str">
        <f t="shared" si="132"/>
        <v/>
      </c>
      <c r="CN122" s="51" t="str">
        <f t="shared" si="133"/>
        <v/>
      </c>
      <c r="CO122" s="51" t="str">
        <f t="shared" si="134"/>
        <v/>
      </c>
      <c r="CP122" s="51" t="str">
        <f t="shared" si="135"/>
        <v/>
      </c>
      <c r="CQ122" s="51" t="str">
        <f t="shared" si="136"/>
        <v/>
      </c>
      <c r="CR122" s="51" t="str">
        <f t="shared" si="137"/>
        <v/>
      </c>
      <c r="CS122" s="51" t="str">
        <f t="shared" si="138"/>
        <v/>
      </c>
      <c r="CT122" s="51" t="str">
        <f t="shared" si="139"/>
        <v/>
      </c>
      <c r="CU122" s="51" t="str">
        <f t="shared" si="140"/>
        <v/>
      </c>
      <c r="CV122" s="51" t="str">
        <f t="shared" si="141"/>
        <v/>
      </c>
      <c r="CW122" s="51" t="str">
        <f t="shared" si="142"/>
        <v/>
      </c>
      <c r="DA122" s="8"/>
    </row>
    <row r="123" spans="1:107" ht="15" hidden="1"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7">
        <v>1520000</v>
      </c>
      <c r="AT123" s="7"/>
      <c r="AU123" s="7"/>
      <c r="AV123" s="7"/>
      <c r="AW123" s="7"/>
      <c r="AX123" s="7"/>
      <c r="AY123" s="8"/>
      <c r="AZ123" s="8"/>
      <c r="BA123" s="8"/>
      <c r="BB123" s="8"/>
      <c r="BC123" s="8"/>
      <c r="BD123" s="8"/>
      <c r="BE123" s="8"/>
      <c r="BF123" s="8"/>
      <c r="BL123" s="8"/>
      <c r="BN123" s="8"/>
      <c r="BO123" s="8"/>
      <c r="BP123" s="8"/>
      <c r="BT123" s="119" t="str">
        <f>IF($K$25="Español","Piernas muy Largas",(IF($K$25="Deutsch","Verstörende Präsenz",(IF($K$25="Français","Répulsion","Tentacles")))))</f>
        <v>Tentacles</v>
      </c>
      <c r="BU123" s="8" t="s">
        <v>200</v>
      </c>
      <c r="BV123" s="8" t="str">
        <f t="shared" ref="BV123:CA123" si="197">""</f>
        <v/>
      </c>
      <c r="BW123" s="8" t="str">
        <f t="shared" si="197"/>
        <v/>
      </c>
      <c r="BX123" s="8" t="str">
        <f t="shared" si="197"/>
        <v/>
      </c>
      <c r="BY123" s="8" t="str">
        <f t="shared" si="197"/>
        <v/>
      </c>
      <c r="BZ123" s="8" t="str">
        <f t="shared" si="197"/>
        <v/>
      </c>
      <c r="CA123" s="8" t="str">
        <f t="shared" si="197"/>
        <v/>
      </c>
      <c r="CB123" s="197" t="str">
        <f t="shared" si="175"/>
        <v/>
      </c>
      <c r="CC123" s="197" t="str">
        <f t="shared" si="175"/>
        <v/>
      </c>
      <c r="CD123" s="119" t="str">
        <f>IF($K$25="Español","Presencia Perturbadora",(IF($K$25="Deutsch","Zwei Köpfe",(IF($K$25="Français","Tentacule","Two Heads")))))</f>
        <v>Two Heads</v>
      </c>
      <c r="CE123" s="8" t="s">
        <v>200</v>
      </c>
      <c r="CG123" s="8"/>
      <c r="CH123" s="223" t="str">
        <f t="shared" si="128"/>
        <v/>
      </c>
      <c r="CI123" s="223" t="str">
        <f t="shared" si="145"/>
        <v/>
      </c>
      <c r="CJ123" s="51" t="str">
        <f t="shared" si="129"/>
        <v/>
      </c>
      <c r="CK123" s="51" t="str">
        <f t="shared" si="130"/>
        <v/>
      </c>
      <c r="CL123" s="51" t="str">
        <f t="shared" si="131"/>
        <v/>
      </c>
      <c r="CM123" s="51" t="str">
        <f t="shared" si="132"/>
        <v/>
      </c>
      <c r="CN123" s="51" t="str">
        <f t="shared" si="133"/>
        <v/>
      </c>
      <c r="CO123" s="51" t="str">
        <f t="shared" si="134"/>
        <v/>
      </c>
      <c r="CP123" s="51" t="str">
        <f t="shared" si="135"/>
        <v/>
      </c>
      <c r="CQ123" s="51" t="str">
        <f t="shared" si="136"/>
        <v/>
      </c>
      <c r="CR123" s="51" t="str">
        <f t="shared" si="137"/>
        <v/>
      </c>
      <c r="CS123" s="51" t="str">
        <f t="shared" si="138"/>
        <v/>
      </c>
      <c r="CT123" s="51" t="str">
        <f t="shared" si="139"/>
        <v/>
      </c>
      <c r="CU123" s="51" t="str">
        <f t="shared" si="140"/>
        <v/>
      </c>
      <c r="CV123" s="51" t="str">
        <f t="shared" si="141"/>
        <v/>
      </c>
      <c r="CW123" s="51" t="str">
        <f t="shared" si="142"/>
        <v/>
      </c>
      <c r="DA123" s="8"/>
    </row>
    <row r="124" spans="1:107" ht="15" hidden="1"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7">
        <v>1530000</v>
      </c>
      <c r="AT124" s="7"/>
      <c r="AU124" s="7"/>
      <c r="AV124" s="7"/>
      <c r="AW124" s="7"/>
      <c r="AX124" s="7"/>
      <c r="AY124" s="8"/>
      <c r="AZ124" s="8"/>
      <c r="BA124" s="8"/>
      <c r="BB124" s="8"/>
      <c r="BC124" s="8"/>
      <c r="BD124" s="8"/>
      <c r="BE124" s="8"/>
      <c r="BF124" s="8"/>
      <c r="BL124" s="8"/>
      <c r="BN124" s="8"/>
      <c r="BO124" s="8"/>
      <c r="BP124" s="8"/>
      <c r="BT124" s="119" t="str">
        <f>IF($K$25="Español","Presencia Perturbadora",(IF($K$25="Deutsch","Zwei Köpfe",(IF($K$25="Français","Tentacule","Two Heads")))))</f>
        <v>Two Heads</v>
      </c>
      <c r="BU124" s="8" t="s">
        <v>200</v>
      </c>
      <c r="BV124" s="8" t="str">
        <f t="shared" ref="BV124:CA124" si="198">""</f>
        <v/>
      </c>
      <c r="BW124" s="8" t="str">
        <f t="shared" si="198"/>
        <v/>
      </c>
      <c r="BX124" s="8" t="str">
        <f t="shared" si="198"/>
        <v/>
      </c>
      <c r="BY124" s="8" t="str">
        <f t="shared" si="198"/>
        <v/>
      </c>
      <c r="BZ124" s="8" t="str">
        <f t="shared" si="198"/>
        <v/>
      </c>
      <c r="CA124" s="8" t="str">
        <f t="shared" si="198"/>
        <v/>
      </c>
      <c r="CB124" s="197" t="str">
        <f t="shared" si="175"/>
        <v/>
      </c>
      <c r="CC124" s="197" t="str">
        <f t="shared" si="175"/>
        <v/>
      </c>
      <c r="CD124" s="119" t="str">
        <f>IF($K$25="Español","Tentáculos",(IF($K$25="Deutsch","Zusätzliche Arme",(IF($K$25="Français","Très longues jambes","Very Long Legs")))))</f>
        <v>Very Long Legs</v>
      </c>
      <c r="CE124" s="8" t="s">
        <v>200</v>
      </c>
      <c r="CG124" s="8"/>
      <c r="CH124" s="223" t="str">
        <f t="shared" si="128"/>
        <v/>
      </c>
      <c r="CI124" s="223" t="str">
        <f t="shared" si="145"/>
        <v/>
      </c>
      <c r="CJ124" s="51" t="str">
        <f t="shared" si="129"/>
        <v/>
      </c>
      <c r="CK124" s="51" t="str">
        <f t="shared" si="130"/>
        <v/>
      </c>
      <c r="CL124" s="51" t="str">
        <f t="shared" si="131"/>
        <v/>
      </c>
      <c r="CM124" s="51" t="str">
        <f t="shared" si="132"/>
        <v/>
      </c>
      <c r="CN124" s="51" t="str">
        <f t="shared" si="133"/>
        <v/>
      </c>
      <c r="CO124" s="51" t="str">
        <f t="shared" si="134"/>
        <v/>
      </c>
      <c r="CP124" s="51" t="str">
        <f t="shared" si="135"/>
        <v/>
      </c>
      <c r="CQ124" s="51" t="str">
        <f t="shared" si="136"/>
        <v/>
      </c>
      <c r="CR124" s="51" t="str">
        <f t="shared" si="137"/>
        <v/>
      </c>
      <c r="CS124" s="51" t="str">
        <f t="shared" si="138"/>
        <v/>
      </c>
      <c r="CT124" s="51" t="str">
        <f t="shared" si="139"/>
        <v/>
      </c>
      <c r="CU124" s="51" t="str">
        <f t="shared" si="140"/>
        <v/>
      </c>
      <c r="CV124" s="51" t="str">
        <f t="shared" si="141"/>
        <v/>
      </c>
      <c r="CW124" s="51" t="str">
        <f t="shared" si="142"/>
        <v/>
      </c>
      <c r="DA124" s="8"/>
    </row>
    <row r="125" spans="1:107" ht="15" hidden="1"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7">
        <v>1540000</v>
      </c>
      <c r="AT125" s="7"/>
      <c r="AU125" s="7"/>
      <c r="AV125" s="7"/>
      <c r="AW125" s="7"/>
      <c r="AX125" s="7"/>
      <c r="AY125" s="8"/>
      <c r="AZ125" s="8"/>
      <c r="BA125" s="8"/>
      <c r="BB125" s="8"/>
      <c r="BC125" s="8"/>
      <c r="BD125" s="8"/>
      <c r="BE125" s="8"/>
      <c r="BF125" s="8"/>
      <c r="BL125" s="8"/>
      <c r="BN125" s="8"/>
      <c r="BO125" s="8"/>
      <c r="BP125" s="8"/>
      <c r="BT125" s="119" t="str">
        <f>IF($K$25="Español","Tentáculos",(IF($K$25="Deutsch","Zusätzliche Arme",(IF($K$25="Français","Très longues jambes","Very Long Legs")))))</f>
        <v>Very Long Legs</v>
      </c>
      <c r="BU125" s="8" t="s">
        <v>200</v>
      </c>
      <c r="BV125" s="8" t="str">
        <f t="shared" ref="BV125:CA125" si="199">""</f>
        <v/>
      </c>
      <c r="BW125" s="8" t="str">
        <f t="shared" si="199"/>
        <v/>
      </c>
      <c r="BX125" s="8" t="str">
        <f t="shared" si="199"/>
        <v/>
      </c>
      <c r="BY125" s="8" t="str">
        <f t="shared" si="199"/>
        <v/>
      </c>
      <c r="BZ125" s="8" t="str">
        <f t="shared" si="199"/>
        <v/>
      </c>
      <c r="CA125" s="8" t="str">
        <f t="shared" si="199"/>
        <v/>
      </c>
      <c r="CB125" s="197" t="str">
        <f t="shared" si="175"/>
        <v/>
      </c>
      <c r="CC125" s="197" t="str">
        <f t="shared" si="175"/>
        <v/>
      </c>
      <c r="CD125" s="8"/>
      <c r="CE125" s="8"/>
      <c r="CG125" s="8"/>
      <c r="CH125" s="223" t="str">
        <f t="shared" ref="CH125:CH139" si="200">IFERROR((IF($CH$57="M",BX125,IF($CH$57="PM",BZ125,IF($CH$57="P",BV125,IF($CH$57="FULL",BT125,IF($CH$57="GPSM",CB132,"")))))),"")</f>
        <v/>
      </c>
      <c r="CI125" s="223" t="str">
        <f t="shared" ref="CI125:CI139" si="201">IFERROR((IF($CI$57="M",BX125,IF($CI$57="PM",BZ125,IF($CI$57="P",BV125,IF($CI$57="FULL",BT125,""))))),"")</f>
        <v/>
      </c>
      <c r="CJ125" s="51" t="str">
        <f t="shared" ref="CJ125:CJ139" si="202">IFERROR((IF($CJ$57="M",BX125,IF($CJ$57="PM",BZ125,IF($CJ$57="P",BV125,IF($CJ$57="FULL",BT125,""))))),"")</f>
        <v/>
      </c>
      <c r="CK125" s="51" t="str">
        <f t="shared" ref="CK125:CK139" si="203">IFERROR((IF($CK$57="M",BX125,IF($CK$57="PM",BZ125,IF($CK$57="P",BV125,IF($CK$57="FULL",BT125,""))))),"")</f>
        <v/>
      </c>
      <c r="CL125" s="51" t="str">
        <f t="shared" ref="CL125:CL139" si="204">IFERROR((IF($CL$57="M",BX125,IF($CL$57="PM",BZ125,IF($CL$57="P",BV125,IF($CL$57="FULL",BT125,""))))),"")</f>
        <v/>
      </c>
      <c r="CM125" s="51" t="str">
        <f t="shared" ref="CM125:CM139" si="205">IFERROR((IF($CM$57="M",BX125,IF($CM$57="PM",BZ125,IF($CM$57="P",BV125,IF($CM$57="FULL",BT125,""))))),"")</f>
        <v/>
      </c>
      <c r="CN125" s="51" t="str">
        <f t="shared" ref="CN125:CN139" si="206">IFERROR((IF($CN$57="M",BX125,IF($CN$57="PM",BZ125,IF($CN$57="P",BV125,IF($CN$57="FULL",BT125,""))))),"")</f>
        <v/>
      </c>
      <c r="CO125" s="51" t="str">
        <f t="shared" ref="CO125:CO139" si="207">IFERROR((IF($CO$57="M",BX125,IF($CO$57="PM",BZ125,IF($CO$57="P",BV125,IF($CO$57="FULL",BT125,""))))),"")</f>
        <v/>
      </c>
      <c r="CP125" s="51" t="str">
        <f t="shared" ref="CP125:CP139" si="208">IFERROR((IF($CP$57="M",BX125,IF($CP$57="PM",BZ125,IF($CP$57="P",BV125,IF($CP$57="FULL",BT125,""))))),"")</f>
        <v/>
      </c>
      <c r="CQ125" s="51" t="str">
        <f t="shared" ref="CQ125:CQ139" si="209">IFERROR((IF($CQ$57="M",BX125,IF($CQ$57="PM",BZ125,IF($CQ$57="P",BV125,IF($CQ$57="FULL",BT125,""))))),"")</f>
        <v/>
      </c>
      <c r="CR125" s="51" t="str">
        <f t="shared" ref="CR125:CR139" si="210">IFERROR((IF($CR$57="M",BX125,IF($CR$57="PM",BZ125,IF($CR$57="P",BV125,IF($CR$57="FULL",BT125,""))))),"")</f>
        <v/>
      </c>
      <c r="CS125" s="51" t="str">
        <f t="shared" ref="CS125:CS139" si="211">IFERROR((IF($CS$57="M",BX125,IF($CS$57="PM",BZ125,IF($CS$57="P",BV125,IF($CS$57="FULL",BT125,""))))),"")</f>
        <v/>
      </c>
      <c r="CT125" s="51" t="str">
        <f t="shared" ref="CT125:CT139" si="212">IFERROR((IF($CT$57="M",BX125,IF($CT$57="PM",BZ125,IF($CT$57="P",BV125,IF($CT$57="FULL",BT125,""))))),"")</f>
        <v/>
      </c>
      <c r="CU125" s="51" t="str">
        <f t="shared" ref="CU125:CU139" si="213">IFERROR((IF($CU$57="M",BX125,IF($CU$57="PM",BZ125,IF($CU$57="P",BV125,IF($CU$57="FULL",BT125,""))))),"")</f>
        <v/>
      </c>
      <c r="CV125" s="51" t="str">
        <f t="shared" ref="CV125:CV139" si="214">IFERROR((IF($CV$57="M",BX125,IF($CV$57="PM",BZ125,IF($CV$57="P",BV125,IF($CV$57="FULL",BT125,""))))),"")</f>
        <v/>
      </c>
      <c r="CW125" s="51" t="str">
        <f t="shared" ref="CW125:CW139" si="215">IFERROR((IF($CW$57="M",BX125,IF($CW$57="PM",BZ125,IF($CW$57="P",BV125,IF($CW$57="FULL",BT125,""))))),"")</f>
        <v/>
      </c>
      <c r="DA125" s="8"/>
    </row>
    <row r="126" spans="1:107" ht="15" hidden="1"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7">
        <v>1550000</v>
      </c>
      <c r="AT126" s="7"/>
      <c r="AU126" s="7"/>
      <c r="AV126" s="7"/>
      <c r="AW126" s="7"/>
      <c r="AX126" s="7"/>
      <c r="AY126" s="8"/>
      <c r="AZ126" s="8"/>
      <c r="BA126" s="8"/>
      <c r="BB126" s="8"/>
      <c r="BC126" s="8"/>
      <c r="BD126" s="8"/>
      <c r="BE126" s="8"/>
      <c r="BF126" s="8"/>
      <c r="BL126" s="8"/>
      <c r="BN126" s="8"/>
      <c r="BO126" s="8"/>
      <c r="BP126" s="8"/>
      <c r="BT126" s="8" t="str">
        <f t="shared" ref="BT126:CA126" si="216">""</f>
        <v/>
      </c>
      <c r="BU126" s="8" t="str">
        <f t="shared" si="216"/>
        <v/>
      </c>
      <c r="BV126" s="8" t="str">
        <f t="shared" si="216"/>
        <v/>
      </c>
      <c r="BW126" s="8" t="str">
        <f t="shared" si="216"/>
        <v/>
      </c>
      <c r="BX126" s="8" t="str">
        <f t="shared" si="216"/>
        <v/>
      </c>
      <c r="BY126" s="8" t="str">
        <f t="shared" si="216"/>
        <v/>
      </c>
      <c r="BZ126" s="8" t="str">
        <f t="shared" si="216"/>
        <v/>
      </c>
      <c r="CA126" s="8" t="str">
        <f t="shared" si="216"/>
        <v/>
      </c>
      <c r="CB126" s="197" t="str">
        <f t="shared" si="175"/>
        <v/>
      </c>
      <c r="CC126" s="197" t="str">
        <f t="shared" si="175"/>
        <v/>
      </c>
      <c r="CD126" s="7"/>
      <c r="CE126" s="7"/>
      <c r="CG126" s="8"/>
      <c r="CH126" s="223" t="str">
        <f t="shared" si="200"/>
        <v/>
      </c>
      <c r="CI126" s="223" t="str">
        <f t="shared" si="201"/>
        <v/>
      </c>
      <c r="CJ126" s="51" t="str">
        <f t="shared" si="202"/>
        <v/>
      </c>
      <c r="CK126" s="51" t="str">
        <f t="shared" si="203"/>
        <v/>
      </c>
      <c r="CL126" s="51" t="str">
        <f t="shared" si="204"/>
        <v/>
      </c>
      <c r="CM126" s="51" t="str">
        <f t="shared" si="205"/>
        <v/>
      </c>
      <c r="CN126" s="51" t="str">
        <f t="shared" si="206"/>
        <v/>
      </c>
      <c r="CO126" s="51" t="str">
        <f t="shared" si="207"/>
        <v/>
      </c>
      <c r="CP126" s="51" t="str">
        <f t="shared" si="208"/>
        <v/>
      </c>
      <c r="CQ126" s="51" t="str">
        <f t="shared" si="209"/>
        <v/>
      </c>
      <c r="CR126" s="51" t="str">
        <f t="shared" si="210"/>
        <v/>
      </c>
      <c r="CS126" s="51" t="str">
        <f t="shared" si="211"/>
        <v/>
      </c>
      <c r="CT126" s="51" t="str">
        <f t="shared" si="212"/>
        <v/>
      </c>
      <c r="CU126" s="51" t="str">
        <f t="shared" si="213"/>
        <v/>
      </c>
      <c r="CV126" s="51" t="str">
        <f t="shared" si="214"/>
        <v/>
      </c>
      <c r="CW126" s="51" t="str">
        <f t="shared" si="215"/>
        <v/>
      </c>
      <c r="CX126" s="8"/>
      <c r="CY126" s="8"/>
      <c r="CZ126" s="8"/>
      <c r="DA126" s="8"/>
      <c r="DB126" s="8"/>
      <c r="DC126" s="8"/>
    </row>
    <row r="127" spans="1:107" ht="15" hidden="1"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7">
        <v>1560000</v>
      </c>
      <c r="AT127" s="7"/>
      <c r="AU127" s="7"/>
      <c r="AV127" s="7"/>
      <c r="AW127" s="7"/>
      <c r="AX127" s="7"/>
      <c r="AY127" s="8"/>
      <c r="AZ127" s="8"/>
      <c r="BA127" s="8"/>
      <c r="BB127" s="8"/>
      <c r="BC127" s="8"/>
      <c r="BD127" s="8"/>
      <c r="BE127" s="8"/>
      <c r="BF127" s="8"/>
      <c r="BL127" s="8"/>
      <c r="BN127" s="8"/>
      <c r="BO127" s="8"/>
      <c r="BP127" s="8"/>
      <c r="BT127" s="8" t="str">
        <f t="shared" ref="BT127:CA127" si="217">""</f>
        <v/>
      </c>
      <c r="BU127" s="8" t="str">
        <f t="shared" si="217"/>
        <v/>
      </c>
      <c r="BV127" s="8" t="str">
        <f t="shared" si="217"/>
        <v/>
      </c>
      <c r="BW127" s="8" t="str">
        <f t="shared" si="217"/>
        <v/>
      </c>
      <c r="BX127" s="8" t="str">
        <f t="shared" si="217"/>
        <v/>
      </c>
      <c r="BY127" s="8" t="str">
        <f t="shared" si="217"/>
        <v/>
      </c>
      <c r="BZ127" s="8" t="str">
        <f t="shared" si="217"/>
        <v/>
      </c>
      <c r="CA127" s="8" t="str">
        <f t="shared" si="217"/>
        <v/>
      </c>
      <c r="CB127" s="197" t="str">
        <f t="shared" si="175"/>
        <v/>
      </c>
      <c r="CC127" s="197" t="str">
        <f t="shared" si="175"/>
        <v/>
      </c>
      <c r="CD127" s="7"/>
      <c r="CE127" s="7"/>
      <c r="CG127" s="8"/>
      <c r="CH127" s="223" t="str">
        <f t="shared" si="200"/>
        <v/>
      </c>
      <c r="CI127" s="223" t="str">
        <f t="shared" si="201"/>
        <v/>
      </c>
      <c r="CJ127" s="51" t="str">
        <f t="shared" si="202"/>
        <v/>
      </c>
      <c r="CK127" s="51" t="str">
        <f t="shared" si="203"/>
        <v/>
      </c>
      <c r="CL127" s="51" t="str">
        <f t="shared" si="204"/>
        <v/>
      </c>
      <c r="CM127" s="51" t="str">
        <f t="shared" si="205"/>
        <v/>
      </c>
      <c r="CN127" s="51" t="str">
        <f t="shared" si="206"/>
        <v/>
      </c>
      <c r="CO127" s="51" t="str">
        <f t="shared" si="207"/>
        <v/>
      </c>
      <c r="CP127" s="51" t="str">
        <f t="shared" si="208"/>
        <v/>
      </c>
      <c r="CQ127" s="51" t="str">
        <f t="shared" si="209"/>
        <v/>
      </c>
      <c r="CR127" s="51" t="str">
        <f t="shared" si="210"/>
        <v/>
      </c>
      <c r="CS127" s="51" t="str">
        <f t="shared" si="211"/>
        <v/>
      </c>
      <c r="CT127" s="51" t="str">
        <f t="shared" si="212"/>
        <v/>
      </c>
      <c r="CU127" s="51" t="str">
        <f t="shared" si="213"/>
        <v/>
      </c>
      <c r="CV127" s="51" t="str">
        <f t="shared" si="214"/>
        <v/>
      </c>
      <c r="CW127" s="51" t="str">
        <f t="shared" si="215"/>
        <v/>
      </c>
      <c r="CX127" s="8"/>
      <c r="CY127" s="8"/>
      <c r="CZ127" s="8"/>
      <c r="DA127" s="8"/>
      <c r="DB127" s="8"/>
      <c r="DC127" s="8"/>
    </row>
    <row r="128" spans="1:107" ht="15" hidden="1"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7">
        <v>1570000</v>
      </c>
      <c r="AT128" s="7"/>
      <c r="AU128" s="7"/>
      <c r="AV128" s="7"/>
      <c r="AW128" s="7"/>
      <c r="AX128" s="7"/>
      <c r="AY128" s="8"/>
      <c r="AZ128" s="8"/>
      <c r="BA128" s="8"/>
      <c r="BB128" s="8"/>
      <c r="BC128" s="8"/>
      <c r="BD128" s="8"/>
      <c r="BE128" s="8"/>
      <c r="BF128" s="8"/>
      <c r="BL128" s="8"/>
      <c r="BN128" s="8"/>
      <c r="BO128" s="8"/>
      <c r="BP128" s="8"/>
      <c r="BT128" s="8" t="str">
        <f t="shared" ref="BT128:CA128" si="218">""</f>
        <v/>
      </c>
      <c r="BU128" s="8" t="str">
        <f t="shared" si="218"/>
        <v/>
      </c>
      <c r="BV128" s="8" t="str">
        <f t="shared" si="218"/>
        <v/>
      </c>
      <c r="BW128" s="8" t="str">
        <f t="shared" si="218"/>
        <v/>
      </c>
      <c r="BX128" s="8" t="str">
        <f t="shared" si="218"/>
        <v/>
      </c>
      <c r="BY128" s="8" t="str">
        <f t="shared" si="218"/>
        <v/>
      </c>
      <c r="BZ128" s="8" t="str">
        <f t="shared" si="218"/>
        <v/>
      </c>
      <c r="CA128" s="8" t="str">
        <f t="shared" si="218"/>
        <v/>
      </c>
      <c r="CB128" s="197" t="str">
        <f t="shared" si="175"/>
        <v/>
      </c>
      <c r="CC128" s="197" t="str">
        <f t="shared" si="175"/>
        <v/>
      </c>
      <c r="CD128" s="7"/>
      <c r="CE128" s="7"/>
      <c r="CG128" s="8"/>
      <c r="CH128" s="223" t="str">
        <f t="shared" si="200"/>
        <v/>
      </c>
      <c r="CI128" s="223" t="str">
        <f t="shared" si="201"/>
        <v/>
      </c>
      <c r="CJ128" s="51" t="str">
        <f t="shared" si="202"/>
        <v/>
      </c>
      <c r="CK128" s="51" t="str">
        <f t="shared" si="203"/>
        <v/>
      </c>
      <c r="CL128" s="51" t="str">
        <f t="shared" si="204"/>
        <v/>
      </c>
      <c r="CM128" s="51" t="str">
        <f t="shared" si="205"/>
        <v/>
      </c>
      <c r="CN128" s="51" t="str">
        <f t="shared" si="206"/>
        <v/>
      </c>
      <c r="CO128" s="51" t="str">
        <f t="shared" si="207"/>
        <v/>
      </c>
      <c r="CP128" s="51" t="str">
        <f t="shared" si="208"/>
        <v/>
      </c>
      <c r="CQ128" s="51" t="str">
        <f t="shared" si="209"/>
        <v/>
      </c>
      <c r="CR128" s="51" t="str">
        <f t="shared" si="210"/>
        <v/>
      </c>
      <c r="CS128" s="51" t="str">
        <f t="shared" si="211"/>
        <v/>
      </c>
      <c r="CT128" s="51" t="str">
        <f t="shared" si="212"/>
        <v/>
      </c>
      <c r="CU128" s="51" t="str">
        <f t="shared" si="213"/>
        <v/>
      </c>
      <c r="CV128" s="51" t="str">
        <f t="shared" si="214"/>
        <v/>
      </c>
      <c r="CW128" s="51" t="str">
        <f t="shared" si="215"/>
        <v/>
      </c>
      <c r="CX128" s="8"/>
      <c r="CY128" s="8"/>
      <c r="CZ128" s="8"/>
      <c r="DA128" s="8"/>
      <c r="DB128" s="8"/>
      <c r="DC128" s="8"/>
    </row>
    <row r="129" spans="1:107" ht="15" hidden="1"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7">
        <v>1580000</v>
      </c>
      <c r="AT129" s="7"/>
      <c r="AU129" s="7"/>
      <c r="AV129" s="7"/>
      <c r="AW129" s="7"/>
      <c r="AX129" s="7"/>
      <c r="AY129" s="8"/>
      <c r="AZ129" s="8"/>
      <c r="BA129" s="8"/>
      <c r="BB129" s="8"/>
      <c r="BC129" s="8"/>
      <c r="BD129" s="8"/>
      <c r="BE129" s="8"/>
      <c r="BF129" s="8"/>
      <c r="BL129" s="8"/>
      <c r="BN129" s="8"/>
      <c r="BO129" s="8"/>
      <c r="BP129" s="8"/>
      <c r="BT129" s="8" t="str">
        <f t="shared" ref="BT129:CA129" si="219">""</f>
        <v/>
      </c>
      <c r="BU129" s="8" t="str">
        <f t="shared" si="219"/>
        <v/>
      </c>
      <c r="BV129" s="8" t="str">
        <f t="shared" si="219"/>
        <v/>
      </c>
      <c r="BW129" s="8" t="str">
        <f t="shared" si="219"/>
        <v/>
      </c>
      <c r="BX129" s="8" t="str">
        <f t="shared" si="219"/>
        <v/>
      </c>
      <c r="BY129" s="8" t="str">
        <f t="shared" si="219"/>
        <v/>
      </c>
      <c r="BZ129" s="8" t="str">
        <f t="shared" si="219"/>
        <v/>
      </c>
      <c r="CA129" s="8" t="str">
        <f t="shared" si="219"/>
        <v/>
      </c>
      <c r="CB129" s="197" t="str">
        <f t="shared" si="175"/>
        <v/>
      </c>
      <c r="CC129" s="197" t="str">
        <f t="shared" si="175"/>
        <v/>
      </c>
      <c r="CD129" s="7"/>
      <c r="CE129" s="7"/>
      <c r="CG129" s="8"/>
      <c r="CH129" s="223" t="str">
        <f t="shared" si="200"/>
        <v/>
      </c>
      <c r="CI129" s="223" t="str">
        <f t="shared" si="201"/>
        <v/>
      </c>
      <c r="CJ129" s="51" t="str">
        <f t="shared" si="202"/>
        <v/>
      </c>
      <c r="CK129" s="51" t="str">
        <f t="shared" si="203"/>
        <v/>
      </c>
      <c r="CL129" s="51" t="str">
        <f t="shared" si="204"/>
        <v/>
      </c>
      <c r="CM129" s="51" t="str">
        <f t="shared" si="205"/>
        <v/>
      </c>
      <c r="CN129" s="51" t="str">
        <f t="shared" si="206"/>
        <v/>
      </c>
      <c r="CO129" s="51" t="str">
        <f t="shared" si="207"/>
        <v/>
      </c>
      <c r="CP129" s="51" t="str">
        <f t="shared" si="208"/>
        <v/>
      </c>
      <c r="CQ129" s="51" t="str">
        <f t="shared" si="209"/>
        <v/>
      </c>
      <c r="CR129" s="51" t="str">
        <f t="shared" si="210"/>
        <v/>
      </c>
      <c r="CS129" s="51" t="str">
        <f t="shared" si="211"/>
        <v/>
      </c>
      <c r="CT129" s="51" t="str">
        <f t="shared" si="212"/>
        <v/>
      </c>
      <c r="CU129" s="51" t="str">
        <f t="shared" si="213"/>
        <v/>
      </c>
      <c r="CV129" s="51" t="str">
        <f t="shared" si="214"/>
        <v/>
      </c>
      <c r="CW129" s="51" t="str">
        <f t="shared" si="215"/>
        <v/>
      </c>
      <c r="CX129" s="8"/>
      <c r="CY129" s="8"/>
      <c r="CZ129" s="8"/>
      <c r="DA129" s="8"/>
      <c r="DB129" s="8"/>
      <c r="DC129" s="8"/>
    </row>
    <row r="130" spans="1:107" ht="15" hidden="1"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7">
        <v>1590000</v>
      </c>
      <c r="AT130" s="7"/>
      <c r="AU130" s="7"/>
      <c r="AV130" s="7"/>
      <c r="AW130" s="7"/>
      <c r="AX130" s="7"/>
      <c r="AY130" s="8"/>
      <c r="AZ130" s="8"/>
      <c r="BA130" s="8"/>
      <c r="BB130" s="8"/>
      <c r="BC130" s="8"/>
      <c r="BD130" s="8"/>
      <c r="BE130" s="8"/>
      <c r="BF130" s="8"/>
      <c r="BL130" s="8"/>
      <c r="BN130" s="8"/>
      <c r="BO130" s="8"/>
      <c r="BP130" s="8"/>
      <c r="BT130" s="8" t="str">
        <f t="shared" ref="BT130:CA130" si="220">""</f>
        <v/>
      </c>
      <c r="BU130" s="8" t="str">
        <f t="shared" si="220"/>
        <v/>
      </c>
      <c r="BV130" s="8" t="str">
        <f t="shared" si="220"/>
        <v/>
      </c>
      <c r="BW130" s="8" t="str">
        <f t="shared" si="220"/>
        <v/>
      </c>
      <c r="BX130" s="8" t="str">
        <f t="shared" si="220"/>
        <v/>
      </c>
      <c r="BY130" s="8" t="str">
        <f t="shared" si="220"/>
        <v/>
      </c>
      <c r="BZ130" s="8" t="str">
        <f t="shared" si="220"/>
        <v/>
      </c>
      <c r="CA130" s="8" t="str">
        <f t="shared" si="220"/>
        <v/>
      </c>
      <c r="CB130" s="197" t="str">
        <f t="shared" si="175"/>
        <v/>
      </c>
      <c r="CC130" s="197" t="str">
        <f t="shared" si="175"/>
        <v/>
      </c>
      <c r="CD130" s="8"/>
      <c r="CE130" s="8"/>
      <c r="CG130" s="8"/>
      <c r="CH130" s="223" t="str">
        <f t="shared" si="200"/>
        <v/>
      </c>
      <c r="CI130" s="223" t="str">
        <f t="shared" si="201"/>
        <v/>
      </c>
      <c r="CJ130" s="51" t="str">
        <f t="shared" si="202"/>
        <v/>
      </c>
      <c r="CK130" s="51" t="str">
        <f t="shared" si="203"/>
        <v/>
      </c>
      <c r="CL130" s="51" t="str">
        <f t="shared" si="204"/>
        <v/>
      </c>
      <c r="CM130" s="51" t="str">
        <f t="shared" si="205"/>
        <v/>
      </c>
      <c r="CN130" s="51" t="str">
        <f t="shared" si="206"/>
        <v/>
      </c>
      <c r="CO130" s="51" t="str">
        <f t="shared" si="207"/>
        <v/>
      </c>
      <c r="CP130" s="51" t="str">
        <f t="shared" si="208"/>
        <v/>
      </c>
      <c r="CQ130" s="51" t="str">
        <f t="shared" si="209"/>
        <v/>
      </c>
      <c r="CR130" s="51" t="str">
        <f t="shared" si="210"/>
        <v/>
      </c>
      <c r="CS130" s="51" t="str">
        <f t="shared" si="211"/>
        <v/>
      </c>
      <c r="CT130" s="51" t="str">
        <f t="shared" si="212"/>
        <v/>
      </c>
      <c r="CU130" s="51" t="str">
        <f t="shared" si="213"/>
        <v/>
      </c>
      <c r="CV130" s="51" t="str">
        <f t="shared" si="214"/>
        <v/>
      </c>
      <c r="CW130" s="51" t="str">
        <f t="shared" si="215"/>
        <v/>
      </c>
      <c r="CX130" s="8"/>
      <c r="CY130" s="8"/>
      <c r="CZ130" s="8"/>
      <c r="DA130" s="8"/>
      <c r="DB130" s="8"/>
      <c r="DC130" s="8"/>
    </row>
    <row r="131" spans="1:107" ht="15" hidden="1"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7">
        <v>1600000</v>
      </c>
      <c r="AT131" s="7"/>
      <c r="AU131" s="7"/>
      <c r="AV131" s="7"/>
      <c r="AW131" s="7"/>
      <c r="AX131" s="7"/>
      <c r="AY131" s="8"/>
      <c r="AZ131" s="8"/>
      <c r="BA131" s="8"/>
      <c r="BB131" s="8"/>
      <c r="BC131" s="8"/>
      <c r="BD131" s="8"/>
      <c r="BE131" s="8"/>
      <c r="BF131" s="8"/>
      <c r="BL131" s="8"/>
      <c r="BN131" s="8"/>
      <c r="BO131" s="8"/>
      <c r="BP131" s="8"/>
      <c r="BT131" s="8" t="str">
        <f t="shared" ref="BT131:CA131" si="221">""</f>
        <v/>
      </c>
      <c r="BU131" s="8" t="str">
        <f t="shared" si="221"/>
        <v/>
      </c>
      <c r="BV131" s="8" t="str">
        <f t="shared" si="221"/>
        <v/>
      </c>
      <c r="BW131" s="8" t="str">
        <f t="shared" si="221"/>
        <v/>
      </c>
      <c r="BX131" s="8" t="str">
        <f t="shared" si="221"/>
        <v/>
      </c>
      <c r="BY131" s="8" t="str">
        <f t="shared" si="221"/>
        <v/>
      </c>
      <c r="BZ131" s="8" t="str">
        <f t="shared" si="221"/>
        <v/>
      </c>
      <c r="CA131" s="8" t="str">
        <f t="shared" si="221"/>
        <v/>
      </c>
      <c r="CB131" s="197" t="str">
        <f t="shared" si="175"/>
        <v/>
      </c>
      <c r="CC131" s="197" t="str">
        <f t="shared" si="175"/>
        <v/>
      </c>
      <c r="CD131" s="8"/>
      <c r="CE131" s="8"/>
      <c r="CG131" s="8"/>
      <c r="CH131" s="223" t="str">
        <f t="shared" si="200"/>
        <v/>
      </c>
      <c r="CI131" s="223" t="str">
        <f t="shared" si="201"/>
        <v/>
      </c>
      <c r="CJ131" s="51" t="str">
        <f t="shared" si="202"/>
        <v/>
      </c>
      <c r="CK131" s="51" t="str">
        <f t="shared" si="203"/>
        <v/>
      </c>
      <c r="CL131" s="51" t="str">
        <f t="shared" si="204"/>
        <v/>
      </c>
      <c r="CM131" s="51" t="str">
        <f t="shared" si="205"/>
        <v/>
      </c>
      <c r="CN131" s="51" t="str">
        <f t="shared" si="206"/>
        <v/>
      </c>
      <c r="CO131" s="51" t="str">
        <f t="shared" si="207"/>
        <v/>
      </c>
      <c r="CP131" s="51" t="str">
        <f t="shared" si="208"/>
        <v/>
      </c>
      <c r="CQ131" s="51" t="str">
        <f t="shared" si="209"/>
        <v/>
      </c>
      <c r="CR131" s="51" t="str">
        <f t="shared" si="210"/>
        <v/>
      </c>
      <c r="CS131" s="51" t="str">
        <f t="shared" si="211"/>
        <v/>
      </c>
      <c r="CT131" s="51" t="str">
        <f t="shared" si="212"/>
        <v/>
      </c>
      <c r="CU131" s="51" t="str">
        <f t="shared" si="213"/>
        <v/>
      </c>
      <c r="CV131" s="51" t="str">
        <f t="shared" si="214"/>
        <v/>
      </c>
      <c r="CW131" s="51" t="str">
        <f t="shared" si="215"/>
        <v/>
      </c>
      <c r="CX131" s="8"/>
      <c r="CY131" s="8"/>
      <c r="CZ131" s="8"/>
      <c r="DA131" s="8"/>
      <c r="DB131" s="8"/>
      <c r="DC131" s="8"/>
    </row>
    <row r="132" spans="1:107" ht="15" hidden="1"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7">
        <v>1610000</v>
      </c>
      <c r="AT132" s="7"/>
      <c r="AU132" s="7"/>
      <c r="AV132" s="7"/>
      <c r="AW132" s="7"/>
      <c r="AX132" s="7"/>
      <c r="AY132" s="8"/>
      <c r="AZ132" s="8"/>
      <c r="BA132" s="8"/>
      <c r="BB132" s="8"/>
      <c r="BC132" s="8"/>
      <c r="BD132" s="8"/>
      <c r="BE132" s="8"/>
      <c r="BF132" s="8"/>
      <c r="BL132" s="8"/>
      <c r="BN132" s="8"/>
      <c r="BO132" s="8"/>
      <c r="BP132" s="8"/>
      <c r="BT132" s="8" t="str">
        <f t="shared" ref="BT132:CA132" si="222">""</f>
        <v/>
      </c>
      <c r="BU132" s="8" t="str">
        <f t="shared" si="222"/>
        <v/>
      </c>
      <c r="BV132" s="8" t="str">
        <f t="shared" si="222"/>
        <v/>
      </c>
      <c r="BW132" s="8" t="str">
        <f t="shared" si="222"/>
        <v/>
      </c>
      <c r="BX132" s="8" t="str">
        <f t="shared" si="222"/>
        <v/>
      </c>
      <c r="BY132" s="8" t="str">
        <f t="shared" si="222"/>
        <v/>
      </c>
      <c r="BZ132" s="8" t="str">
        <f t="shared" si="222"/>
        <v/>
      </c>
      <c r="CA132" s="8" t="str">
        <f t="shared" si="222"/>
        <v/>
      </c>
      <c r="CB132" s="197" t="str">
        <f t="shared" si="175"/>
        <v/>
      </c>
      <c r="CC132" s="197" t="str">
        <f t="shared" si="175"/>
        <v/>
      </c>
      <c r="CD132" s="8"/>
      <c r="CE132" s="8"/>
      <c r="CG132" s="8"/>
      <c r="CH132" s="223" t="str">
        <f t="shared" si="200"/>
        <v/>
      </c>
      <c r="CI132" s="223" t="str">
        <f t="shared" si="201"/>
        <v/>
      </c>
      <c r="CJ132" s="51" t="str">
        <f t="shared" si="202"/>
        <v/>
      </c>
      <c r="CK132" s="51" t="str">
        <f t="shared" si="203"/>
        <v/>
      </c>
      <c r="CL132" s="51" t="str">
        <f t="shared" si="204"/>
        <v/>
      </c>
      <c r="CM132" s="51" t="str">
        <f t="shared" si="205"/>
        <v/>
      </c>
      <c r="CN132" s="51" t="str">
        <f t="shared" si="206"/>
        <v/>
      </c>
      <c r="CO132" s="51" t="str">
        <f t="shared" si="207"/>
        <v/>
      </c>
      <c r="CP132" s="51" t="str">
        <f t="shared" si="208"/>
        <v/>
      </c>
      <c r="CQ132" s="51" t="str">
        <f t="shared" si="209"/>
        <v/>
      </c>
      <c r="CR132" s="51" t="str">
        <f t="shared" si="210"/>
        <v/>
      </c>
      <c r="CS132" s="51" t="str">
        <f t="shared" si="211"/>
        <v/>
      </c>
      <c r="CT132" s="51" t="str">
        <f t="shared" si="212"/>
        <v/>
      </c>
      <c r="CU132" s="51" t="str">
        <f t="shared" si="213"/>
        <v/>
      </c>
      <c r="CV132" s="51" t="str">
        <f t="shared" si="214"/>
        <v/>
      </c>
      <c r="CW132" s="51" t="str">
        <f t="shared" si="215"/>
        <v/>
      </c>
      <c r="CX132" s="8"/>
      <c r="CY132" s="8"/>
      <c r="CZ132" s="8"/>
      <c r="DA132" s="8"/>
      <c r="DB132" s="8"/>
      <c r="DC132" s="8"/>
    </row>
    <row r="133" spans="1:107" ht="15" hidden="1"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7">
        <v>1620000</v>
      </c>
      <c r="AT133" s="7"/>
      <c r="AU133" s="7"/>
      <c r="AV133" s="7"/>
      <c r="AW133" s="7"/>
      <c r="AX133" s="7"/>
      <c r="AY133" s="8"/>
      <c r="AZ133" s="8"/>
      <c r="BA133" s="8"/>
      <c r="BB133" s="8"/>
      <c r="BC133" s="8"/>
      <c r="BD133" s="8"/>
      <c r="BE133" s="8"/>
      <c r="BF133" s="8"/>
      <c r="BL133" s="8"/>
      <c r="BN133" s="8"/>
      <c r="BO133" s="8"/>
      <c r="BP133" s="8"/>
      <c r="BT133" s="8" t="str">
        <f t="shared" ref="BT133:CA133" si="223">""</f>
        <v/>
      </c>
      <c r="BU133" s="8" t="str">
        <f t="shared" si="223"/>
        <v/>
      </c>
      <c r="BV133" s="8" t="str">
        <f t="shared" si="223"/>
        <v/>
      </c>
      <c r="BW133" s="8" t="str">
        <f t="shared" si="223"/>
        <v/>
      </c>
      <c r="BX133" s="8" t="str">
        <f t="shared" si="223"/>
        <v/>
      </c>
      <c r="BY133" s="8" t="str">
        <f t="shared" si="223"/>
        <v/>
      </c>
      <c r="BZ133" s="8" t="str">
        <f t="shared" si="223"/>
        <v/>
      </c>
      <c r="CA133" s="8" t="str">
        <f t="shared" si="223"/>
        <v/>
      </c>
      <c r="CB133" s="197" t="str">
        <f t="shared" si="175"/>
        <v/>
      </c>
      <c r="CC133" s="197" t="str">
        <f t="shared" si="175"/>
        <v/>
      </c>
      <c r="CD133" s="7"/>
      <c r="CE133" s="7"/>
      <c r="CG133" s="8"/>
      <c r="CH133" s="223" t="str">
        <f t="shared" si="200"/>
        <v/>
      </c>
      <c r="CI133" s="223" t="str">
        <f t="shared" si="201"/>
        <v/>
      </c>
      <c r="CJ133" s="51" t="str">
        <f t="shared" si="202"/>
        <v/>
      </c>
      <c r="CK133" s="51" t="str">
        <f t="shared" si="203"/>
        <v/>
      </c>
      <c r="CL133" s="51" t="str">
        <f t="shared" si="204"/>
        <v/>
      </c>
      <c r="CM133" s="51" t="str">
        <f t="shared" si="205"/>
        <v/>
      </c>
      <c r="CN133" s="51" t="str">
        <f t="shared" si="206"/>
        <v/>
      </c>
      <c r="CO133" s="51" t="str">
        <f t="shared" si="207"/>
        <v/>
      </c>
      <c r="CP133" s="51" t="str">
        <f t="shared" si="208"/>
        <v/>
      </c>
      <c r="CQ133" s="51" t="str">
        <f t="shared" si="209"/>
        <v/>
      </c>
      <c r="CR133" s="51" t="str">
        <f t="shared" si="210"/>
        <v/>
      </c>
      <c r="CS133" s="51" t="str">
        <f t="shared" si="211"/>
        <v/>
      </c>
      <c r="CT133" s="51" t="str">
        <f t="shared" si="212"/>
        <v/>
      </c>
      <c r="CU133" s="51" t="str">
        <f t="shared" si="213"/>
        <v/>
      </c>
      <c r="CV133" s="51" t="str">
        <f t="shared" si="214"/>
        <v/>
      </c>
      <c r="CW133" s="51" t="str">
        <f t="shared" si="215"/>
        <v/>
      </c>
      <c r="CX133" s="8"/>
      <c r="CY133" s="8"/>
      <c r="CZ133" s="8"/>
      <c r="DA133" s="8"/>
      <c r="DB133" s="8"/>
      <c r="DC133" s="8"/>
    </row>
    <row r="134" spans="1:107" ht="15" hidden="1"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7">
        <v>1630000</v>
      </c>
      <c r="AT134" s="7"/>
      <c r="AU134" s="7"/>
      <c r="AV134" s="7"/>
      <c r="AW134" s="7"/>
      <c r="AX134" s="7"/>
      <c r="AY134" s="8"/>
      <c r="AZ134" s="8"/>
      <c r="BA134" s="8"/>
      <c r="BB134" s="8"/>
      <c r="BC134" s="8"/>
      <c r="BD134" s="8"/>
      <c r="BE134" s="8"/>
      <c r="BF134" s="8"/>
      <c r="BL134" s="8"/>
      <c r="BM134" s="8"/>
      <c r="BN134" s="8"/>
      <c r="BO134" s="8"/>
      <c r="BP134" s="8"/>
      <c r="BT134" s="8" t="str">
        <f t="shared" ref="BT134:CA134" si="224">""</f>
        <v/>
      </c>
      <c r="BU134" s="8" t="str">
        <f t="shared" si="224"/>
        <v/>
      </c>
      <c r="BV134" s="8" t="str">
        <f t="shared" si="224"/>
        <v/>
      </c>
      <c r="BW134" s="8" t="str">
        <f t="shared" si="224"/>
        <v/>
      </c>
      <c r="BX134" s="8" t="str">
        <f t="shared" si="224"/>
        <v/>
      </c>
      <c r="BY134" s="8" t="str">
        <f t="shared" si="224"/>
        <v/>
      </c>
      <c r="BZ134" s="8" t="str">
        <f t="shared" si="224"/>
        <v/>
      </c>
      <c r="CA134" s="8" t="str">
        <f t="shared" si="224"/>
        <v/>
      </c>
      <c r="CB134" s="197" t="str">
        <f t="shared" si="175"/>
        <v/>
      </c>
      <c r="CC134" s="197" t="str">
        <f t="shared" si="175"/>
        <v/>
      </c>
      <c r="CD134" s="8"/>
      <c r="CE134" s="8"/>
      <c r="CG134" s="8"/>
      <c r="CH134" s="223" t="str">
        <f t="shared" si="200"/>
        <v/>
      </c>
      <c r="CI134" s="223" t="str">
        <f t="shared" si="201"/>
        <v/>
      </c>
      <c r="CJ134" s="51" t="str">
        <f t="shared" si="202"/>
        <v/>
      </c>
      <c r="CK134" s="51" t="str">
        <f t="shared" si="203"/>
        <v/>
      </c>
      <c r="CL134" s="51" t="str">
        <f t="shared" si="204"/>
        <v/>
      </c>
      <c r="CM134" s="51" t="str">
        <f t="shared" si="205"/>
        <v/>
      </c>
      <c r="CN134" s="51" t="str">
        <f t="shared" si="206"/>
        <v/>
      </c>
      <c r="CO134" s="51" t="str">
        <f t="shared" si="207"/>
        <v/>
      </c>
      <c r="CP134" s="51" t="str">
        <f t="shared" si="208"/>
        <v/>
      </c>
      <c r="CQ134" s="51" t="str">
        <f t="shared" si="209"/>
        <v/>
      </c>
      <c r="CR134" s="51" t="str">
        <f t="shared" si="210"/>
        <v/>
      </c>
      <c r="CS134" s="51" t="str">
        <f t="shared" si="211"/>
        <v/>
      </c>
      <c r="CT134" s="51" t="str">
        <f t="shared" si="212"/>
        <v/>
      </c>
      <c r="CU134" s="51" t="str">
        <f t="shared" si="213"/>
        <v/>
      </c>
      <c r="CV134" s="51" t="str">
        <f t="shared" si="214"/>
        <v/>
      </c>
      <c r="CW134" s="51" t="str">
        <f t="shared" si="215"/>
        <v/>
      </c>
      <c r="CX134" s="8"/>
      <c r="CY134" s="8"/>
      <c r="CZ134" s="8"/>
      <c r="DA134" s="8"/>
      <c r="DB134" s="8"/>
      <c r="DC134" s="8"/>
    </row>
    <row r="135" spans="1:107" ht="15" hidden="1"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7">
        <v>1640000</v>
      </c>
      <c r="AT135" s="7"/>
      <c r="AU135" s="7"/>
      <c r="AV135" s="7"/>
      <c r="AW135" s="7"/>
      <c r="AX135" s="7"/>
      <c r="AY135" s="8"/>
      <c r="AZ135" s="8"/>
      <c r="BA135" s="8"/>
      <c r="BB135" s="8"/>
      <c r="BC135" s="8"/>
      <c r="BD135" s="8"/>
      <c r="BE135" s="8"/>
      <c r="BF135" s="8"/>
      <c r="BL135" s="56"/>
      <c r="BM135" s="8"/>
      <c r="BN135" s="8"/>
      <c r="BO135" s="8"/>
      <c r="BP135" s="8"/>
      <c r="BT135" s="8" t="str">
        <f t="shared" ref="BT135:CA135" si="225">""</f>
        <v/>
      </c>
      <c r="BU135" s="8" t="str">
        <f t="shared" si="225"/>
        <v/>
      </c>
      <c r="BV135" s="8" t="str">
        <f t="shared" si="225"/>
        <v/>
      </c>
      <c r="BW135" s="8" t="str">
        <f t="shared" si="225"/>
        <v/>
      </c>
      <c r="BX135" s="8" t="str">
        <f t="shared" si="225"/>
        <v/>
      </c>
      <c r="BY135" s="8" t="str">
        <f t="shared" si="225"/>
        <v/>
      </c>
      <c r="BZ135" s="8" t="str">
        <f t="shared" si="225"/>
        <v/>
      </c>
      <c r="CA135" s="8" t="str">
        <f t="shared" si="225"/>
        <v/>
      </c>
      <c r="CB135" s="197" t="str">
        <f t="shared" si="175"/>
        <v/>
      </c>
      <c r="CC135" s="197" t="str">
        <f t="shared" si="175"/>
        <v/>
      </c>
      <c r="CD135" s="8"/>
      <c r="CE135" s="8"/>
      <c r="CG135" s="8"/>
      <c r="CH135" s="223" t="str">
        <f t="shared" si="200"/>
        <v/>
      </c>
      <c r="CI135" s="223" t="str">
        <f t="shared" si="201"/>
        <v/>
      </c>
      <c r="CJ135" s="51" t="str">
        <f t="shared" si="202"/>
        <v/>
      </c>
      <c r="CK135" s="51" t="str">
        <f t="shared" si="203"/>
        <v/>
      </c>
      <c r="CL135" s="51" t="str">
        <f t="shared" si="204"/>
        <v/>
      </c>
      <c r="CM135" s="51" t="str">
        <f t="shared" si="205"/>
        <v/>
      </c>
      <c r="CN135" s="51" t="str">
        <f t="shared" si="206"/>
        <v/>
      </c>
      <c r="CO135" s="51" t="str">
        <f t="shared" si="207"/>
        <v/>
      </c>
      <c r="CP135" s="51" t="str">
        <f t="shared" si="208"/>
        <v/>
      </c>
      <c r="CQ135" s="51" t="str">
        <f t="shared" si="209"/>
        <v/>
      </c>
      <c r="CR135" s="51" t="str">
        <f t="shared" si="210"/>
        <v/>
      </c>
      <c r="CS135" s="51" t="str">
        <f t="shared" si="211"/>
        <v/>
      </c>
      <c r="CT135" s="51" t="str">
        <f t="shared" si="212"/>
        <v/>
      </c>
      <c r="CU135" s="51" t="str">
        <f t="shared" si="213"/>
        <v/>
      </c>
      <c r="CV135" s="51" t="str">
        <f t="shared" si="214"/>
        <v/>
      </c>
      <c r="CW135" s="51" t="str">
        <f t="shared" si="215"/>
        <v/>
      </c>
      <c r="CX135" s="8"/>
      <c r="CY135" s="8"/>
      <c r="CZ135" s="8"/>
      <c r="DA135" s="8"/>
      <c r="DB135" s="8"/>
      <c r="DC135" s="8"/>
    </row>
    <row r="136" spans="1:107" ht="15" hidden="1"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7">
        <v>1650000</v>
      </c>
      <c r="AT136" s="7"/>
      <c r="AU136" s="7"/>
      <c r="AV136" s="7"/>
      <c r="AW136" s="7"/>
      <c r="AX136" s="7"/>
      <c r="AY136" s="8"/>
      <c r="AZ136" s="8"/>
      <c r="BA136" s="8"/>
      <c r="BB136" s="8"/>
      <c r="BC136" s="8"/>
      <c r="BD136" s="8"/>
      <c r="BE136" s="8"/>
      <c r="BF136" s="8"/>
      <c r="BL136" s="56"/>
      <c r="BM136" s="8"/>
      <c r="BN136" s="8"/>
      <c r="BO136" s="8"/>
      <c r="BP136" s="8"/>
      <c r="BT136" s="8" t="str">
        <f t="shared" ref="BT136:CA136" si="226">""</f>
        <v/>
      </c>
      <c r="BU136" s="8" t="str">
        <f t="shared" si="226"/>
        <v/>
      </c>
      <c r="BV136" s="8" t="str">
        <f t="shared" si="226"/>
        <v/>
      </c>
      <c r="BW136" s="8" t="str">
        <f t="shared" si="226"/>
        <v/>
      </c>
      <c r="BX136" s="8" t="str">
        <f t="shared" si="226"/>
        <v/>
      </c>
      <c r="BY136" s="8" t="str">
        <f t="shared" si="226"/>
        <v/>
      </c>
      <c r="BZ136" s="8" t="str">
        <f t="shared" si="226"/>
        <v/>
      </c>
      <c r="CA136" s="8" t="str">
        <f t="shared" si="226"/>
        <v/>
      </c>
      <c r="CB136" s="197" t="str">
        <f t="shared" si="175"/>
        <v/>
      </c>
      <c r="CC136" s="197" t="str">
        <f t="shared" si="175"/>
        <v/>
      </c>
      <c r="CD136" s="8"/>
      <c r="CE136" s="8"/>
      <c r="CG136" s="8"/>
      <c r="CH136" s="223" t="str">
        <f t="shared" si="200"/>
        <v/>
      </c>
      <c r="CI136" s="223" t="str">
        <f t="shared" si="201"/>
        <v/>
      </c>
      <c r="CJ136" s="51" t="str">
        <f t="shared" si="202"/>
        <v/>
      </c>
      <c r="CK136" s="51" t="str">
        <f t="shared" si="203"/>
        <v/>
      </c>
      <c r="CL136" s="51" t="str">
        <f t="shared" si="204"/>
        <v/>
      </c>
      <c r="CM136" s="51" t="str">
        <f t="shared" si="205"/>
        <v/>
      </c>
      <c r="CN136" s="51" t="str">
        <f t="shared" si="206"/>
        <v/>
      </c>
      <c r="CO136" s="51" t="str">
        <f t="shared" si="207"/>
        <v/>
      </c>
      <c r="CP136" s="51" t="str">
        <f t="shared" si="208"/>
        <v/>
      </c>
      <c r="CQ136" s="51" t="str">
        <f t="shared" si="209"/>
        <v/>
      </c>
      <c r="CR136" s="51" t="str">
        <f t="shared" si="210"/>
        <v/>
      </c>
      <c r="CS136" s="51" t="str">
        <f t="shared" si="211"/>
        <v/>
      </c>
      <c r="CT136" s="51" t="str">
        <f t="shared" si="212"/>
        <v/>
      </c>
      <c r="CU136" s="51" t="str">
        <f t="shared" si="213"/>
        <v/>
      </c>
      <c r="CV136" s="51" t="str">
        <f t="shared" si="214"/>
        <v/>
      </c>
      <c r="CW136" s="51" t="str">
        <f t="shared" si="215"/>
        <v/>
      </c>
      <c r="CX136" s="8"/>
      <c r="CY136" s="8"/>
      <c r="CZ136" s="8"/>
      <c r="DA136" s="8"/>
      <c r="DB136" s="8"/>
      <c r="DC136" s="8"/>
    </row>
    <row r="137" spans="1:107" ht="15" hidden="1"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7">
        <v>1660000</v>
      </c>
      <c r="AT137" s="7"/>
      <c r="AU137" s="7"/>
      <c r="AV137" s="7"/>
      <c r="AW137" s="7"/>
      <c r="AX137" s="7"/>
      <c r="AY137" s="8"/>
      <c r="AZ137" s="8"/>
      <c r="BA137" s="8"/>
      <c r="BB137" s="8"/>
      <c r="BC137" s="8"/>
      <c r="BD137" s="8"/>
      <c r="BE137" s="8"/>
      <c r="BF137" s="8"/>
      <c r="BL137" s="56"/>
      <c r="BM137" s="8"/>
      <c r="BN137" s="8"/>
      <c r="BO137" s="8"/>
      <c r="BP137" s="8"/>
      <c r="BT137" s="8" t="str">
        <f t="shared" ref="BT137:CA142" si="227">""</f>
        <v/>
      </c>
      <c r="BU137" s="8" t="str">
        <f t="shared" si="227"/>
        <v/>
      </c>
      <c r="BV137" s="8" t="str">
        <f t="shared" si="227"/>
        <v/>
      </c>
      <c r="BW137" s="8" t="str">
        <f t="shared" si="227"/>
        <v/>
      </c>
      <c r="BX137" s="8" t="str">
        <f t="shared" si="227"/>
        <v/>
      </c>
      <c r="BY137" s="8" t="str">
        <f t="shared" si="227"/>
        <v/>
      </c>
      <c r="BZ137" s="8" t="str">
        <f t="shared" si="227"/>
        <v/>
      </c>
      <c r="CA137" s="8" t="str">
        <f t="shared" si="227"/>
        <v/>
      </c>
      <c r="CB137" s="197" t="str">
        <f t="shared" si="175"/>
        <v/>
      </c>
      <c r="CC137" s="197" t="str">
        <f t="shared" si="175"/>
        <v/>
      </c>
      <c r="CD137" s="7"/>
      <c r="CE137" s="7"/>
      <c r="CG137" s="8"/>
      <c r="CH137" s="223" t="str">
        <f t="shared" si="200"/>
        <v/>
      </c>
      <c r="CI137" s="223" t="str">
        <f t="shared" si="201"/>
        <v/>
      </c>
      <c r="CJ137" s="51" t="str">
        <f t="shared" si="202"/>
        <v/>
      </c>
      <c r="CK137" s="51" t="str">
        <f t="shared" si="203"/>
        <v/>
      </c>
      <c r="CL137" s="51" t="str">
        <f t="shared" si="204"/>
        <v/>
      </c>
      <c r="CM137" s="51" t="str">
        <f t="shared" si="205"/>
        <v/>
      </c>
      <c r="CN137" s="51" t="str">
        <f t="shared" si="206"/>
        <v/>
      </c>
      <c r="CO137" s="51" t="str">
        <f t="shared" si="207"/>
        <v/>
      </c>
      <c r="CP137" s="51" t="str">
        <f t="shared" si="208"/>
        <v/>
      </c>
      <c r="CQ137" s="51" t="str">
        <f t="shared" si="209"/>
        <v/>
      </c>
      <c r="CR137" s="51" t="str">
        <f t="shared" si="210"/>
        <v/>
      </c>
      <c r="CS137" s="51" t="str">
        <f t="shared" si="211"/>
        <v/>
      </c>
      <c r="CT137" s="51" t="str">
        <f t="shared" si="212"/>
        <v/>
      </c>
      <c r="CU137" s="51" t="str">
        <f t="shared" si="213"/>
        <v/>
      </c>
      <c r="CV137" s="51" t="str">
        <f t="shared" si="214"/>
        <v/>
      </c>
      <c r="CW137" s="51" t="str">
        <f t="shared" si="215"/>
        <v/>
      </c>
      <c r="CX137" s="8"/>
      <c r="CY137" s="8"/>
      <c r="CZ137" s="8"/>
      <c r="DA137" s="8"/>
      <c r="DB137" s="8"/>
      <c r="DC137" s="8"/>
    </row>
    <row r="138" spans="1:107" ht="15" hidden="1"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7">
        <v>1670000</v>
      </c>
      <c r="AT138" s="7"/>
      <c r="AU138" s="7"/>
      <c r="AV138" s="7"/>
      <c r="AW138" s="7"/>
      <c r="AX138" s="7"/>
      <c r="AY138" s="8"/>
      <c r="AZ138" s="8"/>
      <c r="BA138" s="8"/>
      <c r="BB138" s="8"/>
      <c r="BC138" s="8"/>
      <c r="BD138" s="8"/>
      <c r="BE138" s="8"/>
      <c r="BF138" s="8"/>
      <c r="BL138" s="56"/>
      <c r="BM138" s="8"/>
      <c r="BN138" s="8"/>
      <c r="BO138" s="8"/>
      <c r="BP138" s="8"/>
      <c r="BT138" s="8" t="str">
        <f t="shared" si="227"/>
        <v/>
      </c>
      <c r="BU138" s="8" t="str">
        <f t="shared" si="227"/>
        <v/>
      </c>
      <c r="BV138" s="8" t="str">
        <f t="shared" si="227"/>
        <v/>
      </c>
      <c r="BW138" s="8" t="str">
        <f t="shared" si="227"/>
        <v/>
      </c>
      <c r="BX138" s="8" t="str">
        <f t="shared" si="227"/>
        <v/>
      </c>
      <c r="BY138" s="8" t="str">
        <f t="shared" si="227"/>
        <v/>
      </c>
      <c r="BZ138" s="8" t="str">
        <f t="shared" si="227"/>
        <v/>
      </c>
      <c r="CA138" s="8" t="str">
        <f t="shared" si="227"/>
        <v/>
      </c>
      <c r="CB138" s="197" t="str">
        <f t="shared" si="175"/>
        <v/>
      </c>
      <c r="CC138" s="197" t="str">
        <f t="shared" si="175"/>
        <v/>
      </c>
      <c r="CD138" s="7"/>
      <c r="CE138" s="7"/>
      <c r="CG138" s="8"/>
      <c r="CH138" s="223" t="str">
        <f t="shared" si="200"/>
        <v/>
      </c>
      <c r="CI138" s="223" t="str">
        <f t="shared" si="201"/>
        <v/>
      </c>
      <c r="CJ138" s="51" t="str">
        <f t="shared" si="202"/>
        <v/>
      </c>
      <c r="CK138" s="51" t="str">
        <f t="shared" si="203"/>
        <v/>
      </c>
      <c r="CL138" s="51" t="str">
        <f t="shared" si="204"/>
        <v/>
      </c>
      <c r="CM138" s="51" t="str">
        <f t="shared" si="205"/>
        <v/>
      </c>
      <c r="CN138" s="51" t="str">
        <f t="shared" si="206"/>
        <v/>
      </c>
      <c r="CO138" s="51" t="str">
        <f t="shared" si="207"/>
        <v/>
      </c>
      <c r="CP138" s="51" t="str">
        <f t="shared" si="208"/>
        <v/>
      </c>
      <c r="CQ138" s="51" t="str">
        <f t="shared" si="209"/>
        <v/>
      </c>
      <c r="CR138" s="51" t="str">
        <f t="shared" si="210"/>
        <v/>
      </c>
      <c r="CS138" s="51" t="str">
        <f t="shared" si="211"/>
        <v/>
      </c>
      <c r="CT138" s="51" t="str">
        <f t="shared" si="212"/>
        <v/>
      </c>
      <c r="CU138" s="51" t="str">
        <f>IFERROR((IF($CU$57="M",BX138,IF($CU$57="PM",BZ138,IF($CU$57="P",BV138,IF($CU$57="FULL",BT138,""))))),"")</f>
        <v/>
      </c>
      <c r="CV138" s="51" t="str">
        <f t="shared" si="214"/>
        <v/>
      </c>
      <c r="CW138" s="51" t="str">
        <f t="shared" si="215"/>
        <v/>
      </c>
      <c r="CX138" s="8"/>
      <c r="CY138" s="8"/>
      <c r="CZ138" s="8"/>
      <c r="DA138" s="8"/>
      <c r="DB138" s="8"/>
      <c r="DC138" s="8"/>
    </row>
    <row r="139" spans="1:107" ht="15" hidden="1"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7">
        <v>1680000</v>
      </c>
      <c r="AT139" s="7"/>
      <c r="AU139" s="7"/>
      <c r="AV139" s="7"/>
      <c r="AW139" s="7"/>
      <c r="AX139" s="7"/>
      <c r="AY139" s="8"/>
      <c r="AZ139" s="8"/>
      <c r="BA139" s="8"/>
      <c r="BB139" s="8"/>
      <c r="BC139" s="8"/>
      <c r="BD139" s="8"/>
      <c r="BE139" s="8"/>
      <c r="BF139" s="8"/>
      <c r="BL139" s="57"/>
      <c r="BM139" s="8"/>
      <c r="BN139" s="8"/>
      <c r="BO139" s="8"/>
      <c r="BP139" s="8"/>
      <c r="BT139" s="8" t="str">
        <f t="shared" si="227"/>
        <v/>
      </c>
      <c r="BU139" s="8" t="str">
        <f t="shared" si="227"/>
        <v/>
      </c>
      <c r="BV139" s="8" t="str">
        <f t="shared" si="227"/>
        <v/>
      </c>
      <c r="BW139" s="8" t="str">
        <f t="shared" si="227"/>
        <v/>
      </c>
      <c r="BX139" s="8" t="str">
        <f t="shared" si="227"/>
        <v/>
      </c>
      <c r="BY139" s="8" t="str">
        <f t="shared" si="227"/>
        <v/>
      </c>
      <c r="BZ139" s="8" t="str">
        <f t="shared" si="227"/>
        <v/>
      </c>
      <c r="CA139" s="8" t="str">
        <f t="shared" si="227"/>
        <v/>
      </c>
      <c r="CB139" s="197" t="str">
        <f t="shared" si="175"/>
        <v/>
      </c>
      <c r="CC139" s="197" t="str">
        <f t="shared" si="175"/>
        <v/>
      </c>
      <c r="CD139" s="7"/>
      <c r="CE139" s="7"/>
      <c r="CG139" s="8"/>
      <c r="CH139" s="223" t="str">
        <f t="shared" si="200"/>
        <v/>
      </c>
      <c r="CI139" s="223" t="str">
        <f t="shared" si="201"/>
        <v/>
      </c>
      <c r="CJ139" s="51" t="str">
        <f t="shared" si="202"/>
        <v/>
      </c>
      <c r="CK139" s="51" t="str">
        <f t="shared" si="203"/>
        <v/>
      </c>
      <c r="CL139" s="51" t="str">
        <f t="shared" si="204"/>
        <v/>
      </c>
      <c r="CM139" s="51" t="str">
        <f t="shared" si="205"/>
        <v/>
      </c>
      <c r="CN139" s="51" t="str">
        <f t="shared" si="206"/>
        <v/>
      </c>
      <c r="CO139" s="51" t="str">
        <f t="shared" si="207"/>
        <v/>
      </c>
      <c r="CP139" s="51" t="str">
        <f t="shared" si="208"/>
        <v/>
      </c>
      <c r="CQ139" s="51" t="str">
        <f t="shared" si="209"/>
        <v/>
      </c>
      <c r="CR139" s="51" t="str">
        <f t="shared" si="210"/>
        <v/>
      </c>
      <c r="CS139" s="51" t="str">
        <f t="shared" si="211"/>
        <v/>
      </c>
      <c r="CT139" s="51" t="str">
        <f t="shared" si="212"/>
        <v/>
      </c>
      <c r="CU139" s="51" t="str">
        <f t="shared" si="213"/>
        <v/>
      </c>
      <c r="CV139" s="51" t="str">
        <f t="shared" si="214"/>
        <v/>
      </c>
      <c r="CW139" s="51" t="str">
        <f t="shared" si="215"/>
        <v/>
      </c>
      <c r="CX139" s="8"/>
      <c r="CY139" s="8"/>
      <c r="CZ139" s="8"/>
      <c r="DA139" s="8"/>
      <c r="DB139" s="8"/>
      <c r="DC139" s="8"/>
    </row>
    <row r="140" spans="1:107" ht="15" hidden="1"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7">
        <v>1690000</v>
      </c>
      <c r="AT140" s="7"/>
      <c r="AU140" s="7"/>
      <c r="AV140" s="7"/>
      <c r="AW140" s="7"/>
      <c r="AX140" s="7"/>
      <c r="AY140" s="8"/>
      <c r="AZ140" s="8"/>
      <c r="BA140" s="8"/>
      <c r="BB140" s="8"/>
      <c r="BC140" s="8"/>
      <c r="BD140" s="8"/>
      <c r="BE140" s="8"/>
      <c r="BF140" s="8"/>
      <c r="BL140" s="57"/>
      <c r="BM140" s="8"/>
      <c r="BN140" s="8"/>
      <c r="BO140" s="8"/>
      <c r="BP140" s="8"/>
      <c r="BT140" s="8" t="s">
        <v>1194</v>
      </c>
      <c r="BU140" s="8" t="s">
        <v>1194</v>
      </c>
      <c r="BV140" s="8" t="s">
        <v>1194</v>
      </c>
      <c r="BW140" s="8" t="s">
        <v>1194</v>
      </c>
      <c r="BX140" s="8" t="s">
        <v>1194</v>
      </c>
      <c r="BY140" s="8" t="s">
        <v>1194</v>
      </c>
      <c r="BZ140" s="8" t="s">
        <v>1194</v>
      </c>
      <c r="CA140" s="8" t="s">
        <v>1194</v>
      </c>
      <c r="CB140" s="197" t="str">
        <f t="shared" si="175"/>
        <v/>
      </c>
      <c r="CC140" s="197" t="str">
        <f t="shared" si="175"/>
        <v/>
      </c>
      <c r="CD140" s="7"/>
      <c r="CE140" s="7"/>
      <c r="CG140" s="8"/>
      <c r="CH140" s="223" t="s">
        <v>1194</v>
      </c>
      <c r="CI140" s="13" t="s">
        <v>1194</v>
      </c>
      <c r="CJ140" s="223" t="s">
        <v>1194</v>
      </c>
      <c r="CK140" s="13" t="s">
        <v>1194</v>
      </c>
      <c r="CL140" s="223" t="s">
        <v>1194</v>
      </c>
      <c r="CM140" s="13" t="s">
        <v>1194</v>
      </c>
      <c r="CN140" s="223" t="s">
        <v>1194</v>
      </c>
      <c r="CO140" s="13" t="s">
        <v>1194</v>
      </c>
      <c r="CP140" s="223" t="s">
        <v>1194</v>
      </c>
      <c r="CQ140" s="13" t="s">
        <v>1194</v>
      </c>
      <c r="CR140" s="223" t="s">
        <v>1194</v>
      </c>
      <c r="CS140" s="13" t="s">
        <v>1194</v>
      </c>
      <c r="CT140" s="223" t="s">
        <v>1194</v>
      </c>
      <c r="CU140" s="13" t="s">
        <v>1194</v>
      </c>
      <c r="CV140" s="223" t="s">
        <v>1194</v>
      </c>
      <c r="CW140" s="13" t="s">
        <v>1194</v>
      </c>
      <c r="CX140" s="223"/>
      <c r="CY140" s="8"/>
      <c r="CZ140" s="8"/>
      <c r="DA140" s="8"/>
      <c r="DB140" s="8"/>
      <c r="DC140" s="8"/>
    </row>
    <row r="141" spans="1:107" ht="15" hidden="1"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7">
        <v>1700000</v>
      </c>
      <c r="AT141" s="7"/>
      <c r="AU141" s="7"/>
      <c r="AV141" s="7"/>
      <c r="AW141" s="7"/>
      <c r="AX141" s="7"/>
      <c r="AY141" s="8"/>
      <c r="AZ141" s="8"/>
      <c r="BA141" s="8"/>
      <c r="BB141" s="8"/>
      <c r="BC141" s="8"/>
      <c r="BD141" s="8"/>
      <c r="BE141" s="8"/>
      <c r="BF141" s="8"/>
      <c r="BL141" s="57"/>
      <c r="BM141" s="8"/>
      <c r="BN141" s="8"/>
      <c r="BO141" s="8"/>
      <c r="BP141" s="8"/>
      <c r="BT141" s="8" t="str">
        <f t="shared" si="227"/>
        <v/>
      </c>
      <c r="BU141" s="8" t="str">
        <f t="shared" si="227"/>
        <v/>
      </c>
      <c r="BV141" s="8" t="str">
        <f t="shared" si="227"/>
        <v/>
      </c>
      <c r="BW141" s="8" t="str">
        <f t="shared" si="227"/>
        <v/>
      </c>
      <c r="BX141" s="8" t="str">
        <f t="shared" si="227"/>
        <v/>
      </c>
      <c r="BY141" s="8" t="str">
        <f t="shared" si="227"/>
        <v/>
      </c>
      <c r="BZ141" s="8" t="str">
        <f t="shared" si="227"/>
        <v/>
      </c>
      <c r="CA141" s="8" t="str">
        <f t="shared" si="227"/>
        <v/>
      </c>
      <c r="CB141" s="197" t="str">
        <f t="shared" si="175"/>
        <v/>
      </c>
      <c r="CC141" s="197" t="str">
        <f t="shared" si="175"/>
        <v/>
      </c>
      <c r="CD141" s="7"/>
      <c r="CE141" s="7"/>
      <c r="CG141" s="8"/>
      <c r="CH141" s="8"/>
      <c r="CI141" s="7"/>
      <c r="CJ141" s="8"/>
      <c r="CK141" s="8"/>
      <c r="CL141" s="51"/>
      <c r="CN141" s="51"/>
      <c r="CP141" s="51"/>
      <c r="CQ141" s="8"/>
      <c r="CR141" s="8"/>
      <c r="CS141" s="8"/>
      <c r="CT141" s="8"/>
      <c r="CU141" s="8"/>
      <c r="CV141" s="8"/>
      <c r="CW141" s="8"/>
      <c r="CX141" s="8"/>
      <c r="CY141" s="8"/>
      <c r="CZ141" s="8"/>
      <c r="DA141" s="8"/>
      <c r="DB141" s="8"/>
      <c r="DC141" s="8"/>
    </row>
    <row r="142" spans="1:107" ht="15" hidden="1"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7">
        <v>1710000</v>
      </c>
      <c r="AT142" s="7"/>
      <c r="AU142" s="7"/>
      <c r="AV142" s="7"/>
      <c r="AW142" s="7"/>
      <c r="AX142" s="7"/>
      <c r="AY142" s="8"/>
      <c r="AZ142" s="8"/>
      <c r="BA142" s="8"/>
      <c r="BB142" s="8"/>
      <c r="BC142" s="8"/>
      <c r="BD142" s="8"/>
      <c r="BE142" s="8"/>
      <c r="BF142" s="8"/>
      <c r="BL142" s="57"/>
      <c r="BM142" s="8"/>
      <c r="BN142" s="8"/>
      <c r="BO142" s="8"/>
      <c r="BP142" s="8"/>
      <c r="BT142" s="8" t="str">
        <f t="shared" si="227"/>
        <v/>
      </c>
      <c r="BU142" s="8" t="str">
        <f t="shared" si="227"/>
        <v/>
      </c>
      <c r="BV142" s="8" t="str">
        <f t="shared" si="227"/>
        <v/>
      </c>
      <c r="BW142" s="8" t="str">
        <f t="shared" si="227"/>
        <v/>
      </c>
      <c r="BX142" s="8" t="str">
        <f t="shared" si="227"/>
        <v/>
      </c>
      <c r="BY142" s="8" t="str">
        <f t="shared" si="227"/>
        <v/>
      </c>
      <c r="BZ142" s="8" t="str">
        <f t="shared" si="227"/>
        <v/>
      </c>
      <c r="CA142" s="8" t="str">
        <f t="shared" si="227"/>
        <v/>
      </c>
      <c r="CB142" s="197" t="str">
        <f t="shared" si="175"/>
        <v/>
      </c>
      <c r="CC142" s="197" t="str">
        <f t="shared" si="175"/>
        <v/>
      </c>
      <c r="CD142" s="7"/>
      <c r="CE142" s="7"/>
      <c r="CG142" s="8"/>
      <c r="CH142" s="8"/>
      <c r="CI142" s="7"/>
      <c r="CJ142" s="8"/>
      <c r="CK142" s="8"/>
      <c r="CL142" s="51"/>
      <c r="CN142" s="51"/>
      <c r="CP142" s="51"/>
      <c r="CQ142" s="8"/>
      <c r="CR142" s="8"/>
      <c r="CS142" s="8"/>
      <c r="CT142" s="8"/>
      <c r="CU142" s="8"/>
      <c r="CV142" s="8"/>
      <c r="CW142" s="8"/>
      <c r="CX142" s="8"/>
      <c r="CY142" s="8"/>
      <c r="CZ142" s="8"/>
      <c r="DA142" s="8"/>
      <c r="DB142" s="8"/>
      <c r="DC142" s="8"/>
    </row>
    <row r="143" spans="1:107" ht="15" hidden="1"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7">
        <v>1720000</v>
      </c>
      <c r="AT143" s="7"/>
      <c r="AU143" s="7"/>
      <c r="AV143" s="7"/>
      <c r="AW143" s="7"/>
      <c r="AX143" s="7"/>
      <c r="AY143" s="8"/>
      <c r="AZ143" s="8"/>
      <c r="BA143" s="8"/>
      <c r="BB143" s="8"/>
      <c r="BC143" s="8"/>
      <c r="BD143" s="8"/>
      <c r="BE143" s="8"/>
      <c r="BF143" s="8"/>
      <c r="BL143" s="57"/>
      <c r="BM143" s="8"/>
      <c r="BN143" s="8"/>
      <c r="BO143" s="8"/>
      <c r="BP143" s="8"/>
      <c r="BT143" s="50"/>
      <c r="BU143" s="8"/>
      <c r="BV143" s="9"/>
      <c r="BW143" s="9"/>
      <c r="BX143" s="8"/>
      <c r="BY143" s="8"/>
      <c r="BZ143" s="8"/>
      <c r="CA143" s="8"/>
      <c r="CB143" s="197" t="str">
        <f t="shared" ref="CB143:CC146" si="228">""</f>
        <v/>
      </c>
      <c r="CC143" s="197" t="str">
        <f t="shared" si="228"/>
        <v/>
      </c>
      <c r="CD143" s="8"/>
      <c r="CE143" s="8"/>
      <c r="CG143" s="8"/>
      <c r="CH143" s="8"/>
      <c r="CI143" s="7"/>
      <c r="CJ143" s="8"/>
      <c r="CK143" s="8"/>
      <c r="CL143" s="51"/>
      <c r="CN143" s="51"/>
      <c r="CP143" s="51"/>
      <c r="CQ143" s="8"/>
      <c r="CR143" s="8"/>
      <c r="CS143" s="8"/>
      <c r="CT143" s="8"/>
      <c r="CU143" s="8"/>
      <c r="CV143" s="8"/>
      <c r="CW143" s="8"/>
      <c r="CX143" s="8"/>
      <c r="CY143" s="8"/>
      <c r="CZ143" s="8"/>
      <c r="DA143" s="8"/>
      <c r="DB143" s="8"/>
      <c r="DC143" s="8"/>
    </row>
    <row r="144" spans="1:107" ht="15" hidden="1"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7">
        <v>1730000</v>
      </c>
      <c r="AT144" s="7"/>
      <c r="AU144" s="7"/>
      <c r="AV144" s="7"/>
      <c r="AW144" s="7"/>
      <c r="AX144" s="7"/>
      <c r="AY144" s="8"/>
      <c r="AZ144" s="8"/>
      <c r="BA144" s="8"/>
      <c r="BB144" s="8"/>
      <c r="BC144" s="8"/>
      <c r="BD144" s="8"/>
      <c r="BE144" s="8"/>
      <c r="BF144" s="8"/>
      <c r="BL144" s="57"/>
      <c r="BM144" s="8"/>
      <c r="BN144" s="8"/>
      <c r="BO144" s="8"/>
      <c r="BP144" s="8"/>
      <c r="BT144" s="50"/>
      <c r="BU144" s="8"/>
      <c r="BV144" s="9"/>
      <c r="BW144" s="9"/>
      <c r="BX144" s="8"/>
      <c r="BY144" s="8"/>
      <c r="BZ144" s="8"/>
      <c r="CA144" s="8"/>
      <c r="CB144" s="197" t="str">
        <f t="shared" si="228"/>
        <v/>
      </c>
      <c r="CC144" s="197" t="str">
        <f t="shared" si="228"/>
        <v/>
      </c>
      <c r="CD144" s="8"/>
      <c r="CE144" s="8"/>
      <c r="CG144" s="8"/>
      <c r="CH144" s="8"/>
      <c r="CI144" s="7"/>
      <c r="CJ144" s="8"/>
      <c r="CK144" s="8"/>
      <c r="CL144" s="51"/>
      <c r="CM144" s="8"/>
      <c r="CN144" s="8"/>
      <c r="CO144" s="8"/>
      <c r="CP144" s="8"/>
      <c r="CQ144" s="8"/>
      <c r="CR144" s="8"/>
      <c r="CS144" s="8"/>
      <c r="CT144" s="8"/>
      <c r="CU144" s="8"/>
      <c r="CV144" s="8"/>
      <c r="CW144" s="8"/>
      <c r="CX144" s="8"/>
      <c r="CY144" s="8"/>
      <c r="CZ144" s="8"/>
      <c r="DA144" s="8"/>
      <c r="DB144" s="8"/>
      <c r="DC144" s="8"/>
    </row>
    <row r="145" spans="1:107" ht="15" hidden="1"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7">
        <v>1740000</v>
      </c>
      <c r="AT145" s="7"/>
      <c r="AU145" s="7"/>
      <c r="AV145" s="7"/>
      <c r="AW145" s="7"/>
      <c r="AX145" s="7"/>
      <c r="AY145" s="8"/>
      <c r="AZ145" s="8"/>
      <c r="BA145" s="8"/>
      <c r="BB145" s="8"/>
      <c r="BC145" s="8"/>
      <c r="BD145" s="8"/>
      <c r="BE145" s="8"/>
      <c r="BF145" s="8"/>
      <c r="BL145" s="57"/>
      <c r="BM145" s="8"/>
      <c r="BN145" s="8"/>
      <c r="BO145" s="8"/>
      <c r="BP145" s="8"/>
      <c r="BT145" s="50"/>
      <c r="BU145" s="8"/>
      <c r="BV145" s="9"/>
      <c r="BW145" s="9"/>
      <c r="BX145" s="8"/>
      <c r="BY145" s="8"/>
      <c r="BZ145" s="8"/>
      <c r="CA145" s="8"/>
      <c r="CB145" s="197" t="str">
        <f t="shared" si="228"/>
        <v/>
      </c>
      <c r="CC145" s="197" t="str">
        <f t="shared" si="228"/>
        <v/>
      </c>
      <c r="CD145" s="8"/>
      <c r="CE145" s="8"/>
      <c r="CG145" s="8"/>
      <c r="CH145" s="8"/>
      <c r="CI145" s="7"/>
      <c r="CJ145" s="8"/>
      <c r="CK145" s="8"/>
      <c r="CL145" s="51"/>
      <c r="CM145" s="8"/>
      <c r="CN145" s="8"/>
      <c r="CO145" s="8"/>
      <c r="CP145" s="8"/>
      <c r="CQ145" s="8"/>
      <c r="CR145" s="8"/>
      <c r="CS145" s="8"/>
      <c r="CT145" s="8"/>
      <c r="CU145" s="8"/>
      <c r="CV145" s="8"/>
      <c r="CW145" s="8"/>
      <c r="CX145" s="8"/>
      <c r="CY145" s="8"/>
      <c r="CZ145" s="8"/>
      <c r="DA145" s="8"/>
      <c r="DB145" s="8"/>
      <c r="DC145" s="8"/>
    </row>
    <row r="146" spans="1:107" ht="15" hidden="1"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7">
        <v>1750000</v>
      </c>
      <c r="AT146" s="7"/>
      <c r="AU146" s="7"/>
      <c r="AV146" s="7"/>
      <c r="AW146" s="7"/>
      <c r="AX146" s="7"/>
      <c r="AY146" s="8"/>
      <c r="AZ146" s="8"/>
      <c r="BA146" s="8"/>
      <c r="BB146" s="8"/>
      <c r="BC146" s="8"/>
      <c r="BD146" s="8"/>
      <c r="BE146" s="8"/>
      <c r="BF146" s="8"/>
      <c r="BL146" s="57"/>
      <c r="BM146" s="8"/>
      <c r="BN146" s="8"/>
      <c r="BO146" s="8"/>
      <c r="BP146" s="8"/>
      <c r="BT146" s="50"/>
      <c r="BU146" s="8"/>
      <c r="BV146" s="9"/>
      <c r="BW146" s="9"/>
      <c r="BX146" s="8"/>
      <c r="BY146" s="8"/>
      <c r="BZ146" s="8"/>
      <c r="CA146" s="8"/>
      <c r="CB146" s="197" t="str">
        <f t="shared" si="228"/>
        <v/>
      </c>
      <c r="CC146" s="197" t="str">
        <f t="shared" si="228"/>
        <v/>
      </c>
      <c r="CD146" s="8"/>
      <c r="CE146" s="8"/>
      <c r="CG146" s="8"/>
      <c r="CH146" s="8"/>
      <c r="CI146" s="7"/>
      <c r="CJ146" s="8"/>
      <c r="CK146" s="8"/>
      <c r="CL146" s="8"/>
      <c r="CM146" s="8"/>
      <c r="CN146" s="8"/>
      <c r="CO146" s="8"/>
      <c r="CP146" s="8"/>
      <c r="CQ146" s="8"/>
      <c r="CR146" s="8"/>
      <c r="CS146" s="8"/>
      <c r="CT146" s="8"/>
      <c r="CU146" s="8"/>
      <c r="CV146" s="8"/>
      <c r="CW146" s="8"/>
      <c r="CX146" s="8"/>
      <c r="CY146" s="8"/>
      <c r="CZ146" s="8"/>
      <c r="DA146" s="8"/>
      <c r="DB146" s="8"/>
      <c r="DC146" s="8"/>
    </row>
    <row r="147" spans="1:107" ht="15" hidden="1"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7">
        <v>1760000</v>
      </c>
      <c r="AT147" s="7"/>
      <c r="AU147" s="7"/>
      <c r="AV147" s="7"/>
      <c r="AW147" s="7"/>
      <c r="AX147" s="7"/>
      <c r="AY147" s="8"/>
      <c r="AZ147" s="8"/>
      <c r="BA147" s="8"/>
      <c r="BB147" s="8"/>
      <c r="BC147" s="8"/>
      <c r="BD147" s="8"/>
      <c r="BE147" s="8"/>
      <c r="BF147" s="8"/>
      <c r="BL147" s="57"/>
      <c r="BM147" s="8"/>
      <c r="BN147" s="8"/>
      <c r="BO147" s="8"/>
      <c r="BP147" s="8"/>
      <c r="BT147" s="50"/>
      <c r="BU147" s="8"/>
      <c r="BV147" s="9"/>
      <c r="BW147" s="9"/>
      <c r="BX147" s="8"/>
      <c r="BY147" s="8"/>
      <c r="BZ147" s="8"/>
      <c r="CA147" s="8"/>
      <c r="CB147" s="9" t="s">
        <v>1194</v>
      </c>
      <c r="CC147" t="s">
        <v>1194</v>
      </c>
      <c r="CD147" s="8"/>
      <c r="CE147" s="8"/>
      <c r="CG147" s="7"/>
      <c r="CH147" s="7"/>
      <c r="CI147" s="7"/>
      <c r="CJ147" s="8"/>
      <c r="CK147" s="8"/>
      <c r="CL147" s="8"/>
      <c r="CM147" s="8"/>
      <c r="CN147" s="8"/>
      <c r="CO147" s="8"/>
      <c r="CP147" s="8"/>
      <c r="CQ147" s="8"/>
      <c r="CR147" s="8"/>
      <c r="CS147" s="8"/>
      <c r="CT147" s="8"/>
      <c r="CU147" s="8"/>
      <c r="CV147" s="8"/>
      <c r="CW147" s="8"/>
      <c r="CX147" s="8"/>
      <c r="CY147" s="8"/>
      <c r="CZ147" s="8"/>
      <c r="DA147" s="8"/>
      <c r="DB147" s="8"/>
      <c r="DC147" s="8"/>
    </row>
    <row r="148" spans="1:107" ht="15" hidden="1"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7">
        <v>1770000</v>
      </c>
      <c r="AT148" s="7"/>
      <c r="AU148" s="7"/>
      <c r="AV148" s="7"/>
      <c r="AW148" s="7"/>
      <c r="AX148" s="7"/>
      <c r="AY148" s="8"/>
      <c r="AZ148" s="8"/>
      <c r="BA148" s="8"/>
      <c r="BB148" s="8"/>
      <c r="BC148" s="8"/>
      <c r="BD148" s="8"/>
      <c r="BE148" s="8"/>
      <c r="BF148" s="8"/>
      <c r="BL148" s="57"/>
      <c r="BM148" s="8"/>
      <c r="BN148" s="8"/>
      <c r="BO148" s="8"/>
      <c r="BP148" s="8"/>
      <c r="BT148" s="50"/>
      <c r="BU148" s="8"/>
      <c r="BV148" s="9"/>
      <c r="BW148" s="9"/>
      <c r="BX148" s="8"/>
      <c r="BY148" s="8"/>
      <c r="BZ148" s="8"/>
      <c r="CA148" s="8"/>
      <c r="CB148" s="24"/>
      <c r="CD148" s="7"/>
      <c r="CE148" s="7"/>
      <c r="CG148" s="7"/>
      <c r="CH148" s="7"/>
      <c r="CI148" s="7"/>
      <c r="CJ148" s="8"/>
      <c r="CK148" s="8"/>
      <c r="CL148" s="8"/>
      <c r="CM148" s="8"/>
      <c r="CN148" s="8"/>
      <c r="CO148" s="8"/>
      <c r="CP148" s="8"/>
      <c r="CQ148" s="8"/>
      <c r="CR148" s="8"/>
      <c r="CS148" s="8"/>
      <c r="CT148" s="8"/>
      <c r="CU148" s="8"/>
      <c r="CV148" s="8"/>
      <c r="CW148" s="8"/>
      <c r="CX148" s="8"/>
      <c r="CY148" s="8"/>
      <c r="CZ148" s="8"/>
      <c r="DA148" s="8"/>
      <c r="DB148" s="8"/>
      <c r="DC148" s="8"/>
    </row>
    <row r="149" spans="1:107" ht="15" hidden="1"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7">
        <v>1780000</v>
      </c>
      <c r="AT149" s="7"/>
      <c r="AU149" s="7"/>
      <c r="AV149" s="7"/>
      <c r="AW149" s="7"/>
      <c r="AX149" s="7"/>
      <c r="AY149" s="8"/>
      <c r="AZ149" s="8"/>
      <c r="BA149" s="8"/>
      <c r="BB149" s="8"/>
      <c r="BC149" s="8"/>
      <c r="BD149" s="8"/>
      <c r="BE149" s="8"/>
      <c r="BF149" s="8"/>
      <c r="BL149" s="57"/>
      <c r="BM149" s="8"/>
      <c r="BN149" s="8"/>
      <c r="BO149" s="8"/>
      <c r="BP149" s="8"/>
      <c r="BT149" s="50"/>
      <c r="BU149" s="8"/>
      <c r="BV149" s="9"/>
      <c r="BW149" s="9"/>
      <c r="BX149" s="8"/>
      <c r="BY149" s="8"/>
      <c r="BZ149" s="8"/>
      <c r="CA149" s="8"/>
      <c r="CB149" s="24"/>
      <c r="CD149" s="7"/>
      <c r="CE149" s="7"/>
      <c r="CG149" s="7"/>
      <c r="CH149" s="7"/>
      <c r="CI149" s="7"/>
      <c r="CJ149" s="8"/>
      <c r="CK149" s="8"/>
      <c r="CL149" s="8"/>
      <c r="CM149" s="8"/>
      <c r="CN149" s="8"/>
      <c r="CO149" s="8"/>
      <c r="CP149" s="8"/>
      <c r="CQ149" s="8"/>
      <c r="CR149" s="8"/>
      <c r="CS149" s="8"/>
      <c r="CT149" s="8"/>
      <c r="CU149" s="8"/>
      <c r="CV149" s="8"/>
      <c r="CW149" s="8"/>
      <c r="CX149" s="8"/>
      <c r="CY149" s="8"/>
      <c r="CZ149" s="8"/>
      <c r="DA149" s="8"/>
      <c r="DB149" s="8"/>
      <c r="DC149" s="8"/>
    </row>
    <row r="150" spans="1:107" ht="15" hidden="1"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7">
        <v>1790000</v>
      </c>
      <c r="AT150" s="7"/>
      <c r="AU150" s="7"/>
      <c r="AV150" s="7"/>
      <c r="AW150" s="7"/>
      <c r="AX150" s="7"/>
      <c r="AY150" s="8"/>
      <c r="AZ150" s="8"/>
      <c r="BA150" s="8"/>
      <c r="BB150" s="8"/>
      <c r="BC150" s="8"/>
      <c r="BD150" s="8"/>
      <c r="BE150" s="8"/>
      <c r="BF150" s="8"/>
      <c r="BL150" s="57"/>
      <c r="BM150" s="8"/>
      <c r="BN150" s="8"/>
      <c r="BO150" s="8"/>
      <c r="BP150" s="8"/>
      <c r="BT150" s="50"/>
      <c r="BU150" s="8"/>
      <c r="BV150" s="9"/>
      <c r="BW150" s="9"/>
      <c r="BX150" s="8"/>
      <c r="BY150" s="8"/>
      <c r="BZ150" s="8"/>
      <c r="CA150" s="8"/>
      <c r="CB150" s="24"/>
      <c r="CD150" s="7"/>
      <c r="CE150" s="7"/>
      <c r="CG150" s="7"/>
      <c r="CH150" s="7"/>
      <c r="CI150" s="7"/>
      <c r="CJ150" s="8"/>
      <c r="CK150" s="8"/>
      <c r="CL150" s="8"/>
      <c r="CM150" s="8"/>
      <c r="CN150" s="8"/>
      <c r="CO150" s="8"/>
      <c r="CP150" s="8"/>
      <c r="CQ150" s="8"/>
      <c r="CR150" s="8"/>
      <c r="CS150" s="8"/>
      <c r="CT150" s="8"/>
      <c r="CU150" s="8"/>
      <c r="CV150" s="8"/>
      <c r="CW150" s="8"/>
      <c r="CX150" s="8"/>
      <c r="CY150" s="8"/>
      <c r="CZ150" s="8"/>
      <c r="DA150" s="8"/>
      <c r="DB150" s="8"/>
      <c r="DC150" s="8"/>
    </row>
    <row r="151" spans="1:107" ht="15" hidden="1"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7">
        <v>1800000</v>
      </c>
      <c r="AT151" s="7"/>
      <c r="AU151" s="7"/>
      <c r="AV151" s="7"/>
      <c r="AW151" s="7"/>
      <c r="AX151" s="7"/>
      <c r="AY151" s="8"/>
      <c r="AZ151" s="8"/>
      <c r="BA151" s="8"/>
      <c r="BB151" s="8"/>
      <c r="BC151" s="8"/>
      <c r="BD151" s="8"/>
      <c r="BE151" s="8"/>
      <c r="BF151" s="8"/>
      <c r="BL151" s="57"/>
      <c r="BM151" s="8"/>
      <c r="BN151" s="8"/>
      <c r="BO151" s="8"/>
      <c r="BP151" s="8"/>
      <c r="BT151" s="50"/>
      <c r="BU151" s="8"/>
      <c r="BV151" s="9"/>
      <c r="BW151" s="9"/>
      <c r="BX151" s="8"/>
      <c r="BY151" s="8"/>
      <c r="BZ151" s="8"/>
      <c r="CA151" s="8"/>
      <c r="CB151" s="24"/>
      <c r="CC151" s="7"/>
      <c r="CD151" s="8"/>
      <c r="CE151" s="7"/>
      <c r="CG151" s="7"/>
      <c r="CH151" s="7"/>
      <c r="CI151" s="7"/>
      <c r="CJ151" s="8"/>
      <c r="CK151" s="8"/>
      <c r="CL151" s="8"/>
      <c r="CM151" s="8"/>
      <c r="CN151" s="8"/>
      <c r="CO151" s="8"/>
      <c r="CP151" s="8"/>
      <c r="CQ151" s="8"/>
      <c r="CR151" s="8"/>
      <c r="CS151" s="8"/>
      <c r="CT151" s="8"/>
      <c r="CU151" s="8"/>
      <c r="CV151" s="8"/>
      <c r="CW151" s="8"/>
      <c r="CX151" s="8"/>
      <c r="CY151" s="8"/>
      <c r="CZ151" s="8"/>
      <c r="DA151" s="8"/>
      <c r="DB151" s="8"/>
      <c r="DC151" s="8"/>
    </row>
    <row r="152" spans="1:107" ht="15" hidden="1"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7">
        <v>1810000</v>
      </c>
      <c r="AT152" s="7"/>
      <c r="AU152" s="7"/>
      <c r="AV152" s="7"/>
      <c r="AW152" s="7"/>
      <c r="AX152" s="7"/>
      <c r="AY152" s="8"/>
      <c r="AZ152" s="8"/>
      <c r="BA152" s="8"/>
      <c r="BB152" s="8"/>
      <c r="BC152" s="8"/>
      <c r="BD152" s="8"/>
      <c r="BE152" s="8"/>
      <c r="BF152" s="8"/>
      <c r="BL152" s="57"/>
      <c r="BM152" s="8"/>
      <c r="BN152" s="8"/>
      <c r="BO152" s="8"/>
      <c r="BP152" s="8"/>
      <c r="BT152" s="50"/>
      <c r="BU152" s="8"/>
      <c r="BV152" s="9"/>
      <c r="BW152" s="9"/>
      <c r="BX152" s="8"/>
      <c r="BY152" s="8"/>
      <c r="BZ152" s="8"/>
      <c r="CA152" s="8"/>
      <c r="CB152" s="24"/>
      <c r="CC152" s="7"/>
      <c r="CD152" s="8"/>
      <c r="CE152" s="7"/>
      <c r="CG152" s="7"/>
      <c r="CH152" s="7"/>
      <c r="CI152" s="7"/>
      <c r="CJ152" s="8"/>
      <c r="CK152" s="8"/>
      <c r="CL152" s="8"/>
      <c r="CM152" s="8"/>
      <c r="CN152" s="8"/>
      <c r="CO152" s="8"/>
      <c r="CP152" s="8"/>
      <c r="CQ152" s="8"/>
      <c r="CR152" s="8"/>
      <c r="CS152" s="8"/>
      <c r="CT152" s="8"/>
      <c r="CU152" s="8"/>
      <c r="CV152" s="8"/>
      <c r="CW152" s="8"/>
      <c r="CX152" s="8"/>
      <c r="CY152" s="8"/>
      <c r="CZ152" s="8"/>
      <c r="DA152" s="8"/>
      <c r="DB152" s="8"/>
      <c r="DC152" s="8"/>
    </row>
    <row r="153" spans="1:107" ht="15" hidden="1"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7">
        <v>1820000</v>
      </c>
      <c r="AT153" s="7"/>
      <c r="AU153" s="7"/>
      <c r="AV153" s="7"/>
      <c r="AW153" s="7"/>
      <c r="AX153" s="7"/>
      <c r="AY153" s="8"/>
      <c r="AZ153" s="8"/>
      <c r="BA153" s="8"/>
      <c r="BB153" s="8"/>
      <c r="BC153" s="8"/>
      <c r="BD153" s="8"/>
      <c r="BE153" s="8"/>
      <c r="BF153" s="8"/>
      <c r="BL153" s="57"/>
      <c r="BM153" s="8"/>
      <c r="BN153" s="8"/>
      <c r="BO153" s="8"/>
      <c r="BP153" s="8"/>
      <c r="BT153" s="50"/>
      <c r="BU153" s="8"/>
      <c r="BV153" s="9"/>
      <c r="BW153" s="9"/>
      <c r="BX153" s="8"/>
      <c r="BY153" s="8"/>
      <c r="BZ153" s="8"/>
      <c r="CA153" s="8"/>
      <c r="CB153" s="24"/>
      <c r="CC153" s="7"/>
      <c r="CD153" s="8"/>
      <c r="CE153" s="7"/>
      <c r="CG153" s="7"/>
      <c r="CH153" s="7"/>
      <c r="CI153" s="7"/>
      <c r="CJ153" s="8"/>
      <c r="CK153" s="8"/>
      <c r="CL153" s="8"/>
      <c r="CM153" s="8"/>
      <c r="CN153" s="8"/>
      <c r="CO153" s="8"/>
      <c r="CP153" s="8"/>
      <c r="CQ153" s="8"/>
      <c r="CR153" s="8"/>
      <c r="CS153" s="8"/>
      <c r="CT153" s="8"/>
      <c r="CU153" s="8"/>
      <c r="CV153" s="8"/>
      <c r="CW153" s="8"/>
      <c r="CX153" s="8"/>
      <c r="CY153" s="8"/>
      <c r="CZ153" s="8"/>
      <c r="DA153" s="8"/>
      <c r="DB153" s="8"/>
      <c r="DC153" s="8"/>
    </row>
    <row r="154" spans="1:107" ht="15" hidden="1"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7">
        <v>1830000</v>
      </c>
      <c r="AT154" s="7"/>
      <c r="AU154" s="7"/>
      <c r="AV154" s="7"/>
      <c r="AW154" s="7"/>
      <c r="AX154" s="7"/>
      <c r="AY154" s="8"/>
      <c r="AZ154" s="8"/>
      <c r="BA154" s="8"/>
      <c r="BB154" s="8"/>
      <c r="BC154" s="8"/>
      <c r="BD154" s="8"/>
      <c r="BE154" s="8"/>
      <c r="BF154" s="8"/>
      <c r="BL154" s="57"/>
      <c r="BM154" s="8"/>
      <c r="BN154" s="8"/>
      <c r="BO154" s="8"/>
      <c r="BP154" s="8"/>
      <c r="BT154" s="50"/>
      <c r="BU154" s="8"/>
      <c r="BV154" s="9"/>
      <c r="BW154" s="9"/>
      <c r="BX154" s="8"/>
      <c r="BY154" s="8"/>
      <c r="BZ154" s="8"/>
      <c r="CA154" s="8"/>
      <c r="CB154" s="24"/>
      <c r="CC154" s="7"/>
      <c r="CD154" s="8"/>
      <c r="CE154" s="7"/>
      <c r="CG154" s="7"/>
      <c r="CH154" s="7"/>
      <c r="CI154" s="7"/>
      <c r="CJ154" s="8"/>
      <c r="CK154" s="8"/>
      <c r="CL154" s="8"/>
      <c r="CM154" s="8"/>
      <c r="CN154" s="8"/>
      <c r="CO154" s="8"/>
      <c r="CP154" s="8"/>
      <c r="CQ154" s="8"/>
      <c r="CR154" s="8"/>
      <c r="CS154" s="8"/>
      <c r="CT154" s="8"/>
      <c r="CU154" s="8"/>
      <c r="CV154" s="8"/>
      <c r="CW154" s="8"/>
      <c r="CX154" s="8"/>
      <c r="CY154" s="8"/>
      <c r="CZ154" s="8"/>
      <c r="DA154" s="8"/>
      <c r="DB154" s="8"/>
      <c r="DC154" s="8"/>
    </row>
    <row r="155" spans="1:107" ht="15" hidden="1"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7">
        <v>1840000</v>
      </c>
      <c r="AT155" s="7"/>
      <c r="AU155" s="7"/>
      <c r="AV155" s="7"/>
      <c r="AW155" s="7"/>
      <c r="AX155" s="7"/>
      <c r="AY155" s="8"/>
      <c r="AZ155" s="8"/>
      <c r="BA155" s="8"/>
      <c r="BB155" s="8"/>
      <c r="BC155" s="8"/>
      <c r="BD155" s="8"/>
      <c r="BE155" s="8"/>
      <c r="BF155" s="8"/>
      <c r="BL155" s="57"/>
      <c r="BM155" s="8"/>
      <c r="BN155" s="8"/>
      <c r="BO155" s="8"/>
      <c r="BP155" s="8"/>
      <c r="BT155" s="50"/>
      <c r="BU155" s="8"/>
      <c r="BV155" s="9"/>
      <c r="BW155" s="9"/>
      <c r="BX155" s="8"/>
      <c r="BY155" s="8"/>
      <c r="BZ155" s="8"/>
      <c r="CA155" s="8"/>
      <c r="CB155" s="9"/>
      <c r="CC155" s="8"/>
      <c r="CD155" s="8"/>
      <c r="CE155" s="7"/>
      <c r="CG155" s="7"/>
      <c r="CH155" s="7"/>
      <c r="CI155" s="7"/>
      <c r="CJ155" s="8"/>
      <c r="CK155" s="8"/>
      <c r="CL155" s="8"/>
      <c r="CM155" s="8"/>
      <c r="CN155" s="8"/>
      <c r="CO155" s="8"/>
      <c r="CP155" s="8"/>
      <c r="CQ155" s="8"/>
      <c r="CR155" s="8"/>
      <c r="CS155" s="8"/>
      <c r="CT155" s="8"/>
      <c r="CU155" s="8"/>
      <c r="CV155" s="8"/>
      <c r="CW155" s="8"/>
      <c r="CX155" s="8"/>
      <c r="CY155" s="8"/>
      <c r="CZ155" s="8"/>
      <c r="DA155" s="8"/>
      <c r="DB155" s="8"/>
      <c r="DC155" s="8"/>
    </row>
    <row r="156" spans="1:107" ht="15" hidden="1"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7">
        <v>1850000</v>
      </c>
      <c r="AT156" s="7"/>
      <c r="AU156" s="7"/>
      <c r="AV156" s="7"/>
      <c r="AW156" s="7"/>
      <c r="AX156" s="7"/>
      <c r="AY156" s="8"/>
      <c r="AZ156" s="8"/>
      <c r="BA156" s="8"/>
      <c r="BB156" s="8"/>
      <c r="BC156" s="8"/>
      <c r="BD156" s="8"/>
      <c r="BE156" s="8"/>
      <c r="BF156" s="8"/>
      <c r="BL156" s="57"/>
      <c r="BM156" s="8"/>
      <c r="BN156" s="8"/>
      <c r="BO156" s="8"/>
      <c r="BP156" s="8"/>
      <c r="BT156" s="50"/>
      <c r="BU156" s="8"/>
      <c r="BV156" s="9"/>
      <c r="BW156" s="9"/>
      <c r="BX156" s="8"/>
      <c r="BY156" s="8"/>
      <c r="BZ156" s="8"/>
      <c r="CA156" s="8"/>
      <c r="CB156" s="9"/>
      <c r="CC156" s="8"/>
      <c r="CD156" s="8"/>
      <c r="CE156" s="7"/>
      <c r="CG156" s="7"/>
      <c r="CH156" s="7"/>
      <c r="CI156" s="7"/>
      <c r="CJ156" s="8"/>
      <c r="CK156" s="8"/>
      <c r="CL156" s="8"/>
      <c r="CM156" s="8"/>
      <c r="CN156" s="8"/>
      <c r="CO156" s="8"/>
      <c r="CP156" s="8"/>
      <c r="CQ156" s="8"/>
      <c r="CR156" s="8"/>
      <c r="CS156" s="8"/>
      <c r="CT156" s="8"/>
      <c r="CU156" s="8"/>
      <c r="CV156" s="8"/>
      <c r="CW156" s="8"/>
      <c r="CX156" s="8"/>
      <c r="CY156" s="8"/>
      <c r="CZ156" s="8"/>
      <c r="DA156" s="8"/>
      <c r="DB156" s="8"/>
      <c r="DC156" s="8"/>
    </row>
    <row r="157" spans="1:107" ht="15" hidden="1"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7">
        <v>1860000</v>
      </c>
      <c r="AT157" s="7"/>
      <c r="AU157" s="7"/>
      <c r="AV157" s="7"/>
      <c r="AW157" s="7"/>
      <c r="AX157" s="7"/>
      <c r="AY157" s="8"/>
      <c r="AZ157" s="8"/>
      <c r="BA157" s="8"/>
      <c r="BB157" s="8"/>
      <c r="BC157" s="8"/>
      <c r="BD157" s="8"/>
      <c r="BE157" s="8"/>
      <c r="BF157" s="8"/>
      <c r="BL157" s="57"/>
      <c r="BM157" s="8"/>
      <c r="BN157" s="8"/>
      <c r="BO157" s="8"/>
      <c r="BP157" s="8"/>
      <c r="BT157" s="50"/>
      <c r="BU157" s="8"/>
      <c r="BV157" s="9"/>
      <c r="BW157" s="9"/>
      <c r="BX157" s="8"/>
      <c r="BY157" s="8"/>
      <c r="BZ157" s="8"/>
      <c r="CA157" s="8"/>
      <c r="CB157" s="9"/>
      <c r="CC157" s="8"/>
      <c r="CD157" s="8"/>
      <c r="CE157" s="8"/>
      <c r="CF157" s="7"/>
      <c r="CG157" s="7"/>
      <c r="CH157" s="7"/>
      <c r="CI157" s="7"/>
      <c r="CJ157" s="8"/>
      <c r="CK157" s="8"/>
      <c r="CL157" s="8"/>
      <c r="CM157" s="8"/>
      <c r="CN157" s="8"/>
      <c r="CO157" s="8"/>
      <c r="CP157" s="8"/>
      <c r="CQ157" s="8"/>
      <c r="CR157" s="8"/>
      <c r="CS157" s="8"/>
      <c r="CT157" s="8"/>
      <c r="CU157" s="8"/>
      <c r="CV157" s="8"/>
      <c r="CW157" s="8"/>
      <c r="CX157" s="8"/>
      <c r="CY157" s="8"/>
      <c r="CZ157" s="8"/>
      <c r="DA157" s="8"/>
      <c r="DB157" s="8"/>
      <c r="DC157" s="8"/>
    </row>
    <row r="158" spans="1:107" ht="15" hidden="1"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7">
        <v>1870000</v>
      </c>
      <c r="AT158" s="7"/>
      <c r="AU158" s="7"/>
      <c r="AV158" s="7"/>
      <c r="AW158" s="7"/>
      <c r="AX158" s="7"/>
      <c r="AY158" s="8"/>
      <c r="AZ158" s="8"/>
      <c r="BA158" s="8"/>
      <c r="BB158" s="8"/>
      <c r="BC158" s="8"/>
      <c r="BD158" s="8"/>
      <c r="BE158" s="8"/>
      <c r="BF158" s="8"/>
      <c r="BL158" s="57"/>
      <c r="BM158" s="8"/>
      <c r="BN158" s="8"/>
      <c r="BO158" s="8"/>
      <c r="BP158" s="8"/>
      <c r="BT158" s="50"/>
      <c r="BU158" s="8"/>
      <c r="BV158" s="9"/>
      <c r="BW158" s="9"/>
      <c r="BX158" s="8"/>
      <c r="BY158" s="8"/>
      <c r="BZ158" s="8"/>
      <c r="CA158" s="8"/>
      <c r="CB158" s="9"/>
      <c r="CC158" s="8"/>
      <c r="CD158" s="8"/>
      <c r="CE158" s="8"/>
      <c r="CF158" s="7"/>
      <c r="CG158" s="7"/>
      <c r="CH158" s="7"/>
      <c r="CI158" s="7"/>
      <c r="CJ158" s="8"/>
      <c r="CK158" s="8"/>
      <c r="CL158" s="8"/>
      <c r="CM158" s="8"/>
      <c r="CN158" s="8"/>
      <c r="CO158" s="8"/>
      <c r="CP158" s="8"/>
      <c r="CQ158" s="8"/>
      <c r="CR158" s="8"/>
      <c r="CS158" s="8"/>
      <c r="CT158" s="8"/>
      <c r="CU158" s="8"/>
      <c r="CV158" s="8"/>
      <c r="CW158" s="8"/>
      <c r="CX158" s="8"/>
      <c r="CY158" s="8"/>
      <c r="CZ158" s="8"/>
      <c r="DA158" s="8"/>
      <c r="DB158" s="8"/>
      <c r="DC158" s="8"/>
    </row>
    <row r="159" spans="1:107" ht="15" hidden="1"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7">
        <v>1880000</v>
      </c>
      <c r="AT159" s="7"/>
      <c r="AU159" s="7"/>
      <c r="AV159" s="7"/>
      <c r="AW159" s="7"/>
      <c r="AX159" s="7"/>
      <c r="AY159" s="8"/>
      <c r="AZ159" s="8"/>
      <c r="BA159" s="8"/>
      <c r="BB159" s="8"/>
      <c r="BC159" s="8"/>
      <c r="BD159" s="8"/>
      <c r="BE159" s="8"/>
      <c r="BF159" s="8"/>
      <c r="BL159" s="57"/>
      <c r="BM159" s="8"/>
      <c r="BN159" s="8"/>
      <c r="BO159" s="8"/>
      <c r="BP159" s="8"/>
      <c r="BT159" s="50"/>
      <c r="BU159" s="8"/>
      <c r="BV159" s="9"/>
      <c r="BW159" s="9"/>
      <c r="BX159" s="8"/>
      <c r="BY159" s="8"/>
      <c r="BZ159" s="8"/>
      <c r="CA159" s="8"/>
      <c r="CB159" s="24"/>
      <c r="CC159" s="7"/>
      <c r="CD159" s="7"/>
      <c r="CE159" s="8"/>
      <c r="CF159" s="7"/>
      <c r="CG159" s="7"/>
      <c r="CH159" s="7"/>
      <c r="CI159" s="7"/>
      <c r="CJ159" s="8"/>
      <c r="CK159" s="8"/>
      <c r="CL159" s="8"/>
      <c r="CM159" s="8"/>
      <c r="CN159" s="8"/>
      <c r="CO159" s="8"/>
      <c r="CP159" s="8"/>
      <c r="CQ159" s="8"/>
      <c r="CR159" s="8"/>
      <c r="CS159" s="8"/>
      <c r="CT159" s="8"/>
      <c r="CU159" s="8"/>
      <c r="CV159" s="8"/>
      <c r="CW159" s="8"/>
      <c r="CX159" s="8"/>
      <c r="CY159" s="8"/>
      <c r="CZ159" s="8"/>
      <c r="DA159" s="8"/>
      <c r="DB159" s="8"/>
      <c r="DC159" s="8"/>
    </row>
    <row r="160" spans="1:107" ht="15" hidden="1"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7">
        <v>1890000</v>
      </c>
      <c r="AT160" s="7"/>
      <c r="AU160" s="7"/>
      <c r="AV160" s="7"/>
      <c r="AW160" s="7"/>
      <c r="AX160" s="7"/>
      <c r="AY160" s="8"/>
      <c r="AZ160" s="8"/>
      <c r="BA160" s="8"/>
      <c r="BB160" s="8"/>
      <c r="BC160" s="8"/>
      <c r="BD160" s="8"/>
      <c r="BE160" s="8"/>
      <c r="BF160" s="8"/>
      <c r="BL160" s="57"/>
      <c r="BM160" s="8"/>
      <c r="BN160" s="8"/>
      <c r="BO160" s="8"/>
      <c r="BP160" s="8"/>
      <c r="BT160" s="50"/>
      <c r="BU160" s="8"/>
      <c r="BV160" s="9"/>
      <c r="BW160" s="9"/>
      <c r="BX160" s="8"/>
      <c r="BY160" s="8"/>
      <c r="BZ160" s="8"/>
      <c r="CA160" s="8"/>
      <c r="CB160" s="24"/>
      <c r="CC160" s="7"/>
      <c r="CD160" s="7"/>
      <c r="CE160" s="7"/>
      <c r="CF160" s="7"/>
      <c r="CG160" s="7"/>
      <c r="CH160" s="7"/>
      <c r="CI160" s="7"/>
      <c r="CJ160" s="8"/>
      <c r="CK160" s="8"/>
      <c r="CL160" s="8"/>
      <c r="CM160" s="8"/>
      <c r="CN160" s="8"/>
      <c r="CO160" s="8"/>
      <c r="CP160" s="8"/>
      <c r="CQ160" s="8"/>
      <c r="CR160" s="8"/>
      <c r="CS160" s="8"/>
      <c r="CT160" s="8"/>
      <c r="CU160" s="8"/>
      <c r="CV160" s="8"/>
      <c r="CW160" s="8"/>
      <c r="CX160" s="8"/>
      <c r="CY160" s="8"/>
      <c r="CZ160" s="8"/>
      <c r="DA160" s="8"/>
      <c r="DB160" s="8"/>
      <c r="DC160" s="8"/>
    </row>
    <row r="161" spans="1:107" ht="15" hidden="1"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7">
        <v>1900000</v>
      </c>
      <c r="AT161" s="7"/>
      <c r="AU161" s="7"/>
      <c r="AV161" s="7"/>
      <c r="AW161" s="7"/>
      <c r="AX161" s="7"/>
      <c r="AY161" s="8"/>
      <c r="AZ161" s="8"/>
      <c r="BA161" s="8"/>
      <c r="BB161" s="8"/>
      <c r="BC161" s="8"/>
      <c r="BD161" s="8"/>
      <c r="BE161" s="8"/>
      <c r="BF161" s="8"/>
      <c r="BL161" s="57"/>
      <c r="BM161" s="8"/>
      <c r="BN161" s="8"/>
      <c r="BO161" s="8"/>
      <c r="BP161" s="8"/>
      <c r="BT161" s="50"/>
      <c r="BU161" s="8"/>
      <c r="BV161" s="9"/>
      <c r="BW161" s="9"/>
      <c r="BX161" s="8"/>
      <c r="BY161" s="8"/>
      <c r="BZ161" s="8"/>
      <c r="CA161" s="8"/>
      <c r="CB161" s="24"/>
      <c r="CC161" s="7"/>
      <c r="CD161" s="7"/>
      <c r="CE161" s="7"/>
      <c r="CF161" s="7"/>
      <c r="CG161" s="7"/>
      <c r="CH161" s="7"/>
      <c r="CI161" s="7"/>
      <c r="CJ161" s="8"/>
      <c r="CK161" s="8"/>
      <c r="CL161" s="8"/>
      <c r="CM161" s="8"/>
      <c r="CN161" s="8"/>
      <c r="CO161" s="8"/>
      <c r="CP161" s="8"/>
      <c r="CQ161" s="8"/>
      <c r="CR161" s="8"/>
      <c r="CS161" s="8"/>
      <c r="CT161" s="8"/>
      <c r="CU161" s="8"/>
      <c r="CV161" s="8"/>
      <c r="CW161" s="8"/>
      <c r="CX161" s="8"/>
      <c r="CY161" s="8"/>
      <c r="CZ161" s="8"/>
      <c r="DA161" s="8"/>
      <c r="DB161" s="8"/>
      <c r="DC161" s="8"/>
    </row>
    <row r="162" spans="1:107" ht="15" hidden="1"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7">
        <v>1910000</v>
      </c>
      <c r="AT162" s="7"/>
      <c r="AU162" s="7"/>
      <c r="AV162" s="7"/>
      <c r="AW162" s="7"/>
      <c r="AX162" s="7"/>
      <c r="AY162" s="8"/>
      <c r="AZ162" s="8"/>
      <c r="BA162" s="8"/>
      <c r="BB162" s="8"/>
      <c r="BC162" s="8"/>
      <c r="BD162" s="8"/>
      <c r="BE162" s="8"/>
      <c r="BF162" s="8"/>
      <c r="BL162" s="57"/>
      <c r="BM162" s="8"/>
      <c r="BN162" s="8"/>
      <c r="BO162" s="8"/>
      <c r="BP162" s="8"/>
      <c r="BT162" s="50"/>
      <c r="BU162" s="8"/>
      <c r="BV162" s="9"/>
      <c r="BW162" s="9"/>
      <c r="BX162" s="8"/>
      <c r="BY162" s="8"/>
      <c r="BZ162" s="8"/>
      <c r="CA162" s="8"/>
      <c r="CB162" s="24"/>
      <c r="CC162" s="7"/>
      <c r="CD162" s="7"/>
      <c r="CE162" s="7"/>
      <c r="CF162" s="7"/>
      <c r="CG162" s="7"/>
      <c r="CH162" s="7"/>
      <c r="CI162" s="7"/>
      <c r="CJ162" s="8"/>
      <c r="CK162" s="8"/>
      <c r="CL162" s="8"/>
      <c r="CM162" s="8"/>
      <c r="CN162" s="8"/>
      <c r="CO162" s="8"/>
      <c r="CP162" s="8"/>
      <c r="CQ162" s="8"/>
      <c r="CR162" s="8"/>
      <c r="CS162" s="8"/>
      <c r="CT162" s="8"/>
      <c r="CU162" s="8"/>
      <c r="CV162" s="8"/>
      <c r="CW162" s="8"/>
      <c r="CX162" s="8"/>
      <c r="CY162" s="8"/>
      <c r="CZ162" s="8"/>
      <c r="DA162" s="8"/>
      <c r="DB162" s="8"/>
      <c r="DC162" s="8"/>
    </row>
    <row r="163" spans="1:107" ht="15" hidden="1"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7">
        <v>1920000</v>
      </c>
      <c r="AT163" s="7"/>
      <c r="AU163" s="7"/>
      <c r="AV163" s="7"/>
      <c r="AW163" s="7"/>
      <c r="AX163" s="7"/>
      <c r="AY163" s="8"/>
      <c r="AZ163" s="8"/>
      <c r="BA163" s="8"/>
      <c r="BB163" s="8"/>
      <c r="BC163" s="8"/>
      <c r="BD163" s="8"/>
      <c r="BE163" s="8"/>
      <c r="BF163" s="8"/>
      <c r="BL163" s="57"/>
      <c r="BM163" s="8"/>
      <c r="BN163" s="8"/>
      <c r="BO163" s="8"/>
      <c r="BP163" s="8"/>
      <c r="BT163" s="50"/>
      <c r="BU163" s="8"/>
      <c r="BV163" s="9"/>
      <c r="BW163" s="9"/>
      <c r="BX163" s="8"/>
      <c r="BY163" s="8"/>
      <c r="BZ163" s="8"/>
      <c r="CA163" s="8"/>
      <c r="CB163" s="24"/>
      <c r="CC163" s="7"/>
      <c r="CD163" s="7"/>
      <c r="CE163" s="7"/>
      <c r="CF163" s="7"/>
      <c r="CG163" s="7"/>
      <c r="CH163" s="7"/>
      <c r="CI163" s="7"/>
      <c r="CJ163" s="8"/>
      <c r="CK163" s="8"/>
      <c r="CL163" s="8"/>
      <c r="CM163" s="8"/>
      <c r="CN163" s="8"/>
      <c r="CO163" s="8"/>
      <c r="CP163" s="8"/>
      <c r="CQ163" s="8"/>
      <c r="CR163" s="8"/>
      <c r="CS163" s="8"/>
      <c r="CT163" s="8"/>
      <c r="CU163" s="8"/>
      <c r="CV163" s="8"/>
      <c r="CW163" s="8"/>
      <c r="CX163" s="8"/>
      <c r="CY163" s="8"/>
      <c r="CZ163" s="8"/>
      <c r="DA163" s="8"/>
      <c r="DB163" s="8"/>
      <c r="DC163" s="8"/>
    </row>
    <row r="164" spans="1:107" ht="15" hidden="1"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7">
        <v>1930000</v>
      </c>
      <c r="AT164" s="7"/>
      <c r="AU164" s="7"/>
      <c r="AV164" s="7"/>
      <c r="AW164" s="7"/>
      <c r="AX164" s="7"/>
      <c r="AY164" s="8"/>
      <c r="AZ164" s="8"/>
      <c r="BA164" s="8"/>
      <c r="BB164" s="8"/>
      <c r="BC164" s="8"/>
      <c r="BD164" s="8"/>
      <c r="BE164" s="8"/>
      <c r="BF164" s="8"/>
      <c r="BL164" s="57"/>
      <c r="BM164" s="8"/>
      <c r="BN164" s="8"/>
      <c r="BO164" s="8"/>
      <c r="BP164" s="8"/>
      <c r="BT164" s="50"/>
      <c r="BU164" s="8"/>
      <c r="BV164" s="9"/>
      <c r="BW164" s="9"/>
      <c r="BX164" s="8"/>
      <c r="BY164" s="8"/>
      <c r="BZ164" s="8"/>
      <c r="CA164" s="8"/>
      <c r="CB164" s="9"/>
      <c r="CC164" s="8"/>
      <c r="CD164" s="8"/>
      <c r="CE164" s="7"/>
      <c r="CF164" s="7"/>
      <c r="CG164" s="7"/>
      <c r="CH164" s="7"/>
      <c r="CI164" s="7"/>
      <c r="CJ164" s="8"/>
      <c r="CK164" s="8"/>
      <c r="CL164" s="8"/>
      <c r="CM164" s="8"/>
      <c r="CN164" s="8"/>
      <c r="CO164" s="8"/>
      <c r="CP164" s="8"/>
      <c r="CQ164" s="8"/>
      <c r="CR164" s="8"/>
      <c r="CS164" s="8"/>
      <c r="CT164" s="8"/>
      <c r="CU164" s="8"/>
      <c r="CV164" s="8"/>
      <c r="CW164" s="8"/>
      <c r="CX164" s="8"/>
      <c r="CY164" s="8"/>
      <c r="CZ164" s="8"/>
      <c r="DA164" s="8"/>
      <c r="DB164" s="8"/>
      <c r="DC164" s="8"/>
    </row>
    <row r="165" spans="1:107" ht="15" hidden="1"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7">
        <v>1940000</v>
      </c>
      <c r="AT165" s="7"/>
      <c r="AU165" s="7"/>
      <c r="AV165" s="7"/>
      <c r="AW165" s="7"/>
      <c r="AX165" s="7"/>
      <c r="AY165" s="8"/>
      <c r="AZ165" s="8"/>
      <c r="BA165" s="8"/>
      <c r="BB165" s="8"/>
      <c r="BC165" s="8"/>
      <c r="BD165" s="8"/>
      <c r="BE165" s="8"/>
      <c r="BF165" s="8"/>
      <c r="BL165" s="57"/>
      <c r="BM165" s="8"/>
      <c r="BN165" s="8"/>
      <c r="BO165" s="8"/>
      <c r="BP165" s="8"/>
      <c r="BT165" s="50"/>
      <c r="BU165" s="8"/>
      <c r="BV165" s="9"/>
      <c r="BW165" s="9"/>
      <c r="BX165" s="8"/>
      <c r="BY165" s="8"/>
      <c r="BZ165" s="8"/>
      <c r="CA165" s="8"/>
      <c r="CB165" s="9"/>
      <c r="CC165" s="8"/>
      <c r="CD165" s="8"/>
      <c r="CE165" s="7"/>
      <c r="CF165" s="7"/>
      <c r="CG165" s="7"/>
      <c r="CH165" s="7"/>
      <c r="CI165" s="7"/>
      <c r="CJ165" s="8"/>
      <c r="CK165" s="8"/>
      <c r="CL165" s="8"/>
      <c r="CM165" s="8"/>
      <c r="CN165" s="8"/>
      <c r="CO165" s="8"/>
      <c r="CP165" s="8"/>
      <c r="CQ165" s="8"/>
      <c r="CR165" s="8"/>
      <c r="CS165" s="8"/>
      <c r="CT165" s="8"/>
      <c r="CU165" s="8"/>
      <c r="CV165" s="8"/>
      <c r="CW165" s="8"/>
      <c r="CX165" s="8"/>
      <c r="CY165" s="8"/>
      <c r="CZ165" s="8"/>
      <c r="DA165" s="8"/>
      <c r="DB165" s="8"/>
      <c r="DC165" s="8"/>
    </row>
    <row r="166" spans="1:107" ht="15" hidden="1"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7">
        <v>1950000</v>
      </c>
      <c r="AT166" s="7"/>
      <c r="AU166" s="7"/>
      <c r="AV166" s="7"/>
      <c r="AW166" s="7"/>
      <c r="AX166" s="7"/>
      <c r="AY166" s="8"/>
      <c r="AZ166" s="8"/>
      <c r="BA166" s="8"/>
      <c r="BB166" s="8"/>
      <c r="BC166" s="8"/>
      <c r="BD166" s="8"/>
      <c r="BE166" s="8"/>
      <c r="BF166" s="8"/>
      <c r="BL166" s="57"/>
      <c r="BM166" s="8"/>
      <c r="BN166" s="8"/>
      <c r="BO166" s="8"/>
      <c r="BP166" s="8"/>
      <c r="BT166" s="50"/>
      <c r="BU166" s="8"/>
      <c r="BV166" s="9"/>
      <c r="BW166" s="9"/>
      <c r="BX166" s="8"/>
      <c r="BY166" s="8"/>
      <c r="BZ166" s="8"/>
      <c r="CA166" s="8"/>
      <c r="CB166" s="9"/>
      <c r="CC166" s="8"/>
      <c r="CD166" s="8"/>
      <c r="CE166" s="7"/>
      <c r="CF166" s="7"/>
      <c r="CG166" s="7"/>
      <c r="CH166" s="7"/>
      <c r="CI166" s="7"/>
      <c r="CJ166" s="8"/>
      <c r="CK166" s="8"/>
      <c r="CL166" s="8"/>
      <c r="CM166" s="8"/>
      <c r="CN166" s="8"/>
      <c r="CO166" s="8"/>
      <c r="CP166" s="8"/>
      <c r="CQ166" s="8"/>
      <c r="CR166" s="8"/>
      <c r="CS166" s="8"/>
      <c r="CT166" s="8"/>
      <c r="CU166" s="8"/>
      <c r="CV166" s="8"/>
      <c r="CW166" s="8"/>
      <c r="CX166" s="8"/>
      <c r="CY166" s="8"/>
      <c r="CZ166" s="8"/>
      <c r="DA166" s="8"/>
      <c r="DB166" s="8"/>
      <c r="DC166" s="8"/>
    </row>
    <row r="167" spans="1:107" ht="15" hidden="1"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7">
        <v>1960000</v>
      </c>
      <c r="AT167" s="7"/>
      <c r="AU167" s="7"/>
      <c r="AV167" s="7"/>
      <c r="AW167" s="7"/>
      <c r="AX167" s="7"/>
      <c r="AY167" s="8"/>
      <c r="AZ167" s="8"/>
      <c r="BA167" s="8"/>
      <c r="BB167" s="8"/>
      <c r="BC167" s="8"/>
      <c r="BD167" s="8"/>
      <c r="BE167" s="8"/>
      <c r="BF167" s="8"/>
      <c r="BL167" s="57"/>
      <c r="BM167" s="8"/>
      <c r="BN167" s="8"/>
      <c r="BO167" s="8"/>
      <c r="BP167" s="8"/>
      <c r="BT167" s="50"/>
      <c r="BU167" s="8"/>
      <c r="BV167" s="9"/>
      <c r="BW167" s="9"/>
      <c r="BX167" s="8"/>
      <c r="BY167" s="8"/>
      <c r="BZ167" s="8"/>
      <c r="CA167" s="8"/>
      <c r="CB167" s="9"/>
      <c r="CC167" s="8"/>
      <c r="CD167" s="8"/>
      <c r="CE167" s="7"/>
      <c r="CF167" s="7"/>
      <c r="CG167" s="7"/>
      <c r="CH167" s="7"/>
      <c r="CI167" s="7"/>
      <c r="CJ167" s="8"/>
      <c r="CK167" s="8"/>
      <c r="CL167" s="8"/>
      <c r="CM167" s="8"/>
      <c r="CN167" s="8"/>
      <c r="CO167" s="8"/>
      <c r="CP167" s="8"/>
      <c r="CQ167" s="8"/>
      <c r="CR167" s="8"/>
      <c r="CS167" s="8"/>
      <c r="CT167" s="8"/>
      <c r="CU167" s="8"/>
      <c r="CV167" s="8"/>
      <c r="CW167" s="8"/>
      <c r="CX167" s="8"/>
      <c r="CY167" s="8"/>
      <c r="CZ167" s="8"/>
      <c r="DA167" s="8"/>
      <c r="DB167" s="8"/>
      <c r="DC167" s="8"/>
    </row>
    <row r="168" spans="1:107" ht="15" hidden="1"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7">
        <v>1970000</v>
      </c>
      <c r="AT168" s="7"/>
      <c r="AU168" s="7"/>
      <c r="AV168" s="7"/>
      <c r="AW168" s="7"/>
      <c r="AX168" s="7"/>
      <c r="AY168" s="8"/>
      <c r="AZ168" s="8"/>
      <c r="BA168" s="8"/>
      <c r="BB168" s="8"/>
      <c r="BC168" s="8"/>
      <c r="BD168" s="8"/>
      <c r="BE168" s="8"/>
      <c r="BF168" s="8"/>
      <c r="BL168" s="57"/>
      <c r="BM168" s="8"/>
      <c r="BN168" s="8"/>
      <c r="BO168" s="8"/>
      <c r="BP168" s="8"/>
      <c r="BT168" s="50"/>
      <c r="BU168" s="8"/>
      <c r="BV168" s="9"/>
      <c r="BW168" s="9"/>
      <c r="BX168" s="8"/>
      <c r="BY168" s="8"/>
      <c r="BZ168" s="8"/>
      <c r="CA168" s="8"/>
      <c r="CB168" s="9"/>
      <c r="CC168" s="8"/>
      <c r="CD168" s="8"/>
      <c r="CE168" s="7"/>
      <c r="CF168" s="7"/>
      <c r="CG168" s="7"/>
      <c r="CH168" s="7"/>
      <c r="CI168" s="7"/>
      <c r="CJ168" s="8"/>
      <c r="CK168" s="8"/>
      <c r="CL168" s="8"/>
      <c r="CM168" s="8"/>
      <c r="CN168" s="8"/>
      <c r="CO168" s="8"/>
      <c r="CP168" s="8"/>
      <c r="CQ168" s="8"/>
      <c r="CR168" s="8"/>
      <c r="CS168" s="8"/>
      <c r="CT168" s="8"/>
      <c r="CU168" s="8"/>
      <c r="CV168" s="8"/>
      <c r="CW168" s="8"/>
      <c r="CX168" s="8"/>
      <c r="CY168" s="8"/>
      <c r="CZ168" s="8"/>
      <c r="DA168" s="8"/>
      <c r="DB168" s="8"/>
      <c r="DC168" s="8"/>
    </row>
    <row r="169" spans="1:107" ht="15" hidden="1"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7">
        <v>1980000</v>
      </c>
      <c r="AT169" s="7"/>
      <c r="AU169" s="7"/>
      <c r="AV169" s="7"/>
      <c r="AW169" s="7"/>
      <c r="AX169" s="7"/>
      <c r="AY169" s="8"/>
      <c r="AZ169" s="8"/>
      <c r="BA169" s="8"/>
      <c r="BB169" s="8"/>
      <c r="BC169" s="8"/>
      <c r="BD169" s="8"/>
      <c r="BE169" s="8"/>
      <c r="BF169" s="8"/>
      <c r="BL169" s="57"/>
      <c r="BM169" s="8"/>
      <c r="BN169" s="8"/>
      <c r="BO169" s="8"/>
      <c r="BP169" s="8"/>
      <c r="BT169" s="50"/>
      <c r="BU169" s="8"/>
      <c r="BV169" s="9"/>
      <c r="BW169" s="9"/>
      <c r="BX169" s="8"/>
      <c r="BY169" s="8"/>
      <c r="BZ169" s="8"/>
      <c r="CA169" s="8"/>
      <c r="CB169" s="9"/>
      <c r="CC169" s="8"/>
      <c r="CD169" s="8"/>
      <c r="CE169" s="7"/>
      <c r="CF169" s="7"/>
      <c r="CG169" s="7"/>
      <c r="CH169" s="7"/>
      <c r="CI169" s="7"/>
      <c r="CJ169" s="8"/>
      <c r="CK169" s="8"/>
      <c r="CL169" s="8"/>
      <c r="CM169" s="8"/>
      <c r="CN169" s="8"/>
      <c r="CO169" s="8"/>
      <c r="CP169" s="8"/>
      <c r="CQ169" s="8"/>
      <c r="CR169" s="8"/>
      <c r="CS169" s="8"/>
      <c r="CT169" s="8"/>
      <c r="CU169" s="8"/>
      <c r="CV169" s="8"/>
      <c r="CW169" s="8"/>
      <c r="CX169" s="8"/>
      <c r="CY169" s="8"/>
      <c r="CZ169" s="8"/>
      <c r="DA169" s="8"/>
      <c r="DB169" s="8"/>
      <c r="DC169" s="8"/>
    </row>
    <row r="170" spans="1:107" ht="15" hidden="1"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7">
        <v>1990000</v>
      </c>
      <c r="AT170" s="7"/>
      <c r="AU170" s="7"/>
      <c r="AV170" s="7"/>
      <c r="AW170" s="7"/>
      <c r="AX170" s="7"/>
      <c r="AY170" s="8"/>
      <c r="AZ170" s="8"/>
      <c r="BA170" s="8"/>
      <c r="BB170" s="8"/>
      <c r="BC170" s="8"/>
      <c r="BD170" s="8"/>
      <c r="BE170" s="8"/>
      <c r="BF170" s="8"/>
      <c r="BL170" s="57"/>
      <c r="BM170" s="8"/>
      <c r="BN170" s="8"/>
      <c r="BO170" s="8"/>
      <c r="BP170" s="8"/>
      <c r="BT170" s="50"/>
      <c r="BU170" s="8"/>
      <c r="BV170" s="9"/>
      <c r="BW170" s="9"/>
      <c r="BX170" s="8"/>
      <c r="BY170" s="8"/>
      <c r="BZ170" s="8"/>
      <c r="CA170" s="8"/>
      <c r="CB170" s="24"/>
      <c r="CC170" s="7"/>
      <c r="CD170" s="7"/>
      <c r="CE170" s="7"/>
      <c r="CF170" s="7"/>
      <c r="CG170" s="7"/>
      <c r="CH170" s="7"/>
      <c r="CI170" s="7"/>
      <c r="CJ170" s="8"/>
      <c r="CK170" s="8"/>
      <c r="CL170" s="8"/>
      <c r="CM170" s="8"/>
      <c r="CN170" s="8"/>
      <c r="CO170" s="8"/>
      <c r="CP170" s="8"/>
      <c r="CQ170" s="8"/>
      <c r="CR170" s="8"/>
      <c r="CS170" s="8"/>
      <c r="CT170" s="8"/>
      <c r="CU170" s="8"/>
      <c r="CV170" s="8"/>
      <c r="CW170" s="8"/>
      <c r="CX170" s="8"/>
      <c r="CY170" s="8"/>
      <c r="CZ170" s="8"/>
      <c r="DA170" s="8"/>
      <c r="DB170" s="8"/>
      <c r="DC170" s="8"/>
    </row>
    <row r="171" spans="1:107" ht="15" hidden="1"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7">
        <v>2000000</v>
      </c>
      <c r="AT171" s="7"/>
      <c r="AU171" s="7"/>
      <c r="AV171" s="7"/>
      <c r="AW171" s="7"/>
      <c r="AX171" s="7"/>
      <c r="AY171" s="8"/>
      <c r="AZ171" s="8"/>
      <c r="BA171" s="8"/>
      <c r="BB171" s="8"/>
      <c r="BC171" s="8"/>
      <c r="BD171" s="8"/>
      <c r="BE171" s="8"/>
      <c r="BF171" s="8"/>
      <c r="BL171" s="57"/>
      <c r="BM171" s="8"/>
      <c r="BN171" s="8"/>
      <c r="BO171" s="8"/>
      <c r="BP171" s="8"/>
      <c r="BT171" s="50"/>
      <c r="BU171" s="8"/>
      <c r="BV171" s="9"/>
      <c r="BW171" s="9"/>
      <c r="BX171" s="8"/>
      <c r="BY171" s="8"/>
      <c r="BZ171" s="8"/>
      <c r="CA171" s="8"/>
      <c r="CB171" s="24"/>
      <c r="CC171" s="7"/>
      <c r="CD171" s="7"/>
      <c r="CE171" s="7"/>
      <c r="CF171" s="7"/>
      <c r="CG171" s="7"/>
      <c r="CH171" s="7"/>
      <c r="CI171" s="7"/>
      <c r="CJ171" s="8"/>
      <c r="CK171" s="8"/>
      <c r="CL171" s="8"/>
      <c r="CM171" s="8"/>
      <c r="CN171" s="8"/>
      <c r="CO171" s="8"/>
      <c r="CP171" s="8"/>
      <c r="CQ171" s="8"/>
      <c r="CR171" s="8"/>
      <c r="CS171" s="8"/>
      <c r="CT171" s="8"/>
      <c r="CU171" s="8"/>
      <c r="CV171" s="8"/>
      <c r="CW171" s="8"/>
      <c r="CX171" s="8"/>
      <c r="CY171" s="8"/>
      <c r="CZ171" s="8"/>
      <c r="DA171" s="8"/>
      <c r="DB171" s="8"/>
      <c r="DC171" s="8"/>
    </row>
    <row r="172" spans="1:107" ht="15" hidden="1"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L172" s="57"/>
      <c r="BM172" s="8"/>
      <c r="BN172" s="8"/>
      <c r="BO172" s="8"/>
      <c r="BP172" s="8"/>
      <c r="BT172" s="50"/>
      <c r="BU172" s="8"/>
      <c r="BV172" s="9"/>
      <c r="BW172" s="9"/>
      <c r="BX172" s="8"/>
      <c r="BY172" s="8"/>
      <c r="BZ172" s="8"/>
      <c r="CA172" s="8"/>
      <c r="CB172" s="24"/>
      <c r="CC172" s="7"/>
      <c r="CD172" s="7"/>
      <c r="CE172" s="7"/>
      <c r="CF172" s="7"/>
      <c r="CG172" s="7"/>
      <c r="CH172" s="7"/>
      <c r="CI172" s="7"/>
      <c r="CJ172" s="8"/>
      <c r="CK172" s="8"/>
      <c r="CL172" s="8"/>
      <c r="CM172" s="8"/>
      <c r="CN172" s="8"/>
      <c r="CO172" s="8"/>
      <c r="CP172" s="8"/>
      <c r="CQ172" s="8"/>
      <c r="CR172" s="8"/>
      <c r="CS172" s="8"/>
      <c r="CT172" s="8"/>
      <c r="CU172" s="8"/>
      <c r="CV172" s="8"/>
      <c r="CW172" s="8"/>
      <c r="CX172" s="8"/>
      <c r="CY172" s="8"/>
      <c r="CZ172" s="8"/>
      <c r="DA172" s="8"/>
      <c r="DB172" s="8"/>
      <c r="DC172" s="8"/>
    </row>
    <row r="173" spans="1:107" ht="15" hidden="1"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L173" s="57"/>
      <c r="BM173" s="8"/>
      <c r="BN173" s="8"/>
      <c r="BO173" s="8"/>
      <c r="BP173" s="8"/>
      <c r="BT173" s="50"/>
      <c r="BU173" s="8"/>
      <c r="BV173" s="9"/>
      <c r="BW173" s="9"/>
      <c r="BX173" s="8"/>
      <c r="BY173" s="8"/>
      <c r="BZ173" s="8"/>
      <c r="CA173" s="8"/>
      <c r="CB173" s="9"/>
      <c r="CC173" s="8"/>
      <c r="CD173" s="8"/>
      <c r="CE173" s="7"/>
      <c r="CF173" s="7"/>
      <c r="CG173" s="7"/>
      <c r="CH173" s="7"/>
      <c r="CI173" s="7"/>
      <c r="CJ173" s="8"/>
      <c r="CK173" s="8"/>
      <c r="CL173" s="8"/>
      <c r="CM173" s="8"/>
      <c r="CN173" s="8"/>
      <c r="CO173" s="8"/>
      <c r="CP173" s="8"/>
      <c r="CQ173" s="8"/>
      <c r="CR173" s="8"/>
      <c r="CS173" s="8"/>
      <c r="CT173" s="8"/>
      <c r="CU173" s="8"/>
      <c r="CV173" s="8"/>
      <c r="CW173" s="8"/>
      <c r="CX173" s="8"/>
      <c r="CY173" s="8"/>
      <c r="CZ173" s="8"/>
      <c r="DA173" s="8"/>
      <c r="DB173" s="8"/>
      <c r="DC173" s="8"/>
    </row>
    <row r="174" spans="1:107" ht="15" hidden="1"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L174" s="57"/>
      <c r="BM174" s="8"/>
      <c r="BN174" s="8"/>
      <c r="BO174" s="8"/>
      <c r="BP174" s="8"/>
      <c r="BT174" s="50"/>
      <c r="BU174" s="8"/>
      <c r="BV174" s="9"/>
      <c r="BW174" s="9"/>
      <c r="BX174" s="8"/>
      <c r="BY174" s="8"/>
      <c r="BZ174" s="8"/>
      <c r="CA174" s="8"/>
      <c r="CB174" s="9"/>
      <c r="CC174" s="8"/>
      <c r="CD174" s="8"/>
      <c r="CE174" s="7"/>
      <c r="CF174" s="7"/>
      <c r="CG174" s="7"/>
      <c r="CH174" s="7"/>
      <c r="CI174" s="7"/>
      <c r="CJ174" s="8"/>
      <c r="CK174" s="8"/>
      <c r="CL174" s="8"/>
      <c r="CM174" s="8"/>
      <c r="CN174" s="8"/>
      <c r="CO174" s="8"/>
      <c r="CP174" s="8"/>
      <c r="CQ174" s="8"/>
      <c r="CR174" s="8"/>
      <c r="CS174" s="8"/>
      <c r="CT174" s="8"/>
      <c r="CU174" s="8"/>
      <c r="CV174" s="8"/>
      <c r="CW174" s="8"/>
      <c r="CX174" s="8"/>
      <c r="CY174" s="8"/>
      <c r="CZ174" s="8"/>
      <c r="DA174" s="8"/>
      <c r="DB174" s="8"/>
      <c r="DC174" s="8"/>
    </row>
    <row r="175" spans="1:107" ht="15" hidden="1"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L175" s="57"/>
      <c r="BM175" s="8"/>
      <c r="BN175" s="8"/>
      <c r="BO175" s="8"/>
      <c r="BP175" s="8"/>
      <c r="BT175" s="50"/>
      <c r="BU175" s="8"/>
      <c r="BV175" s="9"/>
      <c r="BW175" s="9"/>
      <c r="BX175" s="8"/>
      <c r="BY175" s="8"/>
      <c r="BZ175" s="8"/>
      <c r="CA175" s="8"/>
      <c r="CB175" s="9"/>
      <c r="CC175" s="8"/>
      <c r="CD175" s="8"/>
      <c r="CE175" s="7"/>
      <c r="CF175" s="7"/>
      <c r="CG175" s="7"/>
      <c r="CH175" s="7"/>
      <c r="CI175" s="7"/>
      <c r="CJ175" s="8"/>
      <c r="CK175" s="8"/>
      <c r="CL175" s="8"/>
      <c r="CM175" s="8"/>
      <c r="CN175" s="8"/>
      <c r="CO175" s="8"/>
      <c r="CP175" s="8"/>
      <c r="CQ175" s="8"/>
      <c r="CR175" s="8"/>
      <c r="CS175" s="8"/>
      <c r="CT175" s="8"/>
      <c r="CU175" s="8"/>
      <c r="CV175" s="8"/>
      <c r="CW175" s="8"/>
      <c r="CX175" s="8"/>
      <c r="CY175" s="8"/>
      <c r="CZ175" s="8"/>
      <c r="DA175" s="8"/>
      <c r="DB175" s="8"/>
      <c r="DC175" s="8"/>
    </row>
    <row r="176" spans="1:107" ht="15" hidden="1"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L176" s="57"/>
      <c r="BM176" s="8"/>
      <c r="BN176" s="8"/>
      <c r="BO176" s="8"/>
      <c r="BP176" s="8"/>
      <c r="BT176" s="50"/>
      <c r="BU176" s="8"/>
      <c r="BV176" s="9"/>
      <c r="BW176" s="9"/>
      <c r="BX176" s="8"/>
      <c r="BY176" s="8"/>
      <c r="BZ176" s="8"/>
      <c r="CA176" s="8"/>
      <c r="CB176" s="9"/>
      <c r="CC176" s="8"/>
      <c r="CD176" s="8"/>
      <c r="CE176" s="7"/>
      <c r="CF176" s="7"/>
      <c r="CG176" s="7"/>
      <c r="CH176" s="7"/>
      <c r="CI176" s="7"/>
      <c r="CJ176" s="8"/>
      <c r="CK176" s="8"/>
      <c r="CL176" s="8"/>
      <c r="CM176" s="8"/>
      <c r="CN176" s="8"/>
      <c r="CO176" s="8"/>
      <c r="CP176" s="8"/>
      <c r="CQ176" s="8"/>
      <c r="CR176" s="8"/>
      <c r="CS176" s="8"/>
      <c r="CT176" s="8"/>
      <c r="CU176" s="8"/>
      <c r="CV176" s="8"/>
      <c r="CW176" s="8"/>
      <c r="CX176" s="8"/>
      <c r="CY176" s="8"/>
      <c r="CZ176" s="8"/>
      <c r="DA176" s="8"/>
      <c r="DB176" s="8"/>
      <c r="DC176" s="8"/>
    </row>
    <row r="177" spans="1:107" ht="15" hidden="1"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L177" s="57"/>
      <c r="BM177" s="8"/>
      <c r="BN177" s="8"/>
      <c r="BO177" s="8"/>
      <c r="BP177" s="8"/>
      <c r="BT177" s="50"/>
      <c r="BU177" s="8"/>
      <c r="BV177" s="9"/>
      <c r="BW177" s="9"/>
      <c r="BX177" s="8"/>
      <c r="BY177" s="8"/>
      <c r="BZ177" s="8"/>
      <c r="CA177" s="8"/>
      <c r="CB177" s="24"/>
      <c r="CC177" s="7"/>
      <c r="CD177" s="7"/>
      <c r="CE177" s="7"/>
      <c r="CF177" s="7"/>
      <c r="CG177" s="7"/>
      <c r="CH177" s="7"/>
      <c r="CI177" s="7"/>
      <c r="CJ177" s="8"/>
      <c r="CK177" s="8"/>
      <c r="CL177" s="8"/>
      <c r="CM177" s="8"/>
      <c r="CN177" s="8"/>
      <c r="CO177" s="8"/>
      <c r="CP177" s="8"/>
      <c r="CQ177" s="8"/>
      <c r="CR177" s="8"/>
      <c r="CS177" s="8"/>
      <c r="CT177" s="8"/>
      <c r="CU177" s="8"/>
      <c r="CV177" s="8"/>
      <c r="CW177" s="8"/>
      <c r="CX177" s="8"/>
      <c r="CY177" s="8"/>
      <c r="CZ177" s="8"/>
      <c r="DA177" s="8"/>
      <c r="DB177" s="8"/>
      <c r="DC177" s="8"/>
    </row>
    <row r="178" spans="1:107" ht="15" hidden="1"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L178" s="57"/>
      <c r="BM178" s="8"/>
      <c r="BN178" s="8"/>
      <c r="BO178" s="8"/>
      <c r="BP178" s="8"/>
      <c r="BT178" s="50"/>
      <c r="BU178" s="8"/>
      <c r="BV178" s="9"/>
      <c r="BW178" s="9"/>
      <c r="BX178" s="8"/>
      <c r="BY178" s="8"/>
      <c r="BZ178" s="8"/>
      <c r="CA178" s="8"/>
      <c r="CB178" s="9"/>
      <c r="CC178" s="8"/>
      <c r="CD178" s="8"/>
      <c r="CE178" s="7"/>
      <c r="CF178" s="7"/>
      <c r="CG178" s="7"/>
      <c r="CH178" s="7"/>
      <c r="CI178" s="7"/>
      <c r="CJ178" s="8"/>
      <c r="CK178" s="8"/>
      <c r="CL178" s="8"/>
      <c r="CM178" s="8"/>
      <c r="CN178" s="8"/>
      <c r="CO178" s="8"/>
      <c r="CP178" s="8"/>
      <c r="CQ178" s="8"/>
      <c r="CR178" s="8"/>
      <c r="CS178" s="8"/>
      <c r="CT178" s="8"/>
      <c r="CU178" s="8"/>
      <c r="CV178" s="8"/>
      <c r="CW178" s="8"/>
      <c r="CX178" s="8"/>
      <c r="CY178" s="8"/>
      <c r="CZ178" s="8"/>
      <c r="DA178" s="8"/>
      <c r="DB178" s="8"/>
      <c r="DC178" s="8"/>
    </row>
    <row r="179" spans="1:107" ht="15" hidden="1"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L179" s="57"/>
      <c r="BM179" s="8"/>
      <c r="BN179" s="8"/>
      <c r="BO179" s="8"/>
      <c r="BP179" s="8"/>
      <c r="BT179" s="50"/>
      <c r="BU179" s="8"/>
      <c r="BV179" s="9"/>
      <c r="BW179" s="9"/>
      <c r="BX179" s="8"/>
      <c r="BY179" s="8"/>
      <c r="BZ179" s="8"/>
      <c r="CA179" s="8"/>
      <c r="CB179" s="9"/>
      <c r="CC179" s="8"/>
      <c r="CD179" s="8"/>
      <c r="CE179" s="7"/>
      <c r="CF179" s="7"/>
      <c r="CG179" s="7"/>
      <c r="CH179" s="7"/>
      <c r="CI179" s="7"/>
      <c r="CJ179" s="8"/>
      <c r="CK179" s="8"/>
      <c r="CL179" s="8"/>
      <c r="CM179" s="8"/>
      <c r="CN179" s="8"/>
      <c r="CO179" s="8"/>
      <c r="CP179" s="8"/>
      <c r="CQ179" s="8"/>
      <c r="CR179" s="8"/>
      <c r="CS179" s="8"/>
      <c r="CT179" s="8"/>
      <c r="CU179" s="8"/>
      <c r="CV179" s="8"/>
      <c r="CW179" s="8"/>
      <c r="CX179" s="8"/>
      <c r="CY179" s="8"/>
      <c r="CZ179" s="8"/>
      <c r="DA179" s="8"/>
      <c r="DB179" s="8"/>
      <c r="DC179" s="8"/>
    </row>
    <row r="180" spans="1:107" ht="15" hidden="1"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L180" s="57"/>
      <c r="BM180" s="8"/>
      <c r="BN180" s="8"/>
      <c r="BO180" s="8"/>
      <c r="BP180" s="8"/>
      <c r="BT180" s="50"/>
      <c r="BU180" s="8"/>
      <c r="BV180" s="9"/>
      <c r="BW180" s="9"/>
      <c r="BX180" s="8"/>
      <c r="BY180" s="8"/>
      <c r="BZ180" s="8"/>
      <c r="CA180" s="8"/>
      <c r="CB180" s="9"/>
      <c r="CC180" s="8"/>
      <c r="CD180" s="8"/>
      <c r="CE180" s="7"/>
      <c r="CF180" s="7"/>
      <c r="CG180" s="7"/>
      <c r="CH180" s="7"/>
      <c r="CI180" s="7"/>
      <c r="CJ180" s="8"/>
      <c r="CK180" s="8"/>
      <c r="CL180" s="8"/>
      <c r="CM180" s="8"/>
      <c r="CN180" s="8"/>
      <c r="CO180" s="8"/>
      <c r="CP180" s="8"/>
      <c r="CQ180" s="8"/>
      <c r="CR180" s="8"/>
      <c r="CS180" s="8"/>
      <c r="CT180" s="8"/>
      <c r="CU180" s="8"/>
      <c r="CV180" s="8"/>
      <c r="CW180" s="8"/>
      <c r="CX180" s="8"/>
      <c r="CY180" s="8"/>
      <c r="CZ180" s="8"/>
      <c r="DA180" s="8"/>
      <c r="DB180" s="8"/>
      <c r="DC180" s="8"/>
    </row>
    <row r="181" spans="1:107" ht="15" hidden="1"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L181" s="57"/>
      <c r="BM181" s="8"/>
      <c r="BN181" s="8"/>
      <c r="BO181" s="8"/>
      <c r="BP181" s="8"/>
      <c r="BT181" s="50"/>
      <c r="BU181" s="8"/>
      <c r="BV181" s="9"/>
      <c r="BW181" s="9"/>
      <c r="BX181" s="8"/>
      <c r="BY181" s="8"/>
      <c r="BZ181" s="8"/>
      <c r="CA181" s="8"/>
      <c r="CB181" s="24"/>
      <c r="CC181" s="7"/>
      <c r="CD181" s="7"/>
      <c r="CE181" s="7"/>
      <c r="CF181" s="7"/>
      <c r="CG181" s="7"/>
      <c r="CH181" s="7"/>
      <c r="CI181" s="7"/>
      <c r="CJ181" s="8"/>
      <c r="CK181" s="8"/>
      <c r="CL181" s="8"/>
      <c r="CM181" s="8"/>
      <c r="CN181" s="8"/>
      <c r="CO181" s="8"/>
      <c r="CP181" s="8"/>
      <c r="CQ181" s="8"/>
      <c r="CR181" s="8"/>
      <c r="CS181" s="8"/>
      <c r="CT181" s="8"/>
      <c r="CU181" s="8"/>
      <c r="CV181" s="8"/>
      <c r="CW181" s="8"/>
      <c r="CX181" s="8"/>
      <c r="CY181" s="8"/>
      <c r="CZ181" s="8"/>
      <c r="DA181" s="8"/>
      <c r="DB181" s="8"/>
      <c r="DC181" s="8"/>
    </row>
    <row r="182" spans="1:107" ht="15" hidden="1"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L182" s="57"/>
      <c r="BM182" s="8"/>
      <c r="BN182" s="8"/>
      <c r="BO182" s="8"/>
      <c r="BP182" s="8"/>
      <c r="BT182" s="50"/>
      <c r="BU182" s="8"/>
      <c r="BV182" s="9"/>
      <c r="BW182" s="9"/>
      <c r="BX182" s="8"/>
      <c r="BY182" s="8"/>
      <c r="BZ182" s="8"/>
      <c r="CA182" s="8"/>
      <c r="CB182" s="24"/>
      <c r="CC182" s="7"/>
      <c r="CD182" s="7"/>
      <c r="CE182" s="7"/>
      <c r="CF182" s="7"/>
      <c r="CG182" s="7"/>
      <c r="CH182" s="7"/>
      <c r="CI182" s="7"/>
      <c r="CJ182" s="8"/>
      <c r="CK182" s="8"/>
      <c r="CL182" s="8"/>
      <c r="CM182" s="8"/>
      <c r="CN182" s="8"/>
      <c r="CO182" s="8"/>
      <c r="CP182" s="8"/>
      <c r="CQ182" s="8"/>
      <c r="CR182" s="8"/>
      <c r="CS182" s="8"/>
      <c r="CT182" s="8"/>
      <c r="CU182" s="8"/>
      <c r="CV182" s="8"/>
      <c r="CW182" s="8"/>
      <c r="CX182" s="8"/>
      <c r="CY182" s="8"/>
      <c r="CZ182" s="8"/>
      <c r="DA182" s="8"/>
      <c r="DB182" s="8"/>
      <c r="DC182" s="8"/>
    </row>
    <row r="183" spans="1:107" ht="15" hidden="1"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L183" s="57"/>
      <c r="BM183" s="8"/>
      <c r="BN183" s="8"/>
      <c r="BO183" s="8"/>
      <c r="BP183" s="8"/>
      <c r="BT183" s="50"/>
      <c r="BU183" s="8"/>
      <c r="BV183" s="9"/>
      <c r="BW183" s="9"/>
      <c r="BX183" s="8"/>
      <c r="BY183" s="8"/>
      <c r="BZ183" s="8"/>
      <c r="CA183" s="8"/>
      <c r="CB183" s="24"/>
      <c r="CC183" s="7"/>
      <c r="CD183" s="7"/>
      <c r="CE183" s="7"/>
      <c r="CF183" s="7"/>
      <c r="CG183" s="7"/>
      <c r="CH183" s="7"/>
      <c r="CI183" s="7"/>
      <c r="CJ183" s="8"/>
      <c r="CK183" s="8"/>
      <c r="CL183" s="8"/>
      <c r="CM183" s="8"/>
      <c r="CN183" s="8"/>
      <c r="CO183" s="8"/>
      <c r="CP183" s="8"/>
      <c r="CQ183" s="8"/>
      <c r="CR183" s="8"/>
      <c r="CS183" s="8"/>
      <c r="CT183" s="8"/>
      <c r="CU183" s="8"/>
      <c r="CV183" s="8"/>
      <c r="CW183" s="8"/>
      <c r="CX183" s="8"/>
      <c r="CY183" s="8"/>
      <c r="CZ183" s="8"/>
      <c r="DA183" s="8"/>
      <c r="DB183" s="8"/>
      <c r="DC183" s="8"/>
    </row>
    <row r="184" spans="1:107" ht="15" hidden="1"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L184" s="57"/>
      <c r="BM184" s="8"/>
      <c r="BN184" s="8"/>
      <c r="BO184" s="8"/>
      <c r="BP184" s="8"/>
      <c r="BT184" s="50"/>
      <c r="BU184" s="8"/>
      <c r="BV184" s="9"/>
      <c r="BW184" s="9"/>
      <c r="BX184" s="8"/>
      <c r="BY184" s="8"/>
      <c r="BZ184" s="8"/>
      <c r="CA184" s="8"/>
      <c r="CB184" s="24"/>
      <c r="CC184" s="7"/>
      <c r="CD184" s="7"/>
      <c r="CE184" s="7"/>
      <c r="CF184" s="7"/>
      <c r="CG184" s="7"/>
      <c r="CH184" s="7"/>
      <c r="CI184" s="7"/>
      <c r="CJ184" s="8"/>
      <c r="CK184" s="8"/>
      <c r="CL184" s="8"/>
      <c r="CM184" s="8"/>
      <c r="CN184" s="8"/>
      <c r="CO184" s="8"/>
      <c r="CP184" s="8"/>
      <c r="CQ184" s="8"/>
      <c r="CR184" s="8"/>
      <c r="CS184" s="8"/>
      <c r="CT184" s="8"/>
      <c r="CU184" s="8"/>
      <c r="CV184" s="8"/>
      <c r="CW184" s="8"/>
      <c r="CX184" s="8"/>
      <c r="CY184" s="8"/>
      <c r="CZ184" s="8"/>
      <c r="DA184" s="8"/>
      <c r="DB184" s="8"/>
      <c r="DC184" s="8"/>
    </row>
    <row r="185" spans="1:107" ht="15" hidden="1"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L185" s="57"/>
      <c r="BM185" s="8"/>
      <c r="BN185" s="8"/>
      <c r="BO185" s="8"/>
      <c r="BP185" s="8"/>
      <c r="BT185" s="50"/>
      <c r="BU185" s="8"/>
      <c r="BV185" s="9"/>
      <c r="BW185" s="9"/>
      <c r="BX185" s="8"/>
      <c r="BY185" s="8"/>
      <c r="BZ185" s="8"/>
      <c r="CA185" s="8"/>
      <c r="CB185" s="24"/>
      <c r="CC185" s="7"/>
      <c r="CD185" s="7"/>
      <c r="CE185" s="7"/>
      <c r="CF185" s="7"/>
      <c r="CG185" s="7"/>
      <c r="CH185" s="7"/>
      <c r="CI185" s="7"/>
      <c r="CJ185" s="8"/>
      <c r="CK185" s="8"/>
      <c r="CL185" s="8"/>
      <c r="CM185" s="8"/>
      <c r="CN185" s="8"/>
      <c r="CO185" s="8"/>
      <c r="CP185" s="8"/>
      <c r="CQ185" s="8"/>
      <c r="CR185" s="8"/>
      <c r="CS185" s="8"/>
      <c r="CT185" s="8"/>
      <c r="CU185" s="8"/>
      <c r="CV185" s="8"/>
      <c r="CW185" s="8"/>
      <c r="CX185" s="8"/>
      <c r="CY185" s="8"/>
      <c r="CZ185" s="8"/>
      <c r="DA185" s="8"/>
      <c r="DB185" s="8"/>
      <c r="DC185" s="8"/>
    </row>
    <row r="186" spans="1:107" ht="15" hidden="1"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L186" s="57"/>
      <c r="BM186" s="8"/>
      <c r="BN186" s="8"/>
      <c r="BO186" s="8"/>
      <c r="BP186" s="8"/>
      <c r="BT186" s="50"/>
      <c r="BU186" s="8"/>
      <c r="BV186" s="9"/>
      <c r="BW186" s="9"/>
      <c r="BX186" s="8"/>
      <c r="BY186" s="8"/>
      <c r="BZ186" s="8"/>
      <c r="CA186" s="8"/>
      <c r="CB186" s="24"/>
      <c r="CC186" s="7"/>
      <c r="CD186" s="7"/>
      <c r="CE186" s="7"/>
      <c r="CF186" s="7"/>
      <c r="CG186" s="7"/>
      <c r="CH186" s="7"/>
      <c r="CI186" s="7"/>
      <c r="CJ186" s="8"/>
      <c r="CK186" s="8"/>
      <c r="CL186" s="8"/>
      <c r="CM186" s="8"/>
      <c r="CN186" s="8"/>
      <c r="CO186" s="8"/>
      <c r="CP186" s="8"/>
      <c r="CQ186" s="8"/>
      <c r="CR186" s="8"/>
      <c r="CS186" s="8"/>
      <c r="CT186" s="8"/>
      <c r="CU186" s="8"/>
      <c r="CV186" s="8"/>
      <c r="CW186" s="8"/>
      <c r="CX186" s="8"/>
      <c r="CY186" s="8"/>
      <c r="CZ186" s="8"/>
      <c r="DA186" s="8"/>
      <c r="DB186" s="8"/>
      <c r="DC186" s="8"/>
    </row>
    <row r="187" spans="1:107" ht="15" hidden="1"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L187" s="57"/>
      <c r="BM187" s="8"/>
      <c r="BN187" s="8"/>
      <c r="BO187" s="8"/>
      <c r="BP187" s="8"/>
      <c r="BT187" s="50"/>
      <c r="BU187" s="8"/>
      <c r="BV187" s="9"/>
      <c r="BW187" s="9"/>
      <c r="BX187" s="8"/>
      <c r="BY187" s="8"/>
      <c r="BZ187" s="8"/>
      <c r="CA187" s="8"/>
      <c r="CB187" s="24"/>
      <c r="CC187" s="7"/>
      <c r="CD187" s="7"/>
      <c r="CE187" s="7"/>
      <c r="CF187" s="7"/>
      <c r="CG187" s="7"/>
      <c r="CH187" s="7"/>
      <c r="CI187" s="7"/>
      <c r="CJ187" s="8"/>
      <c r="CK187" s="8"/>
      <c r="CL187" s="8"/>
      <c r="CM187" s="8"/>
      <c r="CN187" s="8"/>
      <c r="CO187" s="8"/>
      <c r="CP187" s="8"/>
      <c r="CQ187" s="8"/>
      <c r="CR187" s="8"/>
      <c r="CS187" s="8"/>
      <c r="CT187" s="8"/>
      <c r="CU187" s="8"/>
      <c r="CV187" s="8"/>
      <c r="CW187" s="8"/>
      <c r="CX187" s="8"/>
      <c r="CY187" s="8"/>
      <c r="CZ187" s="8"/>
      <c r="DA187" s="8"/>
      <c r="DB187" s="8"/>
      <c r="DC187" s="8"/>
    </row>
    <row r="188" spans="1:107" ht="15" hidden="1"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L188" s="57"/>
      <c r="BM188" s="8"/>
      <c r="BN188" s="8"/>
      <c r="BO188" s="8"/>
      <c r="BP188" s="8"/>
      <c r="BT188" s="50"/>
      <c r="BU188" s="8"/>
      <c r="BV188" s="9"/>
      <c r="BW188" s="9"/>
      <c r="BX188" s="8"/>
      <c r="BY188" s="8"/>
      <c r="BZ188" s="8"/>
      <c r="CA188" s="8"/>
      <c r="CB188" s="9"/>
      <c r="CC188" s="8"/>
      <c r="CD188" s="8"/>
      <c r="CE188" s="7"/>
      <c r="CF188" s="7"/>
      <c r="CG188" s="7"/>
      <c r="CH188" s="7"/>
      <c r="CI188" s="7"/>
      <c r="CJ188" s="8"/>
      <c r="CK188" s="8"/>
      <c r="CL188" s="8"/>
      <c r="CM188" s="8"/>
      <c r="CN188" s="8"/>
      <c r="CO188" s="8"/>
      <c r="CP188" s="8"/>
      <c r="CQ188" s="8"/>
      <c r="CR188" s="8"/>
      <c r="CS188" s="8"/>
      <c r="CT188" s="8"/>
      <c r="CU188" s="8"/>
      <c r="CV188" s="8"/>
      <c r="CW188" s="8"/>
      <c r="CX188" s="8"/>
      <c r="CY188" s="8"/>
      <c r="CZ188" s="8"/>
      <c r="DA188" s="8"/>
      <c r="DB188" s="8"/>
      <c r="DC188" s="8"/>
    </row>
    <row r="189" spans="1:107" ht="15" hidden="1"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L189" s="57"/>
      <c r="BM189" s="8"/>
      <c r="BN189" s="8"/>
      <c r="BO189" s="8"/>
      <c r="BP189" s="8"/>
      <c r="BT189" s="50"/>
      <c r="BU189" s="8"/>
      <c r="BV189" s="9"/>
      <c r="BW189" s="9"/>
      <c r="BX189" s="8"/>
      <c r="BY189" s="8"/>
      <c r="BZ189" s="8"/>
      <c r="CA189" s="8"/>
      <c r="CB189" s="9"/>
      <c r="CC189" s="8"/>
      <c r="CD189" s="8"/>
      <c r="CE189" s="7"/>
      <c r="CF189" s="7"/>
      <c r="CG189" s="7"/>
      <c r="CH189" s="7"/>
      <c r="CI189" s="7"/>
      <c r="CJ189" s="8"/>
      <c r="CK189" s="8"/>
      <c r="CL189" s="8"/>
      <c r="CM189" s="8"/>
      <c r="CN189" s="8"/>
      <c r="CO189" s="8"/>
      <c r="CP189" s="8"/>
      <c r="CQ189" s="8"/>
      <c r="CR189" s="8"/>
      <c r="CS189" s="8"/>
      <c r="CT189" s="8"/>
      <c r="CU189" s="8"/>
      <c r="CV189" s="8"/>
      <c r="CW189" s="8"/>
      <c r="CX189" s="8"/>
      <c r="CY189" s="8"/>
      <c r="CZ189" s="8"/>
      <c r="DA189" s="8"/>
      <c r="DB189" s="8"/>
      <c r="DC189" s="8"/>
    </row>
    <row r="190" spans="1:107" ht="15" hidden="1"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L190" s="57"/>
      <c r="BM190" s="8"/>
      <c r="BN190" s="8"/>
      <c r="BO190" s="8"/>
      <c r="BP190" s="8"/>
      <c r="BT190" s="50"/>
      <c r="BU190" s="8"/>
      <c r="BV190" s="9"/>
      <c r="BW190" s="9"/>
      <c r="BX190" s="8"/>
      <c r="BY190" s="8"/>
      <c r="BZ190" s="8"/>
      <c r="CA190" s="8"/>
      <c r="CB190" s="9"/>
      <c r="CC190" s="8"/>
      <c r="CD190" s="8"/>
      <c r="CE190" s="7"/>
      <c r="CF190" s="7"/>
      <c r="CG190" s="7"/>
      <c r="CH190" s="7"/>
      <c r="CI190" s="7"/>
      <c r="CJ190" s="8"/>
      <c r="CK190" s="8"/>
      <c r="CL190" s="8"/>
      <c r="CM190" s="8"/>
      <c r="CN190" s="8"/>
      <c r="CO190" s="8"/>
      <c r="CP190" s="8"/>
      <c r="CQ190" s="8"/>
      <c r="CR190" s="8"/>
      <c r="CS190" s="8"/>
      <c r="CT190" s="8"/>
      <c r="CU190" s="8"/>
      <c r="CV190" s="8"/>
      <c r="CW190" s="8"/>
      <c r="CX190" s="8"/>
      <c r="CY190" s="8"/>
      <c r="CZ190" s="8"/>
      <c r="DA190" s="8"/>
      <c r="DB190" s="8"/>
      <c r="DC190" s="8"/>
    </row>
    <row r="191" spans="1:107" ht="15" hidden="1"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L191" s="57"/>
      <c r="BM191" s="8"/>
      <c r="BN191" s="8"/>
      <c r="BO191" s="8"/>
      <c r="BP191" s="8"/>
      <c r="BT191" s="50"/>
      <c r="BU191" s="8"/>
      <c r="BV191" s="9"/>
      <c r="BW191" s="9"/>
      <c r="BX191" s="8"/>
      <c r="BY191" s="8"/>
      <c r="BZ191" s="8"/>
      <c r="CA191" s="8"/>
      <c r="CB191" s="9"/>
      <c r="CC191" s="8"/>
      <c r="CD191" s="8"/>
      <c r="CE191" s="7"/>
      <c r="CF191" s="7"/>
      <c r="CG191" s="7"/>
      <c r="CH191" s="7"/>
      <c r="CI191" s="7"/>
      <c r="CJ191" s="8"/>
      <c r="CK191" s="8"/>
      <c r="CL191" s="8"/>
      <c r="CM191" s="8"/>
      <c r="CN191" s="8"/>
      <c r="CO191" s="8"/>
      <c r="CP191" s="8"/>
      <c r="CQ191" s="8"/>
      <c r="CR191" s="8"/>
      <c r="CS191" s="8"/>
      <c r="CT191" s="8"/>
      <c r="CU191" s="8"/>
      <c r="CV191" s="8"/>
      <c r="CW191" s="8"/>
      <c r="CX191" s="8"/>
      <c r="CY191" s="8"/>
      <c r="CZ191" s="8"/>
      <c r="DA191" s="8"/>
      <c r="DB191" s="8"/>
      <c r="DC191" s="8"/>
    </row>
    <row r="192" spans="1:107" ht="15" hidden="1"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L192" s="57"/>
      <c r="BM192" s="8"/>
      <c r="BN192" s="8"/>
      <c r="BO192" s="8"/>
      <c r="BP192" s="8"/>
      <c r="BT192" s="50"/>
      <c r="BU192" s="8"/>
      <c r="BV192" s="8"/>
      <c r="BW192" s="9"/>
      <c r="BX192" s="8"/>
      <c r="BY192" s="8"/>
      <c r="BZ192" s="8"/>
      <c r="CA192" s="59"/>
      <c r="CB192" s="7"/>
      <c r="CC192" s="7"/>
      <c r="CD192" s="7"/>
      <c r="CE192" s="7"/>
      <c r="CF192" s="7"/>
      <c r="CG192" s="7"/>
      <c r="CH192" s="7"/>
      <c r="CI192" s="7"/>
      <c r="CJ192" s="8"/>
      <c r="CK192" s="8"/>
      <c r="CL192" s="8"/>
      <c r="CM192" s="8"/>
      <c r="CN192" s="8"/>
      <c r="CO192" s="8"/>
      <c r="CP192" s="8"/>
      <c r="CQ192" s="8"/>
      <c r="CR192" s="8"/>
      <c r="CS192" s="8"/>
      <c r="CT192" s="8"/>
      <c r="CU192" s="8"/>
      <c r="CV192" s="8"/>
      <c r="CW192" s="8"/>
      <c r="CX192" s="8"/>
      <c r="CY192" s="8"/>
      <c r="CZ192" s="8"/>
      <c r="DA192" s="8"/>
      <c r="DB192" s="8"/>
      <c r="DC192" s="8"/>
    </row>
    <row r="193" spans="1:107" ht="15" hidden="1"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L193" s="57"/>
      <c r="BM193" s="8"/>
      <c r="BN193" s="8"/>
      <c r="BO193" s="8"/>
      <c r="BP193" s="8"/>
      <c r="BT193" s="50"/>
      <c r="BU193" s="8"/>
      <c r="BV193" s="9"/>
      <c r="BW193" s="9"/>
      <c r="BX193" s="8"/>
      <c r="BY193" s="8"/>
      <c r="BZ193" s="8"/>
      <c r="CA193" s="8"/>
      <c r="CB193" s="24"/>
      <c r="CC193" s="7"/>
      <c r="CD193" s="7"/>
      <c r="CE193" s="7"/>
      <c r="CF193" s="7"/>
      <c r="CG193" s="7"/>
      <c r="CH193" s="7"/>
      <c r="CI193" s="7"/>
      <c r="CJ193" s="8"/>
      <c r="CK193" s="8"/>
      <c r="CL193" s="8"/>
      <c r="CM193" s="8"/>
      <c r="CN193" s="8"/>
      <c r="CO193" s="8"/>
      <c r="CP193" s="8"/>
      <c r="CQ193" s="8"/>
      <c r="CR193" s="8"/>
      <c r="CS193" s="8"/>
      <c r="CT193" s="8"/>
      <c r="CU193" s="8"/>
      <c r="CV193" s="8"/>
      <c r="CW193" s="8"/>
      <c r="CX193" s="8"/>
      <c r="CY193" s="8"/>
      <c r="CZ193" s="8"/>
      <c r="DA193" s="8"/>
      <c r="DB193" s="8"/>
      <c r="DC193" s="8"/>
    </row>
    <row r="194" spans="1:107" ht="15" hidden="1"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L194" s="57"/>
      <c r="BM194" s="8"/>
      <c r="BN194" s="8"/>
      <c r="BO194" s="8"/>
      <c r="BP194" s="8"/>
      <c r="BT194" s="50"/>
      <c r="BU194" s="8"/>
      <c r="BV194" s="9"/>
      <c r="BW194" s="9"/>
      <c r="BX194" s="8"/>
      <c r="BY194" s="8"/>
      <c r="BZ194" s="8"/>
      <c r="CA194" s="8"/>
      <c r="CB194" s="24"/>
      <c r="CC194" s="7"/>
      <c r="CD194" s="7"/>
      <c r="CE194" s="7"/>
      <c r="CF194" s="7"/>
      <c r="CG194" s="7"/>
      <c r="CH194" s="7"/>
      <c r="CI194" s="7"/>
      <c r="CJ194" s="8"/>
      <c r="CK194" s="8"/>
      <c r="CL194" s="8"/>
      <c r="CM194" s="8"/>
      <c r="CN194" s="8"/>
      <c r="CO194" s="8"/>
      <c r="CP194" s="8"/>
      <c r="CQ194" s="8"/>
      <c r="CR194" s="8"/>
      <c r="CS194" s="8"/>
      <c r="CT194" s="8"/>
      <c r="CU194" s="8"/>
      <c r="CV194" s="8"/>
      <c r="CW194" s="8"/>
      <c r="CX194" s="8"/>
      <c r="CY194" s="8"/>
      <c r="CZ194" s="8"/>
      <c r="DA194" s="8"/>
      <c r="DB194" s="8"/>
      <c r="DC194" s="8"/>
    </row>
    <row r="195" spans="1:107" ht="15" hidden="1"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L195" s="57"/>
      <c r="BM195" s="8"/>
      <c r="BN195" s="8"/>
      <c r="BO195" s="8"/>
      <c r="BP195" s="8"/>
      <c r="BT195" s="50"/>
      <c r="BU195" s="8"/>
      <c r="BV195" s="9"/>
      <c r="BW195" s="9"/>
      <c r="BX195" s="8"/>
      <c r="BY195" s="8"/>
      <c r="BZ195" s="8"/>
      <c r="CA195" s="8"/>
      <c r="CB195" s="24"/>
      <c r="CC195" s="7"/>
      <c r="CD195" s="7"/>
      <c r="CE195" s="7"/>
      <c r="CF195" s="7"/>
      <c r="CG195" s="7"/>
      <c r="CH195" s="7"/>
      <c r="CI195" s="7"/>
      <c r="CJ195" s="8"/>
      <c r="CK195" s="8"/>
      <c r="CL195" s="8"/>
      <c r="CM195" s="8"/>
      <c r="CN195" s="8"/>
      <c r="CO195" s="8"/>
      <c r="CP195" s="8"/>
      <c r="CQ195" s="8"/>
      <c r="CR195" s="8"/>
      <c r="CS195" s="8"/>
      <c r="CT195" s="8"/>
      <c r="CU195" s="8"/>
      <c r="CV195" s="8"/>
      <c r="CW195" s="8"/>
      <c r="CX195" s="8"/>
      <c r="CY195" s="8"/>
      <c r="CZ195" s="8"/>
      <c r="DA195" s="8"/>
      <c r="DB195" s="8"/>
      <c r="DC195" s="8"/>
    </row>
    <row r="196" spans="1:107" ht="15" hidden="1"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L196" s="57"/>
      <c r="BM196" s="8"/>
      <c r="BN196" s="8"/>
      <c r="BO196" s="8"/>
      <c r="BP196" s="8"/>
      <c r="BT196" s="50"/>
      <c r="BU196" s="8"/>
      <c r="BV196" s="9"/>
      <c r="BW196" s="9"/>
      <c r="BX196" s="8"/>
      <c r="BY196" s="8"/>
      <c r="BZ196" s="8"/>
      <c r="CA196" s="8"/>
      <c r="CB196" s="24"/>
      <c r="CC196" s="7"/>
      <c r="CD196" s="7"/>
      <c r="CE196" s="7"/>
      <c r="CF196" s="7"/>
      <c r="CG196" s="7"/>
      <c r="CH196" s="7"/>
      <c r="CI196" s="7"/>
      <c r="CJ196" s="8"/>
      <c r="CK196" s="8"/>
      <c r="CL196" s="8"/>
      <c r="CM196" s="8"/>
      <c r="CN196" s="8"/>
      <c r="CO196" s="8"/>
      <c r="CP196" s="8"/>
      <c r="CQ196" s="8"/>
      <c r="CR196" s="8"/>
      <c r="CS196" s="8"/>
      <c r="CT196" s="8"/>
      <c r="CU196" s="8"/>
      <c r="CV196" s="8"/>
      <c r="CW196" s="8"/>
      <c r="CX196" s="8"/>
      <c r="CY196" s="8"/>
      <c r="CZ196" s="8"/>
      <c r="DA196" s="8"/>
      <c r="DB196" s="8"/>
      <c r="DC196" s="8"/>
    </row>
    <row r="197" spans="1:107" ht="15" hidden="1"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L197" s="57"/>
      <c r="BM197" s="8"/>
      <c r="BN197" s="8"/>
      <c r="BO197" s="8"/>
      <c r="BP197" s="8"/>
      <c r="BT197" s="50"/>
      <c r="BU197" s="8"/>
      <c r="BV197" s="9"/>
      <c r="BW197" s="9"/>
      <c r="BX197" s="8"/>
      <c r="BY197" s="8"/>
      <c r="BZ197" s="8"/>
      <c r="CA197" s="8"/>
      <c r="CB197" s="24"/>
      <c r="CC197" s="7"/>
      <c r="CD197" s="7"/>
      <c r="CE197" s="7"/>
      <c r="CF197" s="7"/>
      <c r="CG197" s="7"/>
      <c r="CH197" s="7"/>
      <c r="CI197" s="7"/>
      <c r="CJ197" s="8"/>
      <c r="CK197" s="8"/>
      <c r="CL197" s="8"/>
      <c r="CM197" s="8"/>
      <c r="CN197" s="8"/>
      <c r="CO197" s="8"/>
      <c r="CP197" s="8"/>
      <c r="CQ197" s="8"/>
      <c r="CR197" s="8"/>
      <c r="CS197" s="8"/>
      <c r="CT197" s="8"/>
      <c r="CU197" s="8"/>
      <c r="CV197" s="8"/>
      <c r="CW197" s="8"/>
      <c r="CX197" s="8"/>
      <c r="CY197" s="8"/>
      <c r="CZ197" s="8"/>
      <c r="DA197" s="8"/>
      <c r="DB197" s="8"/>
      <c r="DC197" s="8"/>
    </row>
    <row r="198" spans="1:107" ht="15" hidden="1"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L198" s="57"/>
      <c r="BM198" s="8"/>
      <c r="BN198" s="8"/>
      <c r="BO198" s="8"/>
      <c r="BP198" s="8"/>
      <c r="BT198" s="50"/>
      <c r="BU198" s="8"/>
      <c r="BV198" s="9"/>
      <c r="BW198" s="9"/>
      <c r="BX198" s="8"/>
      <c r="BY198" s="8"/>
      <c r="BZ198" s="8"/>
      <c r="CA198" s="8"/>
      <c r="CB198" s="9"/>
      <c r="CC198" s="8"/>
      <c r="CD198" s="8"/>
      <c r="CE198" s="7"/>
      <c r="CF198" s="7"/>
      <c r="CG198" s="7"/>
      <c r="CH198" s="7"/>
      <c r="CI198" s="7"/>
      <c r="CJ198" s="8"/>
      <c r="CK198" s="8"/>
      <c r="CL198" s="8"/>
      <c r="CM198" s="8"/>
      <c r="CN198" s="8"/>
      <c r="CO198" s="8"/>
      <c r="CP198" s="8"/>
      <c r="CQ198" s="8"/>
      <c r="CR198" s="8"/>
      <c r="CS198" s="8"/>
      <c r="CT198" s="8"/>
      <c r="CU198" s="8"/>
      <c r="CV198" s="8"/>
      <c r="CW198" s="8"/>
      <c r="CX198" s="8"/>
      <c r="CY198" s="8"/>
      <c r="CZ198" s="8"/>
      <c r="DA198" s="8"/>
      <c r="DB198" s="8"/>
      <c r="DC198" s="8"/>
    </row>
    <row r="199" spans="1:107" ht="15" hidden="1"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L199" s="57"/>
      <c r="BM199" s="8"/>
      <c r="BN199" s="8"/>
      <c r="BO199" s="8"/>
      <c r="BP199" s="8"/>
      <c r="BT199" s="50"/>
      <c r="BU199" s="8"/>
      <c r="BV199" s="9"/>
      <c r="BW199" s="9"/>
      <c r="BX199" s="8"/>
      <c r="BY199" s="8"/>
      <c r="BZ199" s="8"/>
      <c r="CA199" s="8"/>
      <c r="CB199" s="9"/>
      <c r="CC199" s="8"/>
      <c r="CD199" s="8"/>
      <c r="CE199" s="7"/>
      <c r="CF199" s="7"/>
      <c r="CG199" s="7"/>
      <c r="CH199" s="7"/>
      <c r="CI199" s="7"/>
      <c r="CJ199" s="8"/>
      <c r="CK199" s="8"/>
      <c r="CL199" s="8"/>
      <c r="CM199" s="8"/>
      <c r="CN199" s="8"/>
      <c r="CO199" s="8"/>
      <c r="CP199" s="8"/>
      <c r="CQ199" s="8"/>
      <c r="CR199" s="8"/>
      <c r="CS199" s="8"/>
      <c r="CT199" s="8"/>
      <c r="CU199" s="8"/>
      <c r="CV199" s="8"/>
      <c r="CW199" s="8"/>
      <c r="CX199" s="8"/>
      <c r="CY199" s="8"/>
      <c r="CZ199" s="8"/>
      <c r="DA199" s="8"/>
      <c r="DB199" s="8"/>
      <c r="DC199" s="8"/>
    </row>
    <row r="200" spans="1:107" ht="15" hidden="1"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L200" s="57"/>
      <c r="BM200" s="8"/>
      <c r="BN200" s="8"/>
      <c r="BO200" s="8"/>
      <c r="BP200" s="8"/>
      <c r="BT200" s="50"/>
      <c r="BU200" s="8"/>
      <c r="BV200" s="9"/>
      <c r="BW200" s="9"/>
      <c r="BX200" s="8"/>
      <c r="BY200" s="8"/>
      <c r="BZ200" s="8"/>
      <c r="CA200" s="8"/>
      <c r="CB200" s="9"/>
      <c r="CC200" s="8"/>
      <c r="CD200" s="8"/>
      <c r="CE200" s="7"/>
      <c r="CF200" s="7"/>
      <c r="CG200" s="7"/>
      <c r="CH200" s="7"/>
      <c r="CI200" s="7"/>
      <c r="CJ200" s="8"/>
      <c r="CK200" s="8"/>
      <c r="CL200" s="8"/>
      <c r="CM200" s="8"/>
      <c r="CN200" s="8"/>
      <c r="CO200" s="8"/>
      <c r="CP200" s="8"/>
      <c r="CQ200" s="8"/>
      <c r="CR200" s="8"/>
      <c r="CS200" s="8"/>
      <c r="CT200" s="8"/>
      <c r="CU200" s="8"/>
      <c r="CV200" s="8"/>
      <c r="CW200" s="8"/>
      <c r="CX200" s="8"/>
      <c r="CY200" s="8"/>
      <c r="CZ200" s="8"/>
      <c r="DA200" s="8"/>
      <c r="DB200" s="8"/>
      <c r="DC200" s="8"/>
    </row>
    <row r="201" spans="1:107" ht="15" hidden="1"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L201" s="57"/>
      <c r="BM201" s="8"/>
      <c r="BN201" s="8"/>
      <c r="BO201" s="8"/>
      <c r="BP201" s="8"/>
      <c r="BT201" s="50"/>
      <c r="BU201" s="8"/>
      <c r="BV201" s="9"/>
      <c r="BW201" s="9"/>
      <c r="BX201" s="8"/>
      <c r="BY201" s="8"/>
      <c r="BZ201" s="8"/>
      <c r="CA201" s="8"/>
      <c r="CB201" s="9"/>
      <c r="CC201" s="8"/>
      <c r="CD201" s="8"/>
      <c r="CE201" s="7"/>
      <c r="CF201" s="7"/>
      <c r="CG201" s="7"/>
      <c r="CH201" s="7"/>
      <c r="CI201" s="7"/>
      <c r="CJ201" s="8"/>
      <c r="CK201" s="8"/>
      <c r="CL201" s="8"/>
      <c r="CM201" s="8"/>
      <c r="CN201" s="8"/>
      <c r="CO201" s="8"/>
      <c r="CP201" s="8"/>
      <c r="CQ201" s="8"/>
      <c r="CR201" s="8"/>
      <c r="CS201" s="8"/>
      <c r="CT201" s="8"/>
      <c r="CU201" s="8"/>
      <c r="CV201" s="8"/>
      <c r="CW201" s="8"/>
      <c r="CX201" s="8"/>
      <c r="CY201" s="8"/>
      <c r="CZ201" s="8"/>
      <c r="DA201" s="8"/>
      <c r="DB201" s="8"/>
      <c r="DC201" s="8"/>
    </row>
    <row r="202" spans="1:107" ht="15" hidden="1"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L202" s="57"/>
      <c r="BM202" s="8"/>
      <c r="BN202" s="8"/>
      <c r="BO202" s="8"/>
      <c r="BP202" s="8"/>
      <c r="BT202" s="50"/>
      <c r="BU202" s="8"/>
      <c r="BV202" s="9"/>
      <c r="BW202" s="9"/>
      <c r="BX202" s="8"/>
      <c r="BY202" s="8"/>
      <c r="BZ202" s="8"/>
      <c r="CA202" s="8"/>
      <c r="CB202" s="9"/>
      <c r="CC202" s="8"/>
      <c r="CD202" s="8"/>
      <c r="CE202" s="7"/>
      <c r="CF202" s="7"/>
      <c r="CG202" s="7"/>
      <c r="CH202" s="7"/>
      <c r="CI202" s="7"/>
      <c r="CJ202" s="8"/>
      <c r="CK202" s="8"/>
      <c r="CL202" s="8"/>
      <c r="CM202" s="8"/>
      <c r="CN202" s="8"/>
      <c r="CO202" s="8"/>
      <c r="CP202" s="8"/>
      <c r="CQ202" s="8"/>
      <c r="CR202" s="8"/>
      <c r="CS202" s="8"/>
      <c r="CT202" s="8"/>
      <c r="CU202" s="8"/>
      <c r="CV202" s="8"/>
      <c r="CW202" s="8"/>
      <c r="CX202" s="8"/>
      <c r="CY202" s="8"/>
      <c r="CZ202" s="8"/>
      <c r="DA202" s="8"/>
      <c r="DB202" s="8"/>
      <c r="DC202" s="8"/>
    </row>
    <row r="203" spans="1:107" ht="15" hidden="1"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L203" s="57"/>
      <c r="BM203" s="8"/>
      <c r="BN203" s="8"/>
      <c r="BO203" s="8"/>
      <c r="BP203" s="8"/>
      <c r="BT203" s="50"/>
      <c r="BU203" s="8"/>
      <c r="BV203" s="9"/>
      <c r="BW203" s="9"/>
      <c r="BX203" s="8"/>
      <c r="BY203" s="8"/>
      <c r="BZ203" s="8"/>
      <c r="CA203" s="8"/>
      <c r="CB203" s="24"/>
      <c r="CC203" s="7"/>
      <c r="CD203" s="7"/>
      <c r="CE203" s="7"/>
      <c r="CF203" s="7"/>
      <c r="CG203" s="7"/>
      <c r="CH203" s="7"/>
      <c r="CI203" s="7"/>
      <c r="CJ203" s="8"/>
      <c r="CK203" s="8"/>
      <c r="CL203" s="8"/>
      <c r="CM203" s="8"/>
      <c r="CN203" s="8"/>
      <c r="CO203" s="8"/>
      <c r="CP203" s="8"/>
      <c r="CQ203" s="8"/>
      <c r="CR203" s="8"/>
      <c r="CS203" s="8"/>
      <c r="CT203" s="8"/>
      <c r="CU203" s="8"/>
      <c r="CV203" s="8"/>
      <c r="CW203" s="8"/>
      <c r="CX203" s="8"/>
      <c r="CY203" s="8"/>
      <c r="CZ203" s="8"/>
      <c r="DA203" s="8"/>
      <c r="DB203" s="8"/>
      <c r="DC203" s="8"/>
    </row>
    <row r="204" spans="1:107" ht="15" hidden="1"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L204" s="57"/>
      <c r="BM204" s="8"/>
      <c r="BN204" s="8"/>
      <c r="BO204" s="8"/>
      <c r="BP204" s="8"/>
      <c r="BT204" s="50"/>
      <c r="BU204" s="8"/>
      <c r="BV204" s="9"/>
      <c r="BW204" s="9"/>
      <c r="BX204" s="8"/>
      <c r="BY204" s="8"/>
      <c r="BZ204" s="8"/>
      <c r="CA204" s="59"/>
      <c r="CB204" s="7"/>
      <c r="CC204" s="7"/>
      <c r="CD204" s="7"/>
      <c r="CE204" s="7"/>
      <c r="CF204" s="7"/>
      <c r="CG204" s="7"/>
      <c r="CH204" s="7"/>
      <c r="CI204" s="7"/>
      <c r="CJ204" s="8"/>
      <c r="CK204" s="8"/>
      <c r="CL204" s="8"/>
      <c r="CM204" s="8"/>
      <c r="CN204" s="8"/>
      <c r="CO204" s="8"/>
      <c r="CP204" s="8"/>
      <c r="CQ204" s="8"/>
      <c r="CR204" s="8"/>
      <c r="CS204" s="8"/>
      <c r="CT204" s="8"/>
      <c r="CU204" s="8"/>
      <c r="CV204" s="8"/>
      <c r="CW204" s="8"/>
      <c r="CX204" s="8"/>
      <c r="CY204" s="8"/>
      <c r="CZ204" s="8"/>
      <c r="DA204" s="8"/>
      <c r="DB204" s="8"/>
      <c r="DC204" s="8"/>
    </row>
    <row r="205" spans="1:107" ht="15" hidden="1"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L205" s="57"/>
      <c r="BM205" s="8"/>
      <c r="BN205" s="8"/>
      <c r="BO205" s="8"/>
      <c r="BP205" s="8"/>
      <c r="BT205" s="50"/>
      <c r="BU205" s="8"/>
      <c r="BV205" s="9"/>
      <c r="BW205" s="9"/>
      <c r="BX205" s="8"/>
      <c r="BY205" s="8"/>
      <c r="BZ205" s="8"/>
      <c r="CA205" s="8"/>
      <c r="CB205" s="24"/>
      <c r="CC205" s="7"/>
      <c r="CD205" s="7"/>
      <c r="CE205" s="7"/>
      <c r="CF205" s="7"/>
      <c r="CG205" s="7"/>
      <c r="CH205" s="7"/>
      <c r="CI205" s="7"/>
      <c r="CJ205" s="8"/>
      <c r="CK205" s="8"/>
      <c r="CL205" s="8"/>
      <c r="CM205" s="8"/>
      <c r="CN205" s="8"/>
      <c r="CO205" s="8"/>
      <c r="CP205" s="8"/>
      <c r="CQ205" s="8"/>
      <c r="CR205" s="8"/>
      <c r="CS205" s="8"/>
      <c r="CT205" s="8"/>
      <c r="CU205" s="8"/>
      <c r="CV205" s="8"/>
      <c r="CW205" s="8"/>
      <c r="CX205" s="8"/>
      <c r="CY205" s="8"/>
      <c r="CZ205" s="8"/>
      <c r="DA205" s="8"/>
      <c r="DB205" s="8"/>
      <c r="DC205" s="8"/>
    </row>
    <row r="206" spans="1:107" ht="15" hidden="1"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L206" s="57"/>
      <c r="BM206" s="8"/>
      <c r="BN206" s="8"/>
      <c r="BO206" s="8"/>
      <c r="BP206" s="8"/>
      <c r="BT206" s="50"/>
      <c r="BU206" s="8"/>
      <c r="BV206" s="9"/>
      <c r="BW206" s="9"/>
      <c r="BX206" s="8"/>
      <c r="BY206" s="8"/>
      <c r="BZ206" s="8"/>
      <c r="CA206" s="8"/>
      <c r="CB206" s="24"/>
      <c r="CC206" s="7"/>
      <c r="CD206" s="7"/>
      <c r="CE206" s="7"/>
      <c r="CF206" s="7"/>
      <c r="CG206" s="7"/>
      <c r="CH206" s="7"/>
      <c r="CI206" s="7"/>
      <c r="CJ206" s="8"/>
      <c r="CK206" s="8"/>
      <c r="CL206" s="8"/>
      <c r="CM206" s="8"/>
      <c r="CN206" s="8"/>
      <c r="CO206" s="8"/>
      <c r="CP206" s="8"/>
      <c r="CQ206" s="8"/>
      <c r="CR206" s="8"/>
      <c r="CS206" s="8"/>
      <c r="CT206" s="8"/>
      <c r="CU206" s="8"/>
      <c r="CV206" s="8"/>
      <c r="CW206" s="8"/>
      <c r="CX206" s="8"/>
      <c r="CY206" s="8"/>
      <c r="CZ206" s="8"/>
      <c r="DA206" s="8"/>
      <c r="DB206" s="8"/>
      <c r="DC206" s="8"/>
    </row>
    <row r="207" spans="1:107" ht="15" hidden="1"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L207" s="57"/>
      <c r="BM207" s="8"/>
      <c r="BN207" s="8"/>
      <c r="BO207" s="8"/>
      <c r="BP207" s="8"/>
      <c r="BT207" s="50"/>
      <c r="BU207" s="8"/>
      <c r="BV207" s="9"/>
      <c r="BW207" s="9"/>
      <c r="BX207" s="8"/>
      <c r="BY207" s="8"/>
      <c r="BZ207" s="8"/>
      <c r="CA207" s="8"/>
      <c r="CB207" s="24"/>
      <c r="CC207" s="7"/>
      <c r="CD207" s="7"/>
      <c r="CE207" s="7"/>
      <c r="CF207" s="7"/>
      <c r="CG207" s="7"/>
      <c r="CH207" s="7"/>
      <c r="CI207" s="7"/>
      <c r="CJ207" s="8"/>
      <c r="CK207" s="8"/>
      <c r="CL207" s="8"/>
      <c r="CM207" s="8"/>
      <c r="CN207" s="8"/>
      <c r="CO207" s="8"/>
      <c r="CP207" s="8"/>
      <c r="CQ207" s="8"/>
      <c r="CR207" s="8"/>
      <c r="CS207" s="8"/>
      <c r="CT207" s="8"/>
      <c r="CU207" s="8"/>
      <c r="CV207" s="8"/>
      <c r="CW207" s="8"/>
      <c r="CX207" s="8"/>
      <c r="CY207" s="8"/>
      <c r="CZ207" s="8"/>
      <c r="DA207" s="8"/>
      <c r="DB207" s="8"/>
      <c r="DC207" s="8"/>
    </row>
    <row r="208" spans="1:107" ht="15" hidden="1"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L208" s="57"/>
      <c r="BM208" s="8"/>
      <c r="BN208" s="8"/>
      <c r="BO208" s="8"/>
      <c r="BP208" s="8"/>
      <c r="BT208" s="50"/>
      <c r="BU208" s="8"/>
      <c r="BV208" s="9"/>
      <c r="BW208" s="9"/>
      <c r="BX208" s="8"/>
      <c r="BY208" s="8"/>
      <c r="BZ208" s="8"/>
      <c r="CA208" s="8"/>
      <c r="CB208" s="24"/>
      <c r="CC208" s="7"/>
      <c r="CD208" s="7"/>
      <c r="CE208" s="7"/>
      <c r="CF208" s="7"/>
      <c r="CG208" s="7"/>
      <c r="CH208" s="7"/>
      <c r="CI208" s="7"/>
      <c r="CJ208" s="8"/>
      <c r="CK208" s="8"/>
      <c r="CL208" s="8"/>
      <c r="CM208" s="8"/>
      <c r="CN208" s="8"/>
      <c r="CO208" s="8"/>
      <c r="CP208" s="8"/>
      <c r="CQ208" s="8"/>
      <c r="CR208" s="8"/>
      <c r="CS208" s="8"/>
      <c r="CT208" s="8"/>
      <c r="CU208" s="8"/>
      <c r="CV208" s="8"/>
      <c r="CW208" s="8"/>
      <c r="CX208" s="8"/>
      <c r="CY208" s="8"/>
      <c r="CZ208" s="8"/>
      <c r="DA208" s="8"/>
      <c r="DB208" s="8"/>
      <c r="DC208" s="8"/>
    </row>
    <row r="209" spans="1:107" ht="15" hidden="1"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L209" s="57"/>
      <c r="BM209" s="8"/>
      <c r="BN209" s="8"/>
      <c r="BO209" s="8"/>
      <c r="BP209" s="8"/>
      <c r="BT209" s="50"/>
      <c r="BU209" s="8"/>
      <c r="BV209" s="9"/>
      <c r="BW209" s="9"/>
      <c r="BX209" s="8"/>
      <c r="BY209" s="8"/>
      <c r="BZ209" s="8"/>
      <c r="CA209" s="8"/>
      <c r="CB209" s="24"/>
      <c r="CC209" s="7"/>
      <c r="CD209" s="7"/>
      <c r="CE209" s="7"/>
      <c r="CF209" s="7"/>
      <c r="CG209" s="7"/>
      <c r="CH209" s="7"/>
      <c r="CI209" s="7"/>
      <c r="CJ209" s="8"/>
      <c r="CK209" s="8"/>
      <c r="CL209" s="8"/>
      <c r="CM209" s="8"/>
      <c r="CN209" s="8"/>
      <c r="CO209" s="8"/>
      <c r="CP209" s="8"/>
      <c r="CQ209" s="8"/>
      <c r="CR209" s="8"/>
      <c r="CS209" s="8"/>
      <c r="CT209" s="8"/>
      <c r="CU209" s="8"/>
      <c r="CV209" s="8"/>
      <c r="CW209" s="8"/>
      <c r="CX209" s="8"/>
      <c r="CY209" s="8"/>
      <c r="CZ209" s="8"/>
      <c r="DA209" s="8"/>
      <c r="DB209" s="8"/>
      <c r="DC209" s="8"/>
    </row>
    <row r="210" spans="1:107" ht="15" hidden="1"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L210" s="57"/>
      <c r="BM210" s="8"/>
      <c r="BN210" s="8"/>
      <c r="BO210" s="8"/>
      <c r="BP210" s="8"/>
      <c r="BT210" s="50"/>
      <c r="BU210" s="8"/>
      <c r="BV210" s="9"/>
      <c r="BW210" s="9"/>
      <c r="BX210" s="8"/>
      <c r="BY210" s="8"/>
      <c r="BZ210" s="8"/>
      <c r="CA210" s="8"/>
      <c r="CB210" s="9"/>
      <c r="CC210" s="8"/>
      <c r="CD210" s="8"/>
      <c r="CE210" s="7"/>
      <c r="CF210" s="7"/>
      <c r="CG210" s="7"/>
      <c r="CH210" s="7"/>
      <c r="CI210" s="7"/>
      <c r="CJ210" s="8"/>
      <c r="CK210" s="8"/>
      <c r="CL210" s="8"/>
      <c r="CM210" s="8"/>
      <c r="CN210" s="8"/>
      <c r="CO210" s="8"/>
      <c r="CP210" s="8"/>
      <c r="CQ210" s="8"/>
      <c r="CR210" s="8"/>
      <c r="CS210" s="8"/>
      <c r="CT210" s="8"/>
      <c r="CU210" s="8"/>
      <c r="CV210" s="8"/>
      <c r="CW210" s="8"/>
      <c r="CX210" s="8"/>
      <c r="CY210" s="8"/>
      <c r="CZ210" s="8"/>
      <c r="DA210" s="8"/>
      <c r="DB210" s="8"/>
      <c r="DC210" s="8"/>
    </row>
    <row r="211" spans="1:107" ht="15" hidden="1"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L211" s="57"/>
      <c r="BM211" s="8"/>
      <c r="BN211" s="8"/>
      <c r="BO211" s="8"/>
      <c r="BP211" s="8"/>
      <c r="BT211" s="50"/>
      <c r="BU211" s="8"/>
      <c r="BV211" s="9"/>
      <c r="BW211" s="9"/>
      <c r="BX211" s="8"/>
      <c r="BY211" s="8"/>
      <c r="BZ211" s="8"/>
      <c r="CA211" s="8"/>
      <c r="CB211" s="9"/>
      <c r="CC211" s="8"/>
      <c r="CD211" s="8"/>
      <c r="CE211" s="7"/>
      <c r="CF211" s="7"/>
      <c r="CG211" s="7"/>
      <c r="CH211" s="7"/>
      <c r="CI211" s="7"/>
      <c r="CJ211" s="8"/>
      <c r="CK211" s="8"/>
      <c r="CL211" s="8"/>
      <c r="CM211" s="8"/>
      <c r="CN211" s="8"/>
      <c r="CO211" s="8"/>
      <c r="CP211" s="8"/>
      <c r="CQ211" s="8"/>
      <c r="CR211" s="8"/>
      <c r="CS211" s="8"/>
      <c r="CT211" s="8"/>
      <c r="CU211" s="8"/>
      <c r="CV211" s="8"/>
      <c r="CW211" s="8"/>
      <c r="CX211" s="8"/>
      <c r="CY211" s="8"/>
      <c r="CZ211" s="8"/>
      <c r="DA211" s="8"/>
      <c r="DB211" s="8"/>
      <c r="DC211" s="8"/>
    </row>
    <row r="212" spans="1:107" ht="15" hidden="1"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L212" s="57"/>
      <c r="BM212" s="8"/>
      <c r="BN212" s="8"/>
      <c r="BO212" s="8"/>
      <c r="BP212" s="8"/>
      <c r="BT212" s="50"/>
      <c r="BU212" s="8"/>
      <c r="BV212" s="9"/>
      <c r="BW212" s="9"/>
      <c r="BX212" s="8"/>
      <c r="BY212" s="8"/>
      <c r="BZ212" s="8"/>
      <c r="CA212" s="8"/>
      <c r="CB212" s="9"/>
      <c r="CC212" s="8"/>
      <c r="CD212" s="8"/>
      <c r="CE212" s="7"/>
      <c r="CF212" s="7"/>
      <c r="CG212" s="7"/>
      <c r="CH212" s="7"/>
      <c r="CI212" s="7"/>
      <c r="CJ212" s="8"/>
      <c r="CK212" s="8"/>
      <c r="CL212" s="8"/>
      <c r="CM212" s="8"/>
      <c r="CN212" s="8"/>
      <c r="CO212" s="8"/>
      <c r="CP212" s="8"/>
      <c r="CQ212" s="8"/>
      <c r="CR212" s="8"/>
      <c r="CS212" s="8"/>
      <c r="CT212" s="8"/>
      <c r="CU212" s="8"/>
      <c r="CV212" s="8"/>
      <c r="CW212" s="8"/>
      <c r="CX212" s="8"/>
      <c r="CY212" s="8"/>
      <c r="CZ212" s="8"/>
      <c r="DA212" s="8"/>
      <c r="DB212" s="8"/>
      <c r="DC212" s="8"/>
    </row>
    <row r="213" spans="1:107" ht="15" hidden="1"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L213" s="57"/>
      <c r="BM213" s="8"/>
      <c r="BN213" s="8"/>
      <c r="BO213" s="8"/>
      <c r="BP213" s="8"/>
      <c r="BT213" s="50"/>
      <c r="BU213" s="8"/>
      <c r="BV213" s="9"/>
      <c r="BW213" s="9"/>
      <c r="BX213" s="8"/>
      <c r="BY213" s="8"/>
      <c r="BZ213" s="8"/>
      <c r="CA213" s="8"/>
      <c r="CB213" s="9"/>
      <c r="CC213" s="8"/>
      <c r="CD213" s="8"/>
      <c r="CE213" s="7"/>
      <c r="CF213" s="7"/>
      <c r="CG213" s="7"/>
      <c r="CH213" s="7"/>
      <c r="CI213" s="7"/>
      <c r="CJ213" s="8"/>
      <c r="CK213" s="8"/>
      <c r="CL213" s="8"/>
      <c r="CM213" s="8"/>
      <c r="CN213" s="8"/>
      <c r="CO213" s="8"/>
      <c r="CP213" s="8"/>
      <c r="CQ213" s="8"/>
      <c r="CR213" s="8"/>
      <c r="CS213" s="8"/>
      <c r="CT213" s="8"/>
      <c r="CU213" s="8"/>
      <c r="CV213" s="8"/>
      <c r="CW213" s="8"/>
      <c r="CX213" s="8"/>
      <c r="CY213" s="8"/>
      <c r="CZ213" s="8"/>
      <c r="DA213" s="8"/>
      <c r="DB213" s="8"/>
      <c r="DC213" s="8"/>
    </row>
    <row r="214" spans="1:107" ht="15" hidden="1"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L214" s="57"/>
      <c r="BM214" s="8"/>
      <c r="BN214" s="8"/>
      <c r="BO214" s="8"/>
      <c r="BP214" s="8"/>
      <c r="BT214" s="50"/>
      <c r="BU214" s="8"/>
      <c r="BV214" s="9"/>
      <c r="BW214" s="9"/>
      <c r="BX214" s="8"/>
      <c r="BY214" s="8"/>
      <c r="BZ214" s="8"/>
      <c r="CA214" s="8"/>
      <c r="CB214" s="24"/>
      <c r="CC214" s="7"/>
      <c r="CD214" s="7"/>
      <c r="CE214" s="7"/>
      <c r="CF214" s="7"/>
      <c r="CG214" s="7"/>
      <c r="CH214" s="7"/>
      <c r="CI214" s="7"/>
      <c r="CJ214" s="8"/>
      <c r="CK214" s="8"/>
      <c r="CL214" s="8"/>
      <c r="CM214" s="8"/>
      <c r="CN214" s="8"/>
      <c r="CO214" s="8"/>
      <c r="CP214" s="8"/>
      <c r="CQ214" s="8"/>
      <c r="CR214" s="8"/>
      <c r="CS214" s="8"/>
      <c r="CT214" s="8"/>
      <c r="CU214" s="8"/>
      <c r="CV214" s="8"/>
      <c r="CW214" s="8"/>
      <c r="CX214" s="8"/>
      <c r="CY214" s="8"/>
      <c r="CZ214" s="8"/>
      <c r="DA214" s="8"/>
      <c r="DB214" s="8"/>
      <c r="DC214" s="8"/>
    </row>
    <row r="215" spans="1:107" ht="15" hidden="1"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L215" s="57"/>
      <c r="BM215" s="8"/>
      <c r="BN215" s="8"/>
      <c r="BO215" s="8"/>
      <c r="BP215" s="8"/>
      <c r="BT215" s="50"/>
      <c r="BU215" s="8"/>
      <c r="BV215" s="9"/>
      <c r="BW215" s="9"/>
      <c r="BX215" s="8"/>
      <c r="BY215" s="8"/>
      <c r="BZ215" s="8"/>
      <c r="CA215" s="59"/>
      <c r="CB215" s="7"/>
      <c r="CC215" s="7"/>
      <c r="CD215" s="7"/>
      <c r="CE215" s="7"/>
      <c r="CF215" s="7"/>
      <c r="CG215" s="7"/>
      <c r="CH215" s="7"/>
      <c r="CI215" s="7"/>
      <c r="CJ215" s="8"/>
      <c r="CK215" s="8"/>
      <c r="CL215" s="8"/>
      <c r="CM215" s="8"/>
      <c r="CN215" s="8"/>
      <c r="CO215" s="8"/>
      <c r="CP215" s="8"/>
      <c r="CQ215" s="8"/>
      <c r="CR215" s="8"/>
      <c r="CS215" s="8"/>
      <c r="CT215" s="8"/>
      <c r="CU215" s="8"/>
      <c r="CV215" s="8"/>
      <c r="CW215" s="8"/>
      <c r="CX215" s="8"/>
      <c r="CY215" s="8"/>
      <c r="CZ215" s="8"/>
      <c r="DA215" s="8"/>
      <c r="DB215" s="8"/>
      <c r="DC215" s="8"/>
    </row>
    <row r="216" spans="1:107" ht="15" hidden="1"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L216" s="57"/>
      <c r="BM216" s="8"/>
      <c r="BN216" s="8"/>
      <c r="BO216" s="8"/>
      <c r="BP216" s="8"/>
      <c r="BT216" s="50"/>
      <c r="BU216" s="8"/>
      <c r="BV216" s="9"/>
      <c r="BW216" s="9"/>
      <c r="BX216" s="8"/>
      <c r="BY216" s="8"/>
      <c r="BZ216" s="8"/>
      <c r="CA216" s="8"/>
      <c r="CB216" s="24"/>
      <c r="CC216" s="7"/>
      <c r="CD216" s="7"/>
      <c r="CE216" s="7"/>
      <c r="CF216" s="7"/>
      <c r="CG216" s="7"/>
      <c r="CH216" s="7"/>
      <c r="CI216" s="7"/>
      <c r="CJ216" s="8"/>
      <c r="CK216" s="8"/>
      <c r="CL216" s="8"/>
      <c r="CM216" s="8"/>
      <c r="CN216" s="8"/>
      <c r="CO216" s="8"/>
      <c r="CP216" s="8"/>
      <c r="CQ216" s="8"/>
      <c r="CR216" s="8"/>
      <c r="CS216" s="8"/>
      <c r="CT216" s="8"/>
      <c r="CU216" s="8"/>
      <c r="CV216" s="8"/>
      <c r="CW216" s="8"/>
      <c r="CX216" s="8"/>
      <c r="CY216" s="8"/>
      <c r="CZ216" s="8"/>
      <c r="DA216" s="8"/>
      <c r="DB216" s="8"/>
      <c r="DC216" s="8"/>
    </row>
    <row r="217" spans="1:107" ht="15" hidden="1"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L217" s="57"/>
      <c r="BM217" s="8"/>
      <c r="BN217" s="8"/>
      <c r="BO217" s="8"/>
      <c r="BP217" s="8"/>
      <c r="BT217" s="50"/>
      <c r="BU217" s="8"/>
      <c r="BV217" s="9"/>
      <c r="BW217" s="9"/>
      <c r="BX217" s="8"/>
      <c r="BY217" s="8"/>
      <c r="BZ217" s="8"/>
      <c r="CA217" s="8"/>
      <c r="CB217" s="9"/>
      <c r="CC217" s="8"/>
      <c r="CD217" s="8"/>
      <c r="CE217" s="7"/>
      <c r="CF217" s="7"/>
      <c r="CG217" s="7"/>
      <c r="CH217" s="7"/>
      <c r="CI217" s="7"/>
      <c r="CJ217" s="8"/>
      <c r="CK217" s="8"/>
      <c r="CL217" s="8"/>
      <c r="CM217" s="8"/>
      <c r="CN217" s="8"/>
      <c r="CO217" s="8"/>
      <c r="CP217" s="8"/>
      <c r="CQ217" s="8"/>
      <c r="CR217" s="8"/>
      <c r="CS217" s="8"/>
      <c r="CT217" s="8"/>
      <c r="CU217" s="8"/>
      <c r="CV217" s="8"/>
      <c r="CW217" s="8"/>
      <c r="CX217" s="8"/>
      <c r="CY217" s="8"/>
      <c r="CZ217" s="8"/>
      <c r="DA217" s="8"/>
      <c r="DB217" s="8"/>
      <c r="DC217" s="8"/>
    </row>
    <row r="218" spans="1:107" ht="15" hidden="1"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L218" s="57"/>
      <c r="BM218" s="8"/>
      <c r="BN218" s="8"/>
      <c r="BO218" s="8"/>
      <c r="BP218" s="8"/>
      <c r="BT218" s="50"/>
      <c r="BU218" s="8"/>
      <c r="BV218" s="9"/>
      <c r="BW218" s="9"/>
      <c r="BX218" s="8"/>
      <c r="BY218" s="8"/>
      <c r="BZ218" s="8"/>
      <c r="CA218" s="8"/>
      <c r="CB218" s="9"/>
      <c r="CC218" s="8"/>
      <c r="CD218" s="8"/>
      <c r="CE218" s="7"/>
      <c r="CF218" s="7"/>
      <c r="CG218" s="7"/>
      <c r="CH218" s="7"/>
      <c r="CI218" s="7"/>
      <c r="CJ218" s="8"/>
      <c r="CK218" s="8"/>
      <c r="CL218" s="8"/>
      <c r="CM218" s="8"/>
      <c r="CN218" s="8"/>
      <c r="CO218" s="8"/>
      <c r="CP218" s="8"/>
      <c r="CQ218" s="8"/>
      <c r="CR218" s="8"/>
      <c r="CS218" s="8"/>
      <c r="CT218" s="8"/>
      <c r="CU218" s="8"/>
      <c r="CV218" s="8"/>
      <c r="CW218" s="8"/>
      <c r="CX218" s="8"/>
      <c r="CY218" s="8"/>
      <c r="CZ218" s="8"/>
      <c r="DA218" s="8"/>
      <c r="DB218" s="8"/>
      <c r="DC218" s="8"/>
    </row>
    <row r="219" spans="1:107" ht="15" hidden="1"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L219" s="57"/>
      <c r="BM219" s="8"/>
      <c r="BN219" s="8"/>
      <c r="BO219" s="8"/>
      <c r="BP219" s="8"/>
      <c r="BT219" s="50"/>
      <c r="BU219" s="8"/>
      <c r="BV219" s="9"/>
      <c r="BW219" s="9"/>
      <c r="BX219" s="8"/>
      <c r="BY219" s="8"/>
      <c r="BZ219" s="8"/>
      <c r="CA219" s="8"/>
      <c r="CB219" s="9"/>
      <c r="CC219" s="8"/>
      <c r="CD219" s="8"/>
      <c r="CE219" s="7"/>
      <c r="CF219" s="7"/>
      <c r="CG219" s="7"/>
      <c r="CH219" s="7"/>
      <c r="CI219" s="7"/>
      <c r="CJ219" s="8"/>
      <c r="CK219" s="8"/>
      <c r="CL219" s="8"/>
      <c r="CM219" s="8"/>
      <c r="CN219" s="8"/>
      <c r="CO219" s="8"/>
      <c r="CP219" s="8"/>
      <c r="CQ219" s="8"/>
      <c r="CR219" s="8"/>
      <c r="CS219" s="8"/>
      <c r="CT219" s="8"/>
      <c r="CU219" s="8"/>
      <c r="CV219" s="8"/>
      <c r="CW219" s="8"/>
      <c r="CX219" s="8"/>
      <c r="CY219" s="8"/>
      <c r="CZ219" s="8"/>
      <c r="DA219" s="8"/>
      <c r="DB219" s="8"/>
      <c r="DC219" s="8"/>
    </row>
    <row r="220" spans="1:107" ht="15" hidden="1"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L220" s="57"/>
      <c r="BM220" s="8"/>
      <c r="BN220" s="8"/>
      <c r="BO220" s="8"/>
      <c r="BP220" s="8"/>
      <c r="BT220" s="50"/>
      <c r="BU220" s="8"/>
      <c r="BV220" s="9"/>
      <c r="BW220" s="9"/>
      <c r="BX220" s="8"/>
      <c r="BY220" s="8"/>
      <c r="BZ220" s="8"/>
      <c r="CA220" s="8"/>
      <c r="CB220" s="9"/>
      <c r="CC220" s="8"/>
      <c r="CD220" s="8"/>
      <c r="CE220" s="7"/>
      <c r="CF220" s="7"/>
      <c r="CG220" s="7"/>
      <c r="CH220" s="7"/>
      <c r="CI220" s="7"/>
      <c r="CJ220" s="8"/>
      <c r="CK220" s="8"/>
      <c r="CL220" s="8"/>
      <c r="CM220" s="8"/>
      <c r="CN220" s="8"/>
      <c r="CO220" s="8"/>
      <c r="CP220" s="8"/>
      <c r="CQ220" s="8"/>
      <c r="CR220" s="8"/>
      <c r="CS220" s="8"/>
      <c r="CT220" s="8"/>
      <c r="CU220" s="8"/>
      <c r="CV220" s="8"/>
      <c r="CW220" s="8"/>
      <c r="CX220" s="8"/>
      <c r="CY220" s="8"/>
      <c r="CZ220" s="8"/>
      <c r="DA220" s="8"/>
      <c r="DB220" s="8"/>
      <c r="DC220" s="8"/>
    </row>
    <row r="221" spans="1:107" ht="15" hidden="1"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L221" s="57"/>
      <c r="BM221" s="8"/>
      <c r="BN221" s="8"/>
      <c r="BO221" s="8"/>
      <c r="BP221" s="8"/>
      <c r="BT221" s="50"/>
      <c r="BU221" s="8"/>
      <c r="BV221" s="9"/>
      <c r="BW221" s="9"/>
      <c r="BX221" s="8"/>
      <c r="BY221" s="8"/>
      <c r="BZ221" s="8"/>
      <c r="CA221" s="8"/>
      <c r="CB221" s="9"/>
      <c r="CC221" s="8"/>
      <c r="CD221" s="8"/>
      <c r="CE221" s="7"/>
      <c r="CF221" s="7"/>
      <c r="CG221" s="7"/>
      <c r="CH221" s="7"/>
      <c r="CI221" s="7"/>
      <c r="CJ221" s="8"/>
      <c r="CK221" s="8"/>
      <c r="CL221" s="8"/>
      <c r="CM221" s="8"/>
      <c r="CN221" s="8"/>
      <c r="CO221" s="8"/>
      <c r="CP221" s="8"/>
      <c r="CQ221" s="8"/>
      <c r="CR221" s="8"/>
      <c r="CS221" s="8"/>
      <c r="CT221" s="8"/>
      <c r="CU221" s="8"/>
      <c r="CV221" s="8"/>
      <c r="CW221" s="8"/>
      <c r="CX221" s="8"/>
      <c r="CY221" s="8"/>
      <c r="CZ221" s="8"/>
      <c r="DA221" s="8"/>
      <c r="DB221" s="8"/>
      <c r="DC221" s="8"/>
    </row>
    <row r="222" spans="1:107" ht="15" hidden="1"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L222" s="57"/>
      <c r="BM222" s="8"/>
      <c r="BN222" s="8"/>
      <c r="BO222" s="8"/>
      <c r="BP222" s="8"/>
      <c r="BT222" s="50"/>
      <c r="BU222" s="8"/>
      <c r="BV222" s="9"/>
      <c r="BW222" s="9"/>
      <c r="BX222" s="8"/>
      <c r="BY222" s="8"/>
      <c r="BZ222" s="8"/>
      <c r="CA222" s="8"/>
      <c r="CB222" s="9"/>
      <c r="CC222" s="8"/>
      <c r="CD222" s="8"/>
      <c r="CE222" s="7"/>
      <c r="CF222" s="7"/>
      <c r="CG222" s="7"/>
      <c r="CH222" s="7"/>
      <c r="CI222" s="7"/>
      <c r="CJ222" s="8"/>
      <c r="CK222" s="8"/>
      <c r="CL222" s="8"/>
      <c r="CM222" s="8"/>
      <c r="CN222" s="8"/>
      <c r="CO222" s="8"/>
      <c r="CP222" s="8"/>
      <c r="CQ222" s="8"/>
      <c r="CR222" s="8"/>
      <c r="CS222" s="8"/>
      <c r="CT222" s="8"/>
      <c r="CU222" s="8"/>
      <c r="CV222" s="8"/>
      <c r="CW222" s="8"/>
      <c r="CX222" s="8"/>
      <c r="CY222" s="8"/>
      <c r="CZ222" s="8"/>
      <c r="DA222" s="8"/>
      <c r="DB222" s="8"/>
      <c r="DC222" s="8"/>
    </row>
    <row r="223" spans="1:107" ht="15" hidden="1"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L223" s="8"/>
      <c r="BN223" s="8"/>
      <c r="BO223" s="8"/>
      <c r="BP223" s="8"/>
      <c r="BT223" s="50"/>
      <c r="BU223" s="8"/>
      <c r="BV223" s="9"/>
      <c r="BW223" s="9"/>
      <c r="BX223" s="8"/>
      <c r="BY223" s="8"/>
      <c r="BZ223" s="8"/>
      <c r="CA223" s="8"/>
      <c r="CB223" s="9"/>
      <c r="CC223" s="8"/>
      <c r="CD223" s="8"/>
      <c r="CE223" s="7"/>
      <c r="CF223" s="7"/>
      <c r="CG223" s="7"/>
      <c r="CH223" s="7"/>
      <c r="CI223" s="7"/>
      <c r="CJ223" s="8"/>
      <c r="CK223" s="8"/>
      <c r="CL223" s="8"/>
      <c r="CM223" s="8"/>
      <c r="CN223" s="8"/>
      <c r="CO223" s="8"/>
      <c r="CP223" s="8"/>
      <c r="CQ223" s="8"/>
      <c r="CR223" s="8"/>
      <c r="CS223" s="8"/>
      <c r="CT223" s="8"/>
      <c r="CU223" s="8"/>
      <c r="CV223" s="8"/>
      <c r="CW223" s="8"/>
      <c r="CX223" s="8"/>
      <c r="CY223" s="8"/>
      <c r="CZ223" s="8"/>
      <c r="DA223" s="8"/>
      <c r="DB223" s="8"/>
      <c r="DC223" s="8"/>
    </row>
    <row r="224" spans="1:107" ht="15" hidden="1"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L224" s="8"/>
      <c r="BN224" s="8"/>
      <c r="BO224" s="8"/>
      <c r="BP224" s="8"/>
      <c r="BT224" s="50"/>
      <c r="BU224" s="8"/>
      <c r="BV224" s="9"/>
      <c r="BW224" s="9"/>
      <c r="BX224" s="8"/>
      <c r="BY224" s="8"/>
      <c r="BZ224" s="8"/>
      <c r="CA224" s="8"/>
      <c r="CB224" s="9"/>
      <c r="CC224" s="8"/>
      <c r="CD224" s="8"/>
      <c r="CE224" s="7"/>
      <c r="CF224" s="7"/>
      <c r="CG224" s="7"/>
      <c r="CH224" s="7"/>
      <c r="CI224" s="7"/>
      <c r="CJ224" s="8"/>
      <c r="CK224" s="8"/>
      <c r="CL224" s="8"/>
      <c r="CM224" s="8"/>
      <c r="CN224" s="8"/>
      <c r="CO224" s="8"/>
      <c r="CP224" s="8"/>
      <c r="CQ224" s="8"/>
      <c r="CR224" s="8"/>
      <c r="CS224" s="8"/>
      <c r="CT224" s="8"/>
      <c r="CU224" s="8"/>
      <c r="CV224" s="8"/>
      <c r="CW224" s="8"/>
      <c r="CX224" s="8"/>
      <c r="CY224" s="8"/>
      <c r="CZ224" s="8"/>
      <c r="DA224" s="8"/>
      <c r="DB224" s="8"/>
      <c r="DC224" s="8"/>
    </row>
    <row r="225" spans="1:107" ht="15" hidden="1"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L225" s="8"/>
      <c r="BN225" s="8"/>
      <c r="BO225" s="8"/>
      <c r="BP225" s="8"/>
      <c r="BT225" s="50"/>
      <c r="BU225" s="8"/>
      <c r="BV225" s="9"/>
      <c r="BW225" s="9"/>
      <c r="BX225" s="8"/>
      <c r="BY225" s="8"/>
      <c r="BZ225" s="8"/>
      <c r="CA225" s="8"/>
      <c r="CB225" s="24"/>
      <c r="CC225" s="7"/>
      <c r="CD225" s="7"/>
      <c r="CE225" s="7"/>
      <c r="CF225" s="7"/>
      <c r="CG225" s="7"/>
      <c r="CH225" s="7"/>
      <c r="CI225" s="7"/>
      <c r="CJ225" s="8"/>
      <c r="CK225" s="8"/>
      <c r="CL225" s="8"/>
      <c r="CM225" s="8"/>
      <c r="CN225" s="8"/>
      <c r="CO225" s="8"/>
      <c r="CP225" s="8"/>
      <c r="CQ225" s="8"/>
      <c r="CR225" s="8"/>
      <c r="CS225" s="8"/>
      <c r="CT225" s="8"/>
      <c r="CU225" s="8"/>
      <c r="CV225" s="8"/>
      <c r="CW225" s="8"/>
      <c r="CX225" s="8"/>
      <c r="CY225" s="8"/>
      <c r="CZ225" s="8"/>
      <c r="DA225" s="8"/>
      <c r="DB225" s="8"/>
      <c r="DC225" s="8"/>
    </row>
    <row r="226" spans="1:107" ht="15" hidden="1"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L226" s="8"/>
      <c r="BN226" s="8"/>
      <c r="BO226" s="8"/>
      <c r="BP226" s="8"/>
      <c r="BT226" s="50"/>
      <c r="BU226" s="8"/>
      <c r="BV226" s="9"/>
      <c r="BW226" s="9"/>
      <c r="BX226" s="8"/>
      <c r="BY226" s="8"/>
      <c r="BZ226" s="8"/>
      <c r="CA226" s="8"/>
      <c r="CB226" s="24"/>
      <c r="CC226" s="7"/>
      <c r="CD226" s="7"/>
      <c r="CE226" s="7"/>
      <c r="CF226" s="7"/>
      <c r="CG226" s="7"/>
      <c r="CH226" s="7"/>
      <c r="CI226" s="7"/>
      <c r="CJ226" s="8"/>
      <c r="CK226" s="8"/>
      <c r="CL226" s="8"/>
      <c r="CM226" s="8"/>
      <c r="CN226" s="8"/>
      <c r="CO226" s="8"/>
      <c r="CP226" s="8"/>
      <c r="CQ226" s="8"/>
      <c r="CR226" s="8"/>
      <c r="CS226" s="8"/>
      <c r="CT226" s="8"/>
      <c r="CU226" s="8"/>
      <c r="CV226" s="8"/>
      <c r="CW226" s="8"/>
      <c r="CX226" s="8"/>
      <c r="CY226" s="8"/>
      <c r="CZ226" s="8"/>
      <c r="DA226" s="8"/>
      <c r="DB226" s="8"/>
      <c r="DC226" s="8"/>
    </row>
    <row r="227" spans="1:107" ht="15" hidden="1"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L227" s="8"/>
      <c r="BN227" s="8"/>
      <c r="BO227" s="8"/>
      <c r="BP227" s="8"/>
      <c r="BT227" s="50"/>
      <c r="BU227" s="8"/>
      <c r="BV227" s="9"/>
      <c r="BW227" s="9"/>
      <c r="BX227" s="8"/>
      <c r="BY227" s="8"/>
      <c r="BZ227" s="8"/>
      <c r="CA227" s="8"/>
      <c r="CB227" s="24"/>
      <c r="CC227" s="7"/>
      <c r="CD227" s="7"/>
      <c r="CE227" s="7"/>
      <c r="CF227" s="7"/>
      <c r="CG227" s="7"/>
      <c r="CH227" s="7"/>
      <c r="CI227" s="7"/>
      <c r="CJ227" s="8"/>
      <c r="CK227" s="8"/>
      <c r="CL227" s="8"/>
      <c r="CM227" s="8"/>
      <c r="CN227" s="8"/>
      <c r="CO227" s="8"/>
      <c r="CP227" s="8"/>
      <c r="CQ227" s="8"/>
      <c r="CR227" s="8"/>
      <c r="CS227" s="8"/>
      <c r="CT227" s="8"/>
      <c r="CU227" s="8"/>
      <c r="CV227" s="8"/>
      <c r="CW227" s="8"/>
      <c r="CX227" s="8"/>
      <c r="CY227" s="8"/>
      <c r="CZ227" s="8"/>
      <c r="DA227" s="8"/>
      <c r="DB227" s="8"/>
      <c r="DC227" s="8"/>
    </row>
    <row r="228" spans="1:107" ht="15" hidden="1"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L228" s="8"/>
      <c r="BN228" s="8"/>
      <c r="BO228" s="8"/>
      <c r="BP228" s="8"/>
      <c r="BT228" s="50"/>
      <c r="BU228" s="8"/>
      <c r="BV228" s="9"/>
      <c r="BW228" s="9"/>
      <c r="BX228" s="8"/>
      <c r="BY228" s="8"/>
      <c r="BZ228" s="8"/>
      <c r="CA228" s="8"/>
      <c r="CB228" s="24"/>
      <c r="CC228" s="7"/>
      <c r="CD228" s="7"/>
      <c r="CE228" s="7"/>
      <c r="CF228" s="7"/>
      <c r="CG228" s="7"/>
      <c r="CH228" s="7"/>
      <c r="CI228" s="7"/>
      <c r="CJ228" s="8"/>
      <c r="CK228" s="8"/>
      <c r="CL228" s="8"/>
      <c r="CM228" s="8"/>
      <c r="CN228" s="8"/>
      <c r="CO228" s="8"/>
      <c r="CP228" s="8"/>
      <c r="CQ228" s="8"/>
      <c r="CR228" s="8"/>
      <c r="CS228" s="8"/>
      <c r="CT228" s="8"/>
      <c r="CU228" s="8"/>
      <c r="CV228" s="8"/>
      <c r="CW228" s="8"/>
      <c r="CX228" s="8"/>
      <c r="CY228" s="8"/>
      <c r="CZ228" s="8"/>
      <c r="DA228" s="8"/>
      <c r="DB228" s="8"/>
      <c r="DC228" s="8"/>
    </row>
    <row r="229" spans="1:107" ht="15" hidden="1"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L229" s="8"/>
      <c r="BN229" s="8"/>
      <c r="BO229" s="8"/>
      <c r="BP229" s="8"/>
      <c r="BT229" s="50"/>
      <c r="BU229" s="8"/>
      <c r="BV229" s="9"/>
      <c r="BW229" s="9"/>
      <c r="BX229" s="8"/>
      <c r="BY229" s="8"/>
      <c r="BZ229" s="8"/>
      <c r="CA229" s="59"/>
      <c r="CB229" s="7"/>
      <c r="CC229" s="7"/>
      <c r="CD229" s="7"/>
      <c r="CE229" s="7"/>
      <c r="CF229" s="7"/>
      <c r="CG229" s="7"/>
      <c r="CH229" s="7"/>
      <c r="CI229" s="7"/>
      <c r="CJ229" s="8"/>
      <c r="CK229" s="8"/>
      <c r="CL229" s="8"/>
      <c r="CM229" s="8"/>
      <c r="CN229" s="8"/>
      <c r="CO229" s="8"/>
      <c r="CP229" s="8"/>
      <c r="CQ229" s="8"/>
      <c r="CR229" s="8"/>
      <c r="CS229" s="8"/>
      <c r="CT229" s="8"/>
      <c r="CU229" s="8"/>
      <c r="CV229" s="8"/>
      <c r="CW229" s="8"/>
      <c r="CX229" s="8"/>
      <c r="CY229" s="8"/>
      <c r="CZ229" s="8"/>
      <c r="DA229" s="8"/>
      <c r="DB229" s="8"/>
      <c r="DC229" s="8"/>
    </row>
    <row r="230" spans="1:107" ht="15" hidden="1"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L230" s="8"/>
      <c r="BN230" s="8"/>
      <c r="BO230" s="8"/>
      <c r="BP230" s="8"/>
      <c r="BT230" s="50"/>
      <c r="BU230" s="8"/>
      <c r="BV230" s="9"/>
      <c r="BW230" s="9"/>
      <c r="BX230" s="8"/>
      <c r="BY230" s="8"/>
      <c r="BZ230" s="8"/>
      <c r="CA230" s="8"/>
      <c r="CB230" s="24"/>
      <c r="CC230" s="7"/>
      <c r="CD230" s="7"/>
      <c r="CE230" s="7"/>
      <c r="CF230" s="7"/>
      <c r="CG230" s="7"/>
      <c r="CH230" s="7"/>
      <c r="CI230" s="7"/>
      <c r="CJ230" s="8"/>
      <c r="CK230" s="8"/>
      <c r="CL230" s="8"/>
      <c r="CM230" s="8"/>
      <c r="CN230" s="8"/>
      <c r="CO230" s="8"/>
      <c r="CP230" s="8"/>
      <c r="CQ230" s="8"/>
      <c r="CR230" s="8"/>
      <c r="CS230" s="8"/>
      <c r="CT230" s="8"/>
      <c r="CU230" s="8"/>
      <c r="CV230" s="8"/>
      <c r="CW230" s="8"/>
      <c r="CX230" s="8"/>
      <c r="CY230" s="8"/>
      <c r="CZ230" s="8"/>
      <c r="DA230" s="8"/>
      <c r="DB230" s="8"/>
      <c r="DC230" s="8"/>
    </row>
    <row r="231" spans="1:107" ht="15" hidden="1"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L231" s="8"/>
      <c r="BN231" s="8"/>
      <c r="BO231" s="8"/>
      <c r="BP231" s="8"/>
      <c r="BT231" s="50"/>
      <c r="BU231" s="8"/>
      <c r="BV231" s="9"/>
      <c r="BW231" s="9"/>
      <c r="BX231" s="8"/>
      <c r="BY231" s="8"/>
      <c r="BZ231" s="8"/>
      <c r="CA231" s="8"/>
      <c r="CB231" s="9"/>
      <c r="CC231" s="8"/>
      <c r="CD231" s="8"/>
      <c r="CE231" s="7"/>
      <c r="CF231" s="7"/>
      <c r="CG231" s="7"/>
      <c r="CH231" s="7"/>
      <c r="CI231" s="7"/>
      <c r="CJ231" s="8"/>
      <c r="CK231" s="8"/>
      <c r="CL231" s="8"/>
      <c r="CM231" s="8"/>
      <c r="CN231" s="8"/>
      <c r="CO231" s="8"/>
      <c r="CP231" s="8"/>
      <c r="CQ231" s="8"/>
      <c r="CR231" s="8"/>
      <c r="CS231" s="8"/>
      <c r="CT231" s="8"/>
      <c r="CU231" s="8"/>
      <c r="CV231" s="8"/>
      <c r="CW231" s="8"/>
      <c r="CX231" s="8"/>
      <c r="CY231" s="8"/>
      <c r="CZ231" s="8"/>
      <c r="DA231" s="8"/>
      <c r="DB231" s="8"/>
      <c r="DC231" s="8"/>
    </row>
    <row r="232" spans="1:107" ht="15" hidden="1"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L232" s="8"/>
      <c r="BN232" s="8"/>
      <c r="BO232" s="8"/>
      <c r="BP232" s="8"/>
      <c r="BT232" s="50"/>
      <c r="BU232" s="8"/>
      <c r="BV232" s="9"/>
      <c r="BW232" s="9"/>
      <c r="BX232" s="8"/>
      <c r="BY232" s="8"/>
      <c r="BZ232" s="8"/>
      <c r="CA232" s="8"/>
      <c r="CB232" s="9"/>
      <c r="CC232" s="8"/>
      <c r="CD232" s="8"/>
      <c r="CE232" s="7"/>
      <c r="CF232" s="7"/>
      <c r="CG232" s="7"/>
      <c r="CH232" s="7"/>
      <c r="CI232" s="7"/>
      <c r="CJ232" s="8"/>
      <c r="CK232" s="8"/>
      <c r="CL232" s="8"/>
      <c r="CM232" s="8"/>
      <c r="CN232" s="8"/>
      <c r="CO232" s="8"/>
      <c r="CP232" s="8"/>
      <c r="CQ232" s="8"/>
      <c r="CR232" s="8"/>
      <c r="CS232" s="8"/>
      <c r="CT232" s="8"/>
      <c r="CU232" s="8"/>
      <c r="CV232" s="8"/>
      <c r="CW232" s="8"/>
      <c r="CX232" s="8"/>
      <c r="CY232" s="8"/>
      <c r="CZ232" s="8"/>
      <c r="DA232" s="8"/>
      <c r="DB232" s="8"/>
      <c r="DC232" s="8"/>
    </row>
    <row r="233" spans="1:107" ht="15" hidden="1"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L233" s="8"/>
      <c r="BN233" s="8"/>
      <c r="BO233" s="8"/>
      <c r="BP233" s="8"/>
      <c r="BT233" s="50"/>
      <c r="BU233" s="8"/>
      <c r="BV233" s="9"/>
      <c r="BW233" s="9"/>
      <c r="BX233" s="8"/>
      <c r="BY233" s="8"/>
      <c r="BZ233" s="8"/>
      <c r="CA233" s="8"/>
      <c r="CB233" s="9"/>
      <c r="CC233" s="8"/>
      <c r="CD233" s="8"/>
      <c r="CE233" s="7"/>
      <c r="CF233" s="7"/>
      <c r="CG233" s="7"/>
      <c r="CH233" s="7"/>
      <c r="CI233" s="7"/>
      <c r="CJ233" s="8"/>
      <c r="CK233" s="8"/>
      <c r="CL233" s="8"/>
      <c r="CM233" s="8"/>
      <c r="CN233" s="8"/>
      <c r="CO233" s="8"/>
      <c r="CP233" s="8"/>
      <c r="CQ233" s="8"/>
      <c r="CR233" s="8"/>
      <c r="CS233" s="8"/>
      <c r="CT233" s="8"/>
      <c r="CU233" s="8"/>
      <c r="CV233" s="8"/>
      <c r="CW233" s="8"/>
      <c r="CX233" s="8"/>
      <c r="CY233" s="8"/>
      <c r="CZ233" s="8"/>
      <c r="DA233" s="8"/>
      <c r="DB233" s="8"/>
      <c r="DC233" s="8"/>
    </row>
    <row r="234" spans="1:107" ht="15" hidden="1"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L234" s="8"/>
      <c r="BN234" s="8"/>
      <c r="BO234" s="8"/>
      <c r="BP234" s="8"/>
      <c r="BT234" s="50"/>
      <c r="BU234" s="8"/>
      <c r="BV234" s="9"/>
      <c r="BW234" s="9"/>
      <c r="BX234" s="8"/>
      <c r="BY234" s="8"/>
      <c r="BZ234" s="8"/>
      <c r="CA234" s="8"/>
      <c r="CB234" s="9"/>
      <c r="CC234" s="8"/>
      <c r="CD234" s="8"/>
      <c r="CE234" s="7"/>
      <c r="CF234" s="7"/>
      <c r="CG234" s="7"/>
      <c r="CH234" s="7"/>
      <c r="CI234" s="7"/>
      <c r="CJ234" s="8"/>
      <c r="CK234" s="8"/>
      <c r="CL234" s="8"/>
      <c r="CM234" s="8"/>
      <c r="CN234" s="8"/>
      <c r="CO234" s="8"/>
      <c r="CP234" s="8"/>
      <c r="CQ234" s="8"/>
      <c r="CR234" s="8"/>
      <c r="CS234" s="8"/>
      <c r="CT234" s="8"/>
      <c r="CU234" s="8"/>
      <c r="CV234" s="8"/>
      <c r="CW234" s="8"/>
      <c r="CX234" s="8"/>
      <c r="CY234" s="8"/>
      <c r="CZ234" s="8"/>
      <c r="DA234" s="8"/>
      <c r="DB234" s="8"/>
      <c r="DC234" s="8"/>
    </row>
    <row r="235" spans="1:107" ht="15" hidden="1"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L235" s="8"/>
      <c r="BN235" s="8"/>
      <c r="BO235" s="8"/>
      <c r="BP235" s="8"/>
      <c r="BT235" s="50"/>
      <c r="BU235" s="8"/>
      <c r="BV235" s="9"/>
      <c r="BW235" s="9"/>
      <c r="BX235" s="8"/>
      <c r="BY235" s="8"/>
      <c r="BZ235" s="8"/>
      <c r="CA235" s="8"/>
      <c r="CB235" s="9"/>
      <c r="CC235" s="8"/>
      <c r="CD235" s="8"/>
      <c r="CE235" s="7"/>
      <c r="CF235" s="7"/>
      <c r="CG235" s="7"/>
      <c r="CH235" s="7"/>
      <c r="CI235" s="7"/>
      <c r="CJ235" s="8"/>
      <c r="CK235" s="8"/>
      <c r="CL235" s="8"/>
      <c r="CM235" s="8"/>
      <c r="CN235" s="8"/>
      <c r="CO235" s="8"/>
      <c r="CP235" s="8"/>
      <c r="CQ235" s="8"/>
      <c r="CR235" s="8"/>
      <c r="CS235" s="8"/>
      <c r="CT235" s="8"/>
      <c r="CU235" s="8"/>
      <c r="CV235" s="8"/>
      <c r="CW235" s="8"/>
      <c r="CX235" s="8"/>
      <c r="CY235" s="8"/>
      <c r="CZ235" s="8"/>
      <c r="DA235" s="8"/>
      <c r="DB235" s="8"/>
      <c r="DC235" s="8"/>
    </row>
    <row r="236" spans="1:107" ht="15" hidden="1"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L236" s="8"/>
      <c r="BN236" s="8"/>
      <c r="BO236" s="8"/>
      <c r="BP236" s="8"/>
      <c r="BT236" s="50"/>
      <c r="BU236" s="8"/>
      <c r="BV236" s="9"/>
      <c r="BW236" s="9"/>
      <c r="BX236" s="8"/>
      <c r="BY236" s="8"/>
      <c r="BZ236" s="8"/>
      <c r="CA236" s="8"/>
      <c r="CB236" s="24"/>
      <c r="CC236" s="7"/>
      <c r="CD236" s="7"/>
      <c r="CE236" s="7"/>
      <c r="CF236" s="7"/>
      <c r="CG236" s="7"/>
      <c r="CH236" s="7"/>
      <c r="CI236" s="7"/>
      <c r="CJ236" s="8"/>
      <c r="CK236" s="8"/>
      <c r="CL236" s="8"/>
      <c r="CM236" s="8"/>
      <c r="CN236" s="8"/>
      <c r="CO236" s="8"/>
      <c r="CP236" s="8"/>
      <c r="CQ236" s="8"/>
      <c r="CR236" s="8"/>
      <c r="CS236" s="8"/>
      <c r="CT236" s="8"/>
      <c r="CU236" s="8"/>
      <c r="CV236" s="8"/>
      <c r="CW236" s="8"/>
      <c r="CX236" s="8"/>
      <c r="CY236" s="8"/>
      <c r="CZ236" s="8"/>
      <c r="DA236" s="8"/>
      <c r="DB236" s="8"/>
      <c r="DC236" s="8"/>
    </row>
    <row r="237" spans="1:107" ht="15" hidden="1"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L237" s="8"/>
      <c r="BN237" s="8"/>
      <c r="BO237" s="8"/>
      <c r="BP237" s="8"/>
      <c r="BT237" s="50"/>
      <c r="BU237" s="8"/>
      <c r="BV237" s="9"/>
      <c r="BW237" s="9"/>
      <c r="BX237" s="8"/>
      <c r="BY237" s="8"/>
      <c r="BZ237" s="8"/>
      <c r="CA237" s="8"/>
      <c r="CB237" s="24"/>
      <c r="CC237" s="7"/>
      <c r="CD237" s="7"/>
      <c r="CE237" s="7"/>
      <c r="CF237" s="7"/>
      <c r="CG237" s="7"/>
      <c r="CH237" s="7"/>
      <c r="CI237" s="7"/>
      <c r="CJ237" s="8"/>
      <c r="CK237" s="8"/>
      <c r="CL237" s="8"/>
      <c r="CM237" s="8"/>
      <c r="CN237" s="8"/>
      <c r="CO237" s="8"/>
      <c r="CP237" s="8"/>
      <c r="CQ237" s="8"/>
      <c r="CR237" s="8"/>
      <c r="CS237" s="8"/>
      <c r="CT237" s="8"/>
      <c r="CU237" s="8"/>
      <c r="CV237" s="8"/>
      <c r="CW237" s="8"/>
      <c r="CX237" s="8"/>
      <c r="CY237" s="8"/>
      <c r="CZ237" s="8"/>
      <c r="DA237" s="8"/>
      <c r="DB237" s="8"/>
      <c r="DC237" s="8"/>
    </row>
    <row r="238" spans="1:107" ht="15" hidden="1"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L238" s="8"/>
      <c r="BN238" s="8"/>
      <c r="BO238" s="8"/>
      <c r="BP238" s="8"/>
      <c r="BT238" s="50"/>
      <c r="BU238" s="8"/>
      <c r="BV238" s="9"/>
      <c r="BW238" s="9"/>
      <c r="BX238" s="8"/>
      <c r="BY238" s="8"/>
      <c r="BZ238" s="8"/>
      <c r="CA238" s="8"/>
      <c r="CB238" s="24"/>
      <c r="CC238" s="7"/>
      <c r="CD238" s="7"/>
      <c r="CE238" s="7"/>
      <c r="CF238" s="7"/>
      <c r="CG238" s="7"/>
      <c r="CH238" s="7"/>
      <c r="CI238" s="7"/>
      <c r="CJ238" s="8"/>
      <c r="CK238" s="8"/>
      <c r="CL238" s="8"/>
      <c r="CM238" s="8"/>
      <c r="CN238" s="8"/>
      <c r="CO238" s="8"/>
      <c r="CP238" s="8"/>
      <c r="CQ238" s="8"/>
      <c r="CR238" s="8"/>
      <c r="CS238" s="8"/>
      <c r="CT238" s="8"/>
      <c r="CU238" s="8"/>
      <c r="CV238" s="8"/>
      <c r="CW238" s="8"/>
      <c r="CX238" s="8"/>
      <c r="CY238" s="8"/>
      <c r="CZ238" s="8"/>
      <c r="DA238" s="8"/>
      <c r="DB238" s="8"/>
      <c r="DC238" s="8"/>
    </row>
    <row r="239" spans="1:107" ht="15" hidden="1"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L239" s="8"/>
      <c r="BN239" s="8"/>
      <c r="BO239" s="8"/>
      <c r="BP239" s="8"/>
      <c r="BT239" s="50"/>
      <c r="BU239" s="8"/>
      <c r="BV239" s="9"/>
      <c r="BW239" s="9"/>
      <c r="BX239" s="8"/>
      <c r="BY239" s="8"/>
      <c r="BZ239" s="8"/>
      <c r="CA239" s="8"/>
      <c r="CB239" s="24"/>
      <c r="CC239" s="7"/>
      <c r="CD239" s="7"/>
      <c r="CE239" s="7"/>
      <c r="CF239" s="7"/>
      <c r="CG239" s="7"/>
      <c r="CH239" s="7"/>
      <c r="CI239" s="7"/>
      <c r="CJ239" s="8"/>
      <c r="CK239" s="8"/>
      <c r="CL239" s="8"/>
      <c r="CM239" s="8"/>
      <c r="CN239" s="8"/>
      <c r="CO239" s="8"/>
      <c r="CP239" s="8"/>
      <c r="CQ239" s="8"/>
      <c r="CR239" s="8"/>
      <c r="CS239" s="8"/>
      <c r="CT239" s="8"/>
      <c r="CU239" s="8"/>
      <c r="CV239" s="8"/>
      <c r="CW239" s="8"/>
      <c r="CX239" s="8"/>
      <c r="CY239" s="8"/>
      <c r="CZ239" s="8"/>
      <c r="DA239" s="8"/>
      <c r="DB239" s="8"/>
      <c r="DC239" s="8"/>
    </row>
    <row r="240" spans="1:107" ht="15" hidden="1"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L240" s="8"/>
      <c r="BN240" s="8"/>
      <c r="BO240" s="8"/>
      <c r="BP240" s="8"/>
      <c r="BT240" s="50"/>
      <c r="BU240" s="8"/>
      <c r="BV240" s="9"/>
      <c r="BW240" s="9"/>
      <c r="BX240" s="8"/>
      <c r="BY240" s="8"/>
      <c r="BZ240" s="8"/>
      <c r="CA240" s="8"/>
      <c r="CB240" s="24"/>
      <c r="CC240" s="7"/>
      <c r="CD240" s="7"/>
      <c r="CE240" s="7"/>
      <c r="CF240" s="7"/>
      <c r="CG240" s="7"/>
      <c r="CH240" s="7"/>
      <c r="CI240" s="7"/>
      <c r="CJ240" s="8"/>
      <c r="CK240" s="8"/>
      <c r="CL240" s="8"/>
      <c r="CM240" s="8"/>
      <c r="CN240" s="8"/>
      <c r="CO240" s="8"/>
      <c r="CP240" s="8"/>
      <c r="CQ240" s="8"/>
      <c r="CR240" s="8"/>
      <c r="CS240" s="8"/>
      <c r="CT240" s="8"/>
      <c r="CU240" s="8"/>
      <c r="CV240" s="8"/>
      <c r="CW240" s="8"/>
      <c r="CX240" s="8"/>
      <c r="CY240" s="8"/>
      <c r="CZ240" s="8"/>
      <c r="DA240" s="8"/>
      <c r="DB240" s="8"/>
      <c r="DC240" s="8"/>
    </row>
    <row r="241" spans="1:107" ht="15" hidden="1"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L241" s="8"/>
      <c r="BN241" s="8"/>
      <c r="BO241" s="8"/>
      <c r="BP241" s="8"/>
      <c r="BT241" s="50"/>
      <c r="BU241" s="8"/>
      <c r="BV241" s="9"/>
      <c r="BW241" s="9"/>
      <c r="BX241" s="8"/>
      <c r="BY241" s="8"/>
      <c r="BZ241" s="8"/>
      <c r="CA241" s="8"/>
      <c r="CB241" s="24"/>
      <c r="CC241" s="7"/>
      <c r="CD241" s="7"/>
      <c r="CE241" s="7"/>
      <c r="CF241" s="7"/>
      <c r="CG241" s="7"/>
      <c r="CH241" s="7"/>
      <c r="CI241" s="7"/>
      <c r="CJ241" s="8"/>
      <c r="CK241" s="8"/>
      <c r="CL241" s="8"/>
      <c r="CM241" s="8"/>
      <c r="CN241" s="8"/>
      <c r="CO241" s="8"/>
      <c r="CP241" s="8"/>
      <c r="CQ241" s="8"/>
      <c r="CR241" s="8"/>
      <c r="CS241" s="8"/>
      <c r="CT241" s="8"/>
      <c r="CU241" s="8"/>
      <c r="CV241" s="8"/>
      <c r="CW241" s="8"/>
      <c r="CX241" s="8"/>
      <c r="CY241" s="8"/>
      <c r="CZ241" s="8"/>
      <c r="DA241" s="8"/>
      <c r="DB241" s="8"/>
      <c r="DC241" s="8"/>
    </row>
    <row r="242" spans="1:107" ht="15" hidden="1"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c r="BD242" s="8"/>
      <c r="BE242" s="8"/>
      <c r="BF242" s="8"/>
      <c r="BL242" s="8"/>
      <c r="BN242" s="8"/>
      <c r="BO242" s="8"/>
      <c r="BP242" s="8"/>
      <c r="BT242" s="50"/>
      <c r="BU242" s="8"/>
      <c r="BV242" s="9"/>
      <c r="BW242" s="9"/>
      <c r="BX242" s="8"/>
      <c r="BY242" s="8"/>
      <c r="BZ242" s="8"/>
      <c r="CA242" s="8"/>
      <c r="CB242" s="24"/>
      <c r="CC242" s="7"/>
      <c r="CD242" s="7"/>
      <c r="CE242" s="7"/>
      <c r="CF242" s="7"/>
      <c r="CG242" s="7"/>
      <c r="CH242" s="7"/>
      <c r="CI242" s="7"/>
      <c r="CJ242" s="8"/>
      <c r="CK242" s="8"/>
      <c r="CL242" s="8"/>
      <c r="CM242" s="8"/>
      <c r="CN242" s="8"/>
      <c r="CO242" s="8"/>
      <c r="CP242" s="8"/>
      <c r="CQ242" s="8"/>
      <c r="CR242" s="8"/>
      <c r="CS242" s="8"/>
      <c r="CT242" s="8"/>
      <c r="CU242" s="8"/>
      <c r="CV242" s="8"/>
      <c r="CW242" s="8"/>
      <c r="CX242" s="8"/>
      <c r="CY242" s="8"/>
      <c r="CZ242" s="8"/>
      <c r="DA242" s="8"/>
      <c r="DB242" s="8"/>
      <c r="DC242" s="8"/>
    </row>
    <row r="243" spans="1:107" ht="15" hidden="1"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c r="BD243" s="8"/>
      <c r="BE243" s="8"/>
      <c r="BF243" s="8"/>
      <c r="BL243" s="8"/>
      <c r="BN243" s="8"/>
      <c r="BO243" s="8"/>
      <c r="BP243" s="8"/>
      <c r="BT243" s="50"/>
      <c r="BU243" s="8"/>
      <c r="BV243" s="9"/>
      <c r="BW243" s="9"/>
      <c r="BX243" s="8"/>
      <c r="BY243" s="8"/>
      <c r="BZ243" s="8"/>
      <c r="CA243" s="8"/>
      <c r="CB243" s="24"/>
      <c r="CC243" s="7"/>
      <c r="CD243" s="7"/>
      <c r="CE243" s="7"/>
      <c r="CF243" s="7"/>
      <c r="CG243" s="7"/>
      <c r="CH243" s="7"/>
      <c r="CI243" s="7"/>
      <c r="CJ243" s="8"/>
      <c r="CK243" s="8"/>
      <c r="CL243" s="8"/>
      <c r="CM243" s="8"/>
      <c r="CN243" s="8"/>
      <c r="CO243" s="8"/>
      <c r="CP243" s="8"/>
      <c r="CQ243" s="8"/>
      <c r="CR243" s="8"/>
      <c r="CS243" s="8"/>
      <c r="CT243" s="8"/>
      <c r="CU243" s="8"/>
      <c r="CV243" s="8"/>
      <c r="CW243" s="8"/>
      <c r="CX243" s="8"/>
      <c r="CY243" s="8"/>
      <c r="CZ243" s="8"/>
      <c r="DA243" s="8"/>
      <c r="DB243" s="8"/>
      <c r="DC243" s="8"/>
    </row>
    <row r="244" spans="1:107" ht="15" hidden="1"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c r="BD244" s="8"/>
      <c r="BE244" s="8"/>
      <c r="BF244" s="8"/>
      <c r="BL244" s="8"/>
      <c r="BN244" s="8"/>
      <c r="BO244" s="8"/>
      <c r="BP244" s="8"/>
      <c r="BT244" s="50"/>
      <c r="BU244" s="8"/>
      <c r="BV244" s="9"/>
      <c r="BW244" s="9"/>
      <c r="BX244" s="8"/>
      <c r="BY244" s="8"/>
      <c r="BZ244" s="8"/>
      <c r="CA244" s="8"/>
      <c r="CB244" s="24"/>
      <c r="CC244" s="7"/>
      <c r="CD244" s="7"/>
      <c r="CE244" s="7"/>
      <c r="CF244" s="7"/>
      <c r="CG244" s="7"/>
      <c r="CH244" s="7"/>
      <c r="CI244" s="7"/>
      <c r="CJ244" s="8"/>
      <c r="CK244" s="8"/>
      <c r="CL244" s="8"/>
      <c r="CM244" s="8"/>
      <c r="CN244" s="8"/>
      <c r="CO244" s="8"/>
      <c r="CP244" s="8"/>
      <c r="CQ244" s="8"/>
      <c r="CR244" s="8"/>
      <c r="CS244" s="8"/>
      <c r="CT244" s="8"/>
      <c r="CU244" s="8"/>
      <c r="CV244" s="8"/>
      <c r="CW244" s="8"/>
      <c r="CX244" s="8"/>
      <c r="CY244" s="8"/>
      <c r="CZ244" s="8"/>
      <c r="DA244" s="8"/>
      <c r="DB244" s="8"/>
      <c r="DC244" s="8"/>
    </row>
    <row r="245" spans="1:107" ht="15" hidden="1"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L245" s="8"/>
      <c r="BN245" s="8"/>
      <c r="BO245" s="8"/>
      <c r="BP245" s="8"/>
      <c r="BT245" s="50"/>
      <c r="BU245" s="8"/>
      <c r="BV245" s="9"/>
      <c r="BW245" s="9"/>
      <c r="BX245" s="8"/>
      <c r="BY245" s="8"/>
      <c r="BZ245" s="8"/>
      <c r="CA245" s="59"/>
      <c r="CB245" s="7"/>
      <c r="CC245" s="7"/>
      <c r="CD245" s="7"/>
      <c r="CE245" s="7"/>
      <c r="CF245" s="7"/>
      <c r="CG245" s="7"/>
      <c r="CH245" s="7"/>
      <c r="CI245" s="7"/>
      <c r="CJ245" s="8"/>
      <c r="CK245" s="8"/>
      <c r="CL245" s="8"/>
      <c r="CM245" s="8"/>
      <c r="CN245" s="8"/>
      <c r="CO245" s="8"/>
      <c r="CP245" s="8"/>
      <c r="CQ245" s="8"/>
      <c r="CR245" s="8"/>
      <c r="CS245" s="8"/>
      <c r="CT245" s="8"/>
      <c r="CU245" s="8"/>
      <c r="CV245" s="8"/>
      <c r="CW245" s="8"/>
      <c r="CX245" s="8"/>
      <c r="CY245" s="8"/>
      <c r="CZ245" s="8"/>
      <c r="DA245" s="8"/>
      <c r="DB245" s="8"/>
      <c r="DC245" s="8"/>
    </row>
    <row r="246" spans="1:107" ht="15" hidden="1"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L246" s="8"/>
      <c r="BN246" s="8"/>
      <c r="BO246" s="8"/>
      <c r="BP246" s="8"/>
      <c r="BT246" s="50"/>
      <c r="BU246" s="8"/>
      <c r="BV246" s="9"/>
      <c r="BW246" s="9"/>
      <c r="BX246" s="8"/>
      <c r="BY246" s="8"/>
      <c r="BZ246" s="8"/>
      <c r="CA246" s="8"/>
      <c r="CB246" s="9"/>
      <c r="CC246" s="8"/>
      <c r="CD246" s="8"/>
      <c r="CE246" s="7"/>
      <c r="CF246" s="7"/>
      <c r="CG246" s="7"/>
      <c r="CH246" s="7"/>
      <c r="CI246" s="7"/>
      <c r="CJ246" s="8"/>
      <c r="CK246" s="8"/>
      <c r="CL246" s="8"/>
      <c r="CM246" s="8"/>
      <c r="CN246" s="8"/>
      <c r="CO246" s="8"/>
      <c r="CP246" s="8"/>
      <c r="CQ246" s="8"/>
      <c r="CR246" s="8"/>
      <c r="CS246" s="8"/>
      <c r="CT246" s="8"/>
      <c r="CU246" s="8"/>
      <c r="CV246" s="8"/>
      <c r="CW246" s="8"/>
      <c r="CX246" s="8"/>
      <c r="CY246" s="8"/>
      <c r="CZ246" s="8"/>
      <c r="DA246" s="8"/>
      <c r="DB246" s="8"/>
      <c r="DC246" s="8"/>
    </row>
    <row r="247" spans="1:107" ht="15" hidden="1"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c r="BD247" s="8"/>
      <c r="BE247" s="8"/>
      <c r="BF247" s="8"/>
      <c r="BL247" s="8"/>
      <c r="BN247" s="8"/>
      <c r="BO247" s="8"/>
      <c r="BP247" s="8"/>
      <c r="BT247" s="50"/>
      <c r="BU247" s="8"/>
      <c r="BV247" s="9"/>
      <c r="BW247" s="9"/>
      <c r="BX247" s="8"/>
      <c r="BY247" s="8"/>
      <c r="BZ247" s="8"/>
      <c r="CA247" s="8"/>
      <c r="CB247" s="24"/>
      <c r="CC247" s="7"/>
      <c r="CD247" s="7"/>
      <c r="CE247" s="7"/>
      <c r="CF247" s="7"/>
      <c r="CG247" s="7"/>
      <c r="CH247" s="7"/>
      <c r="CI247" s="7"/>
      <c r="CJ247" s="8"/>
      <c r="CK247" s="8"/>
      <c r="CL247" s="8"/>
      <c r="CM247" s="8"/>
      <c r="CN247" s="8"/>
      <c r="CO247" s="8"/>
      <c r="CP247" s="8"/>
      <c r="CQ247" s="8"/>
      <c r="CR247" s="8"/>
      <c r="CS247" s="8"/>
      <c r="CT247" s="8"/>
      <c r="CU247" s="8"/>
      <c r="CV247" s="8"/>
      <c r="CW247" s="8"/>
      <c r="CX247" s="8"/>
      <c r="CY247" s="8"/>
      <c r="CZ247" s="8"/>
      <c r="DA247" s="8"/>
      <c r="DB247" s="8"/>
      <c r="DC247" s="8"/>
    </row>
    <row r="248" spans="1:107" ht="15" hidden="1"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L248" s="8"/>
      <c r="BN248" s="8"/>
      <c r="BO248" s="8"/>
      <c r="BP248" s="8"/>
      <c r="BT248" s="50"/>
      <c r="BU248" s="8"/>
      <c r="BV248" s="9"/>
      <c r="BW248" s="9"/>
      <c r="BX248" s="8"/>
      <c r="BY248" s="8"/>
      <c r="BZ248" s="8"/>
      <c r="CA248" s="8"/>
      <c r="CB248" s="24"/>
      <c r="CC248" s="7"/>
      <c r="CD248" s="7"/>
      <c r="CE248" s="7"/>
      <c r="CF248" s="7"/>
      <c r="CG248" s="7"/>
      <c r="CH248" s="7"/>
      <c r="CI248" s="7"/>
      <c r="CJ248" s="8"/>
      <c r="CK248" s="8"/>
      <c r="CL248" s="8"/>
      <c r="CM248" s="8"/>
      <c r="CN248" s="8"/>
      <c r="CO248" s="8"/>
      <c r="CP248" s="8"/>
      <c r="CQ248" s="8"/>
      <c r="CR248" s="8"/>
      <c r="CS248" s="8"/>
      <c r="CT248" s="8"/>
      <c r="CU248" s="8"/>
      <c r="CV248" s="8"/>
      <c r="CW248" s="8"/>
      <c r="CX248" s="8"/>
      <c r="CY248" s="8"/>
      <c r="CZ248" s="8"/>
      <c r="DA248" s="8"/>
      <c r="DB248" s="8"/>
      <c r="DC248" s="8"/>
    </row>
    <row r="249" spans="1:107" ht="15" hidden="1"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L249" s="8"/>
      <c r="BN249" s="8"/>
      <c r="BO249" s="8"/>
      <c r="BP249" s="8"/>
      <c r="BT249" s="50"/>
      <c r="BU249" s="8"/>
      <c r="BV249" s="9"/>
      <c r="BW249" s="9"/>
      <c r="BX249" s="8"/>
      <c r="BY249" s="8"/>
      <c r="BZ249" s="8"/>
      <c r="CA249" s="8"/>
      <c r="CB249" s="24"/>
      <c r="CC249" s="7"/>
      <c r="CD249" s="7"/>
      <c r="CE249" s="7"/>
      <c r="CF249" s="7"/>
      <c r="CG249" s="7"/>
      <c r="CH249" s="7"/>
      <c r="CI249" s="7"/>
      <c r="CJ249" s="8"/>
      <c r="CK249" s="8"/>
      <c r="CL249" s="8"/>
      <c r="CM249" s="8"/>
      <c r="CN249" s="8"/>
      <c r="CO249" s="8"/>
      <c r="CP249" s="8"/>
      <c r="CQ249" s="8"/>
      <c r="CR249" s="8"/>
      <c r="CS249" s="8"/>
      <c r="CT249" s="8"/>
      <c r="CU249" s="8"/>
      <c r="CV249" s="8"/>
      <c r="CW249" s="8"/>
      <c r="CX249" s="8"/>
      <c r="CY249" s="8"/>
      <c r="CZ249" s="8"/>
      <c r="DA249" s="8"/>
      <c r="DB249" s="8"/>
      <c r="DC249" s="8"/>
    </row>
    <row r="250" spans="1:107" ht="15" hidden="1"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c r="BD250" s="8"/>
      <c r="BE250" s="8"/>
      <c r="BF250" s="8"/>
      <c r="BL250" s="8"/>
      <c r="BN250" s="8"/>
      <c r="BO250" s="8"/>
      <c r="BP250" s="8"/>
      <c r="BT250" s="50"/>
      <c r="BU250" s="8"/>
      <c r="BV250" s="9"/>
      <c r="BW250" s="9"/>
      <c r="BX250" s="8"/>
      <c r="BY250" s="8"/>
      <c r="BZ250" s="8"/>
      <c r="CA250" s="8"/>
      <c r="CB250" s="24"/>
      <c r="CC250" s="7"/>
      <c r="CD250" s="7"/>
      <c r="CE250" s="7"/>
      <c r="CF250" s="7"/>
      <c r="CG250" s="7"/>
      <c r="CH250" s="7"/>
      <c r="CI250" s="7"/>
      <c r="CJ250" s="8"/>
      <c r="CK250" s="8"/>
      <c r="CL250" s="8"/>
      <c r="CM250" s="8"/>
      <c r="CN250" s="8"/>
      <c r="CO250" s="8"/>
      <c r="CP250" s="8"/>
      <c r="CQ250" s="8"/>
      <c r="CR250" s="8"/>
      <c r="CS250" s="8"/>
      <c r="CT250" s="8"/>
      <c r="CU250" s="8"/>
      <c r="CV250" s="8"/>
      <c r="CW250" s="8"/>
      <c r="CX250" s="8"/>
      <c r="CY250" s="8"/>
      <c r="CZ250" s="8"/>
      <c r="DA250" s="8"/>
      <c r="DB250" s="8"/>
      <c r="DC250" s="8"/>
    </row>
    <row r="251" spans="1:107" ht="15" hidden="1"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c r="BD251" s="8"/>
      <c r="BE251" s="8"/>
      <c r="BF251" s="8"/>
      <c r="BL251" s="8"/>
      <c r="BN251" s="8"/>
      <c r="BO251" s="8"/>
      <c r="BP251" s="8"/>
      <c r="BT251" s="50"/>
      <c r="BU251" s="8"/>
      <c r="BV251" s="9"/>
      <c r="BW251" s="9"/>
      <c r="BX251" s="8"/>
      <c r="BY251" s="8"/>
      <c r="BZ251" s="8"/>
      <c r="CA251" s="8"/>
      <c r="CB251" s="24"/>
      <c r="CC251" s="7"/>
      <c r="CD251" s="7"/>
      <c r="CE251" s="7"/>
      <c r="CF251" s="7"/>
      <c r="CG251" s="7"/>
      <c r="CH251" s="7"/>
      <c r="CI251" s="7"/>
      <c r="CJ251" s="8"/>
      <c r="CK251" s="8"/>
      <c r="CL251" s="8"/>
      <c r="CM251" s="8"/>
      <c r="CN251" s="8"/>
      <c r="CO251" s="8"/>
      <c r="CP251" s="8"/>
      <c r="CQ251" s="8"/>
      <c r="CR251" s="8"/>
      <c r="CS251" s="8"/>
      <c r="CT251" s="8"/>
      <c r="CU251" s="8"/>
      <c r="CV251" s="8"/>
      <c r="CW251" s="8"/>
      <c r="CX251" s="8"/>
      <c r="CY251" s="8"/>
      <c r="CZ251" s="8"/>
      <c r="DA251" s="8"/>
      <c r="DB251" s="8"/>
      <c r="DC251" s="8"/>
    </row>
    <row r="252" spans="1:107" ht="15" hidden="1"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c r="BD252" s="8"/>
      <c r="BE252" s="8"/>
      <c r="BF252" s="8"/>
      <c r="BL252" s="8"/>
      <c r="BN252" s="8"/>
      <c r="BO252" s="8"/>
      <c r="BP252" s="8"/>
      <c r="BT252" s="50"/>
      <c r="BU252" s="8"/>
      <c r="BV252" s="9"/>
      <c r="BW252" s="9"/>
      <c r="BX252" s="8"/>
      <c r="BY252" s="8"/>
      <c r="BZ252" s="8"/>
      <c r="CA252" s="8"/>
      <c r="CB252" s="9"/>
      <c r="CC252" s="8"/>
      <c r="CD252" s="8"/>
      <c r="CE252" s="7"/>
      <c r="CF252" s="7"/>
      <c r="CG252" s="7"/>
      <c r="CH252" s="7"/>
      <c r="CI252" s="7"/>
      <c r="CJ252" s="8"/>
      <c r="CK252" s="8"/>
      <c r="CL252" s="8"/>
      <c r="CM252" s="8"/>
      <c r="CN252" s="8"/>
      <c r="CO252" s="8"/>
      <c r="CP252" s="8"/>
      <c r="CQ252" s="8"/>
      <c r="CR252" s="8"/>
      <c r="CS252" s="8"/>
      <c r="CT252" s="8"/>
      <c r="CU252" s="8"/>
      <c r="CV252" s="8"/>
      <c r="CW252" s="8"/>
      <c r="CX252" s="8"/>
      <c r="CY252" s="8"/>
      <c r="CZ252" s="8"/>
      <c r="DA252" s="8"/>
      <c r="DB252" s="8"/>
      <c r="DC252" s="8"/>
    </row>
    <row r="253" spans="1:107" ht="15" hidden="1"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L253" s="8"/>
      <c r="BN253" s="8"/>
      <c r="BO253" s="8"/>
      <c r="BP253" s="8"/>
      <c r="BT253" s="50"/>
      <c r="BU253" s="8"/>
      <c r="BV253" s="9"/>
      <c r="BW253" s="9"/>
      <c r="BX253" s="8"/>
      <c r="BY253" s="8"/>
      <c r="BZ253" s="8"/>
      <c r="CA253" s="8"/>
      <c r="CB253" s="9"/>
      <c r="CC253" s="8"/>
      <c r="CD253" s="8"/>
      <c r="CE253" s="7"/>
      <c r="CF253" s="7"/>
      <c r="CG253" s="7"/>
      <c r="CH253" s="7"/>
      <c r="CI253" s="7"/>
      <c r="CJ253" s="8"/>
      <c r="CK253" s="8"/>
      <c r="CL253" s="8"/>
      <c r="CM253" s="8"/>
      <c r="CN253" s="8"/>
      <c r="CO253" s="8"/>
      <c r="CP253" s="8"/>
      <c r="CQ253" s="8"/>
      <c r="CR253" s="8"/>
      <c r="CS253" s="8"/>
      <c r="CT253" s="8"/>
      <c r="CU253" s="8"/>
      <c r="CV253" s="8"/>
      <c r="CW253" s="8"/>
      <c r="CX253" s="8"/>
      <c r="CY253" s="8"/>
      <c r="CZ253" s="8"/>
      <c r="DA253" s="8"/>
      <c r="DB253" s="8"/>
      <c r="DC253" s="8"/>
    </row>
    <row r="254" spans="1:107" ht="15" hidden="1"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c r="BD254" s="8"/>
      <c r="BE254" s="8"/>
      <c r="BF254" s="8"/>
      <c r="BL254" s="8"/>
      <c r="BN254" s="8"/>
      <c r="BO254" s="8"/>
      <c r="BP254" s="8"/>
      <c r="BT254" s="50"/>
      <c r="BU254" s="8"/>
      <c r="BV254" s="9"/>
      <c r="BW254" s="9"/>
      <c r="BX254" s="8"/>
      <c r="BY254" s="8"/>
      <c r="BZ254" s="8"/>
      <c r="CA254" s="8"/>
      <c r="CB254" s="9"/>
      <c r="CC254" s="8"/>
      <c r="CD254" s="8"/>
      <c r="CE254" s="7"/>
      <c r="CF254" s="7"/>
      <c r="CG254" s="7"/>
      <c r="CH254" s="7"/>
      <c r="CI254" s="7"/>
      <c r="CJ254" s="8"/>
      <c r="CK254" s="8"/>
      <c r="CL254" s="8"/>
      <c r="CM254" s="8"/>
      <c r="CN254" s="8"/>
      <c r="CO254" s="8"/>
      <c r="CP254" s="8"/>
      <c r="CQ254" s="8"/>
      <c r="CR254" s="8"/>
      <c r="CS254" s="8"/>
      <c r="CT254" s="8"/>
      <c r="CU254" s="8"/>
      <c r="CV254" s="8"/>
      <c r="CW254" s="8"/>
      <c r="CX254" s="8"/>
      <c r="CY254" s="8"/>
      <c r="CZ254" s="8"/>
      <c r="DA254" s="8"/>
      <c r="DB254" s="8"/>
      <c r="DC254" s="8"/>
    </row>
    <row r="255" spans="1:107" ht="15" hidden="1"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L255" s="8"/>
      <c r="BN255" s="8"/>
      <c r="BO255" s="8"/>
      <c r="BP255" s="8"/>
      <c r="BT255" s="50"/>
      <c r="BU255" s="8"/>
      <c r="BV255" s="9"/>
      <c r="BW255" s="9"/>
      <c r="BX255" s="8"/>
      <c r="BY255" s="8"/>
      <c r="BZ255" s="8"/>
      <c r="CA255" s="8"/>
      <c r="CB255" s="9"/>
      <c r="CC255" s="8"/>
      <c r="CD255" s="8"/>
      <c r="CE255" s="7"/>
      <c r="CF255" s="7"/>
      <c r="CG255" s="7"/>
      <c r="CH255" s="7"/>
      <c r="CI255" s="7"/>
      <c r="CJ255" s="8"/>
      <c r="CK255" s="8"/>
      <c r="CL255" s="8"/>
      <c r="CM255" s="8"/>
      <c r="CN255" s="8"/>
      <c r="CO255" s="8"/>
      <c r="CP255" s="8"/>
      <c r="CQ255" s="8"/>
      <c r="CR255" s="8"/>
      <c r="CS255" s="8"/>
      <c r="CT255" s="8"/>
      <c r="CU255" s="8"/>
      <c r="CV255" s="8"/>
      <c r="CW255" s="8"/>
      <c r="CX255" s="8"/>
      <c r="CY255" s="8"/>
      <c r="CZ255" s="8"/>
      <c r="DA255" s="8"/>
      <c r="DB255" s="8"/>
      <c r="DC255" s="8"/>
    </row>
    <row r="256" spans="1:107" ht="15" hidden="1"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L256" s="8"/>
      <c r="BN256" s="8"/>
      <c r="BO256" s="8"/>
      <c r="BP256" s="8"/>
      <c r="BT256" s="50"/>
      <c r="BU256" s="8"/>
      <c r="BV256" s="9"/>
      <c r="BW256" s="9"/>
      <c r="BX256" s="8"/>
      <c r="BY256" s="8"/>
      <c r="BZ256" s="8"/>
      <c r="CA256" s="8"/>
      <c r="CB256" s="9"/>
      <c r="CC256" s="8"/>
      <c r="CD256" s="8"/>
      <c r="CE256" s="7"/>
      <c r="CF256" s="7"/>
      <c r="CG256" s="7"/>
      <c r="CH256" s="7"/>
      <c r="CI256" s="7"/>
      <c r="CJ256" s="8"/>
      <c r="CK256" s="8"/>
      <c r="CL256" s="8"/>
      <c r="CM256" s="8"/>
      <c r="CN256" s="8"/>
      <c r="CO256" s="8"/>
      <c r="CP256" s="8"/>
      <c r="CQ256" s="8"/>
      <c r="CR256" s="8"/>
      <c r="CS256" s="8"/>
      <c r="CT256" s="8"/>
      <c r="CU256" s="8"/>
      <c r="CV256" s="8"/>
      <c r="CW256" s="8"/>
      <c r="CX256" s="8"/>
      <c r="CY256" s="8"/>
      <c r="CZ256" s="8"/>
      <c r="DA256" s="8"/>
      <c r="DB256" s="8"/>
      <c r="DC256" s="8"/>
    </row>
    <row r="257" spans="1:107" ht="15" hidden="1"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c r="BD257" s="8"/>
      <c r="BE257" s="8"/>
      <c r="BF257" s="8"/>
      <c r="BL257" s="8"/>
      <c r="BN257" s="8"/>
      <c r="BO257" s="8"/>
      <c r="BP257" s="8"/>
      <c r="BT257" s="50"/>
      <c r="BU257" s="8"/>
      <c r="BV257" s="9"/>
      <c r="BW257" s="9"/>
      <c r="BX257" s="8"/>
      <c r="BY257" s="8"/>
      <c r="BZ257" s="8"/>
      <c r="CA257" s="8"/>
      <c r="CB257" s="9"/>
      <c r="CC257" s="8"/>
      <c r="CD257" s="8"/>
      <c r="CE257" s="7"/>
      <c r="CF257" s="7"/>
      <c r="CG257" s="7"/>
      <c r="CH257" s="7"/>
      <c r="CI257" s="7"/>
      <c r="CJ257" s="8"/>
      <c r="CK257" s="8"/>
      <c r="CL257" s="8"/>
      <c r="CM257" s="8"/>
      <c r="CN257" s="8"/>
      <c r="CO257" s="8"/>
      <c r="CP257" s="8"/>
      <c r="CQ257" s="8"/>
      <c r="CR257" s="8"/>
      <c r="CS257" s="8"/>
      <c r="CT257" s="8"/>
      <c r="CU257" s="8"/>
      <c r="CV257" s="8"/>
      <c r="CW257" s="8"/>
      <c r="CX257" s="8"/>
      <c r="CY257" s="8"/>
      <c r="CZ257" s="8"/>
      <c r="DA257" s="8"/>
      <c r="DB257" s="8"/>
      <c r="DC257" s="8"/>
    </row>
    <row r="258" spans="1:107" ht="15" hidden="1"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C258" s="8"/>
      <c r="BD258" s="8"/>
      <c r="BE258" s="8"/>
      <c r="BF258" s="8"/>
      <c r="BL258" s="8"/>
      <c r="BN258" s="8"/>
      <c r="BO258" s="8"/>
      <c r="BP258" s="8"/>
      <c r="BT258" s="50"/>
      <c r="BU258" s="8"/>
      <c r="BV258" s="9"/>
      <c r="BW258" s="9"/>
      <c r="BX258" s="8"/>
      <c r="BY258" s="8"/>
      <c r="BZ258" s="8"/>
      <c r="CA258" s="8"/>
      <c r="CB258" s="24"/>
      <c r="CC258" s="7"/>
      <c r="CD258" s="7"/>
      <c r="CE258" s="7"/>
      <c r="CF258" s="7"/>
      <c r="CG258" s="7"/>
      <c r="CH258" s="7"/>
      <c r="CI258" s="7"/>
      <c r="CJ258" s="8"/>
      <c r="CK258" s="8"/>
      <c r="CL258" s="8"/>
      <c r="CM258" s="8"/>
      <c r="CN258" s="8"/>
      <c r="CO258" s="8"/>
      <c r="CP258" s="8"/>
      <c r="CQ258" s="8"/>
      <c r="CR258" s="8"/>
      <c r="CS258" s="8"/>
      <c r="CT258" s="8"/>
      <c r="CU258" s="8"/>
      <c r="CV258" s="8"/>
      <c r="CW258" s="8"/>
      <c r="CX258" s="8"/>
      <c r="CY258" s="8"/>
      <c r="CZ258" s="8"/>
      <c r="DA258" s="8"/>
      <c r="DB258" s="8"/>
      <c r="DC258" s="8"/>
    </row>
    <row r="259" spans="1:107" ht="15" hidden="1"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C259" s="8"/>
      <c r="BD259" s="8"/>
      <c r="BE259" s="8"/>
      <c r="BF259" s="8"/>
      <c r="BL259" s="8"/>
      <c r="BN259" s="8"/>
      <c r="BO259" s="8"/>
      <c r="BP259" s="8"/>
      <c r="BT259" s="50"/>
      <c r="BU259" s="8"/>
      <c r="BV259" s="9"/>
      <c r="BW259" s="9"/>
      <c r="BX259" s="8"/>
      <c r="BY259" s="8"/>
      <c r="BZ259" s="8"/>
      <c r="CA259" s="8"/>
      <c r="CB259" s="24"/>
      <c r="CC259" s="7"/>
      <c r="CD259" s="7"/>
      <c r="CE259" s="7"/>
      <c r="CF259" s="7"/>
      <c r="CG259" s="7"/>
      <c r="CH259" s="7"/>
      <c r="CI259" s="7"/>
      <c r="CJ259" s="8"/>
      <c r="CK259" s="8"/>
      <c r="CL259" s="8"/>
      <c r="CM259" s="8"/>
      <c r="CN259" s="8"/>
      <c r="CO259" s="8"/>
      <c r="CP259" s="8"/>
      <c r="CQ259" s="8"/>
      <c r="CR259" s="8"/>
      <c r="CS259" s="8"/>
      <c r="CT259" s="8"/>
      <c r="CU259" s="8"/>
      <c r="CV259" s="8"/>
      <c r="CW259" s="8"/>
      <c r="CX259" s="8"/>
      <c r="CY259" s="8"/>
      <c r="CZ259" s="8"/>
      <c r="DA259" s="8"/>
      <c r="DB259" s="8"/>
      <c r="DC259" s="8"/>
    </row>
    <row r="260" spans="1:107" ht="15" hidden="1"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c r="BD260" s="8"/>
      <c r="BE260" s="8"/>
      <c r="BF260" s="8"/>
      <c r="BL260" s="8"/>
      <c r="BN260" s="8"/>
      <c r="BO260" s="8"/>
      <c r="BP260" s="8"/>
      <c r="BT260" s="50"/>
      <c r="BU260" s="8"/>
      <c r="BV260" s="9"/>
      <c r="BW260" s="9"/>
      <c r="BX260" s="8"/>
      <c r="BY260" s="8"/>
      <c r="BZ260" s="8"/>
      <c r="CA260" s="8"/>
      <c r="CB260" s="24"/>
      <c r="CC260" s="7"/>
      <c r="CD260" s="7"/>
      <c r="CE260" s="7"/>
      <c r="CF260" s="7"/>
      <c r="CG260" s="7"/>
      <c r="CH260" s="7"/>
      <c r="CI260" s="7"/>
      <c r="CJ260" s="8"/>
      <c r="CK260" s="8"/>
      <c r="CL260" s="8"/>
      <c r="CM260" s="8"/>
      <c r="CN260" s="8"/>
      <c r="CO260" s="8"/>
      <c r="CP260" s="8"/>
      <c r="CQ260" s="8"/>
      <c r="CR260" s="8"/>
      <c r="CS260" s="8"/>
      <c r="CT260" s="8"/>
      <c r="CU260" s="8"/>
      <c r="CV260" s="8"/>
      <c r="CW260" s="8"/>
      <c r="CX260" s="8"/>
      <c r="CY260" s="8"/>
      <c r="CZ260" s="8"/>
      <c r="DA260" s="8"/>
      <c r="DB260" s="8"/>
      <c r="DC260" s="8"/>
    </row>
    <row r="261" spans="1:107" ht="15" hidden="1"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c r="BD261" s="8"/>
      <c r="BE261" s="8"/>
      <c r="BF261" s="8"/>
      <c r="BL261" s="8"/>
      <c r="BN261" s="8"/>
      <c r="BO261" s="8"/>
      <c r="BP261" s="8"/>
      <c r="BT261" s="50"/>
      <c r="BU261" s="8"/>
      <c r="BV261" s="9"/>
      <c r="BW261" s="9"/>
      <c r="BX261" s="8"/>
      <c r="BY261" s="8"/>
      <c r="BZ261" s="8"/>
      <c r="CA261" s="59"/>
      <c r="CB261" s="7"/>
      <c r="CC261" s="7"/>
      <c r="CD261" s="7"/>
      <c r="CE261" s="7"/>
      <c r="CF261" s="7"/>
      <c r="CG261" s="7"/>
      <c r="CH261" s="7"/>
      <c r="CI261" s="7"/>
      <c r="CJ261" s="8"/>
      <c r="CK261" s="8"/>
      <c r="CL261" s="8"/>
      <c r="CM261" s="8"/>
      <c r="CN261" s="8"/>
      <c r="CO261" s="8"/>
      <c r="CP261" s="8"/>
      <c r="CQ261" s="8"/>
      <c r="CR261" s="8"/>
      <c r="CS261" s="8"/>
      <c r="CT261" s="8"/>
      <c r="CU261" s="8"/>
      <c r="CV261" s="8"/>
      <c r="CW261" s="8"/>
      <c r="CX261" s="8"/>
      <c r="CY261" s="8"/>
      <c r="CZ261" s="8"/>
      <c r="DA261" s="8"/>
      <c r="DB261" s="8"/>
      <c r="DC261" s="8"/>
    </row>
    <row r="262" spans="1:107" ht="15" hidden="1"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c r="BD262" s="8"/>
      <c r="BE262" s="8"/>
      <c r="BF262" s="8"/>
      <c r="BL262" s="8"/>
      <c r="BN262" s="8"/>
      <c r="BO262" s="8"/>
      <c r="BP262" s="8"/>
      <c r="BT262" s="50"/>
      <c r="BU262" s="8"/>
      <c r="BV262" s="9"/>
      <c r="BW262" s="9"/>
      <c r="BX262" s="8"/>
      <c r="BY262" s="8"/>
      <c r="BZ262" s="8"/>
      <c r="CA262" s="8"/>
      <c r="CB262" s="24"/>
      <c r="CC262" s="7"/>
      <c r="CD262" s="7"/>
      <c r="CE262" s="7"/>
      <c r="CF262" s="7"/>
      <c r="CG262" s="7"/>
      <c r="CH262" s="7"/>
      <c r="CI262" s="7"/>
      <c r="CJ262" s="8"/>
      <c r="CK262" s="8"/>
      <c r="CL262" s="8"/>
      <c r="CM262" s="8"/>
      <c r="CN262" s="8"/>
      <c r="CO262" s="8"/>
      <c r="CP262" s="8"/>
      <c r="CQ262" s="8"/>
      <c r="CR262" s="8"/>
      <c r="CS262" s="8"/>
      <c r="CT262" s="8"/>
      <c r="CU262" s="8"/>
      <c r="CV262" s="8"/>
      <c r="CW262" s="8"/>
      <c r="CX262" s="8"/>
      <c r="CY262" s="8"/>
      <c r="CZ262" s="8"/>
      <c r="DA262" s="8"/>
      <c r="DB262" s="8"/>
      <c r="DC262" s="8"/>
    </row>
    <row r="263" spans="1:107" ht="15" hidden="1"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C263" s="8"/>
      <c r="BD263" s="8"/>
      <c r="BE263" s="8"/>
      <c r="BF263" s="8"/>
      <c r="BL263" s="8"/>
      <c r="BN263" s="8"/>
      <c r="BO263" s="8"/>
      <c r="BP263" s="8"/>
      <c r="BT263" s="50"/>
      <c r="BU263" s="8"/>
      <c r="BV263" s="9"/>
      <c r="BW263" s="9"/>
      <c r="BX263" s="8"/>
      <c r="BY263" s="8"/>
      <c r="BZ263" s="8"/>
      <c r="CA263" s="8"/>
      <c r="CB263" s="24"/>
      <c r="CC263" s="7"/>
      <c r="CD263" s="7"/>
      <c r="CE263" s="7"/>
      <c r="CF263" s="7"/>
      <c r="CG263" s="7"/>
      <c r="CH263" s="7"/>
      <c r="CI263" s="7"/>
      <c r="CJ263" s="8"/>
      <c r="CK263" s="8"/>
      <c r="CL263" s="8"/>
      <c r="CM263" s="8"/>
      <c r="CN263" s="8"/>
      <c r="CO263" s="8"/>
      <c r="CP263" s="8"/>
      <c r="CQ263" s="8"/>
      <c r="CR263" s="8"/>
      <c r="CS263" s="8"/>
      <c r="CT263" s="8"/>
      <c r="CU263" s="8"/>
      <c r="CV263" s="8"/>
      <c r="CW263" s="8"/>
      <c r="CX263" s="8"/>
      <c r="CY263" s="8"/>
      <c r="CZ263" s="8"/>
      <c r="DA263" s="8"/>
      <c r="DB263" s="8"/>
      <c r="DC263" s="8"/>
    </row>
    <row r="264" spans="1:107" ht="15" hidden="1"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c r="BD264" s="8"/>
      <c r="BE264" s="8"/>
      <c r="BF264" s="8"/>
      <c r="BL264" s="8"/>
      <c r="BN264" s="8"/>
      <c r="BO264" s="8"/>
      <c r="BP264" s="8"/>
      <c r="BT264" s="50"/>
      <c r="BU264" s="8"/>
      <c r="BV264" s="9"/>
      <c r="BW264" s="9"/>
      <c r="BX264" s="8"/>
      <c r="BY264" s="8"/>
      <c r="BZ264" s="8"/>
      <c r="CA264" s="8"/>
      <c r="CB264" s="9"/>
      <c r="CC264" s="8"/>
      <c r="CD264" s="8"/>
      <c r="CE264" s="7"/>
      <c r="CF264" s="7"/>
      <c r="CG264" s="7"/>
      <c r="CH264" s="7"/>
      <c r="CI264" s="7"/>
      <c r="CJ264" s="8"/>
      <c r="CK264" s="8"/>
      <c r="CL264" s="8"/>
      <c r="CM264" s="8"/>
      <c r="CN264" s="8"/>
      <c r="CO264" s="8"/>
      <c r="CP264" s="8"/>
      <c r="CQ264" s="8"/>
      <c r="CR264" s="8"/>
      <c r="CS264" s="8"/>
      <c r="CT264" s="8"/>
      <c r="CU264" s="8"/>
      <c r="CV264" s="8"/>
      <c r="CW264" s="8"/>
      <c r="CX264" s="8"/>
      <c r="CY264" s="8"/>
      <c r="CZ264" s="8"/>
      <c r="DA264" s="8"/>
      <c r="DB264" s="8"/>
      <c r="DC264" s="8"/>
    </row>
    <row r="265" spans="1:107" ht="15" hidden="1"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c r="BD265" s="8"/>
      <c r="BE265" s="8"/>
      <c r="BF265" s="8"/>
      <c r="BL265" s="8"/>
      <c r="BN265" s="8"/>
      <c r="BO265" s="8"/>
      <c r="BP265" s="8"/>
      <c r="BT265" s="50"/>
      <c r="BU265" s="8"/>
      <c r="BV265" s="9"/>
      <c r="BW265" s="9"/>
      <c r="BX265" s="8"/>
      <c r="BY265" s="8"/>
      <c r="BZ265" s="8"/>
      <c r="CA265" s="8"/>
      <c r="CB265" s="9"/>
      <c r="CC265" s="8"/>
      <c r="CD265" s="8"/>
      <c r="CE265" s="7"/>
      <c r="CF265" s="7"/>
      <c r="CG265" s="7"/>
      <c r="CH265" s="7"/>
      <c r="CI265" s="7"/>
      <c r="CJ265" s="8"/>
      <c r="CK265" s="8"/>
      <c r="CL265" s="8"/>
      <c r="CM265" s="8"/>
      <c r="CN265" s="8"/>
      <c r="CO265" s="8"/>
      <c r="CP265" s="8"/>
      <c r="CQ265" s="8"/>
      <c r="CR265" s="8"/>
      <c r="CS265" s="8"/>
      <c r="CT265" s="8"/>
      <c r="CU265" s="8"/>
      <c r="CV265" s="8"/>
      <c r="CW265" s="8"/>
      <c r="CX265" s="8"/>
      <c r="CY265" s="8"/>
      <c r="CZ265" s="8"/>
      <c r="DA265" s="8"/>
      <c r="DB265" s="8"/>
      <c r="DC265" s="8"/>
    </row>
    <row r="266" spans="1:107" ht="15" hidden="1"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C266" s="8"/>
      <c r="BD266" s="8"/>
      <c r="BE266" s="8"/>
      <c r="BF266" s="8"/>
      <c r="BL266" s="8"/>
      <c r="BN266" s="8"/>
      <c r="BO266" s="8"/>
      <c r="BP266" s="8"/>
      <c r="BT266" s="50"/>
      <c r="BU266" s="8"/>
      <c r="BV266" s="9"/>
      <c r="BW266" s="9"/>
      <c r="BX266" s="8"/>
      <c r="BY266" s="8"/>
      <c r="BZ266" s="8"/>
      <c r="CA266" s="8"/>
      <c r="CB266" s="9"/>
      <c r="CC266" s="8"/>
      <c r="CD266" s="8"/>
      <c r="CE266" s="7"/>
      <c r="CF266" s="7"/>
      <c r="CG266" s="7"/>
      <c r="CH266" s="7"/>
      <c r="CI266" s="7"/>
      <c r="CJ266" s="8"/>
      <c r="CK266" s="8"/>
      <c r="CL266" s="8"/>
      <c r="CM266" s="8"/>
      <c r="CN266" s="8"/>
      <c r="CO266" s="8"/>
      <c r="CP266" s="8"/>
      <c r="CQ266" s="8"/>
      <c r="CR266" s="8"/>
      <c r="CS266" s="8"/>
      <c r="CT266" s="8"/>
      <c r="CU266" s="8"/>
      <c r="CV266" s="8"/>
      <c r="CW266" s="8"/>
      <c r="CX266" s="8"/>
      <c r="CY266" s="8"/>
      <c r="CZ266" s="8"/>
      <c r="DA266" s="8"/>
      <c r="DB266" s="8"/>
      <c r="DC266" s="8"/>
    </row>
    <row r="267" spans="1:107" ht="15" hidden="1"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c r="BD267" s="8"/>
      <c r="BE267" s="8"/>
      <c r="BF267" s="8"/>
      <c r="BL267" s="8"/>
      <c r="BN267" s="8"/>
      <c r="BO267" s="8"/>
      <c r="BP267" s="8"/>
      <c r="BT267" s="50"/>
      <c r="BU267" s="8"/>
      <c r="BV267" s="9"/>
      <c r="BW267" s="9"/>
      <c r="BX267" s="8"/>
      <c r="BY267" s="8"/>
      <c r="BZ267" s="8"/>
      <c r="CA267" s="8"/>
      <c r="CB267" s="9"/>
      <c r="CC267" s="8"/>
      <c r="CD267" s="8"/>
      <c r="CE267" s="7"/>
      <c r="CF267" s="7"/>
      <c r="CG267" s="7"/>
      <c r="CH267" s="7"/>
      <c r="CI267" s="7"/>
      <c r="CJ267" s="8"/>
      <c r="CK267" s="8"/>
      <c r="CL267" s="8"/>
      <c r="CM267" s="8"/>
      <c r="CN267" s="8"/>
      <c r="CO267" s="8"/>
      <c r="CP267" s="8"/>
      <c r="CQ267" s="8"/>
      <c r="CR267" s="8"/>
      <c r="CS267" s="8"/>
      <c r="CT267" s="8"/>
      <c r="CU267" s="8"/>
      <c r="CV267" s="8"/>
      <c r="CW267" s="8"/>
      <c r="CX267" s="8"/>
      <c r="CY267" s="8"/>
      <c r="CZ267" s="8"/>
      <c r="DA267" s="8"/>
      <c r="DB267" s="8"/>
      <c r="DC267" s="8"/>
    </row>
    <row r="268" spans="1:107" ht="15" hidden="1"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c r="BD268" s="8"/>
      <c r="BE268" s="8"/>
      <c r="BF268" s="8"/>
      <c r="BL268" s="8"/>
      <c r="BN268" s="8"/>
      <c r="BO268" s="8"/>
      <c r="BP268" s="8"/>
      <c r="BT268" s="50"/>
      <c r="BU268" s="8"/>
      <c r="BV268" s="9"/>
      <c r="BW268" s="9"/>
      <c r="BX268" s="8"/>
      <c r="BY268" s="8"/>
      <c r="BZ268" s="8"/>
      <c r="CA268" s="8"/>
      <c r="CB268" s="9"/>
      <c r="CC268" s="8"/>
      <c r="CD268" s="8"/>
      <c r="CE268" s="7"/>
      <c r="CF268" s="7"/>
      <c r="CG268" s="7"/>
      <c r="CH268" s="7"/>
      <c r="CI268" s="7"/>
      <c r="CJ268" s="8"/>
      <c r="CK268" s="8"/>
      <c r="CL268" s="8"/>
      <c r="CM268" s="8"/>
      <c r="CN268" s="8"/>
      <c r="CO268" s="8"/>
      <c r="CP268" s="8"/>
      <c r="CQ268" s="8"/>
      <c r="CR268" s="8"/>
      <c r="CS268" s="8"/>
      <c r="CT268" s="8"/>
      <c r="CU268" s="8"/>
      <c r="CV268" s="8"/>
      <c r="CW268" s="8"/>
      <c r="CX268" s="8"/>
      <c r="CY268" s="8"/>
      <c r="CZ268" s="8"/>
      <c r="DA268" s="8"/>
      <c r="DB268" s="8"/>
      <c r="DC268" s="8"/>
    </row>
    <row r="269" spans="1:107" ht="15" hidden="1"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C269" s="8"/>
      <c r="BD269" s="8"/>
      <c r="BE269" s="8"/>
      <c r="BF269" s="8"/>
      <c r="BL269" s="8"/>
      <c r="BN269" s="8"/>
      <c r="BO269" s="8"/>
      <c r="BP269" s="8"/>
      <c r="BT269" s="50"/>
      <c r="BU269" s="8"/>
      <c r="BV269" s="9"/>
      <c r="BW269" s="9"/>
      <c r="BX269" s="8"/>
      <c r="BY269" s="8"/>
      <c r="BZ269" s="8"/>
      <c r="CA269" s="8"/>
      <c r="CB269" s="24"/>
      <c r="CC269" s="7"/>
      <c r="CD269" s="7"/>
      <c r="CE269" s="7"/>
      <c r="CF269" s="7"/>
      <c r="CG269" s="7"/>
      <c r="CH269" s="7"/>
      <c r="CI269" s="7"/>
      <c r="CJ269" s="8"/>
      <c r="CK269" s="8"/>
      <c r="CL269" s="8"/>
      <c r="CM269" s="8"/>
      <c r="CN269" s="8"/>
      <c r="CO269" s="8"/>
      <c r="CP269" s="8"/>
      <c r="CQ269" s="8"/>
      <c r="CR269" s="8"/>
      <c r="CS269" s="8"/>
      <c r="CT269" s="8"/>
      <c r="CU269" s="8"/>
      <c r="CV269" s="8"/>
      <c r="CW269" s="8"/>
      <c r="CX269" s="8"/>
      <c r="CY269" s="8"/>
      <c r="CZ269" s="8"/>
      <c r="DA269" s="8"/>
      <c r="DB269" s="8"/>
      <c r="DC269" s="8"/>
    </row>
    <row r="270" spans="1:107" ht="15" hidden="1"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c r="BD270" s="8"/>
      <c r="BE270" s="8"/>
      <c r="BF270" s="8"/>
      <c r="BL270" s="8"/>
      <c r="BN270" s="8"/>
      <c r="BO270" s="8"/>
      <c r="BP270" s="8"/>
      <c r="BT270" s="50"/>
      <c r="BU270" s="8"/>
      <c r="BV270" s="9"/>
      <c r="BW270" s="9"/>
      <c r="BX270" s="8"/>
      <c r="BY270" s="8"/>
      <c r="BZ270" s="8"/>
      <c r="CA270" s="8"/>
      <c r="CB270" s="24"/>
      <c r="CC270" s="7"/>
      <c r="CD270" s="7"/>
      <c r="CE270" s="7"/>
      <c r="CF270" s="7"/>
      <c r="CG270" s="7"/>
      <c r="CH270" s="7"/>
      <c r="CI270" s="7"/>
      <c r="CJ270" s="8"/>
      <c r="CK270" s="8"/>
      <c r="CL270" s="8"/>
      <c r="CM270" s="8"/>
      <c r="CN270" s="8"/>
      <c r="CO270" s="8"/>
      <c r="CP270" s="8"/>
      <c r="CQ270" s="8"/>
      <c r="CR270" s="8"/>
      <c r="CS270" s="8"/>
      <c r="CT270" s="8"/>
      <c r="CU270" s="8"/>
      <c r="CV270" s="8"/>
      <c r="CW270" s="8"/>
      <c r="CX270" s="8"/>
      <c r="CY270" s="8"/>
      <c r="CZ270" s="8"/>
      <c r="DA270" s="8"/>
      <c r="DB270" s="8"/>
      <c r="DC270" s="8"/>
    </row>
    <row r="271" spans="1:107" ht="15" hidden="1"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C271" s="8"/>
      <c r="BD271" s="8"/>
      <c r="BE271" s="8"/>
      <c r="BF271" s="8"/>
      <c r="BL271" s="8"/>
      <c r="BN271" s="8"/>
      <c r="BO271" s="8"/>
      <c r="BP271" s="8"/>
      <c r="BT271" s="50"/>
      <c r="BU271" s="8"/>
      <c r="BV271" s="9"/>
      <c r="BW271" s="9"/>
      <c r="BX271" s="8"/>
      <c r="BY271" s="8"/>
      <c r="BZ271" s="8"/>
      <c r="CA271" s="8"/>
      <c r="CB271" s="24"/>
      <c r="CC271" s="7"/>
      <c r="CD271" s="7"/>
      <c r="CE271" s="7"/>
      <c r="CF271" s="7"/>
      <c r="CG271" s="7"/>
      <c r="CH271" s="7"/>
      <c r="CI271" s="7"/>
      <c r="CJ271" s="8"/>
      <c r="CK271" s="8"/>
      <c r="CL271" s="8"/>
      <c r="CM271" s="8"/>
      <c r="CN271" s="8"/>
      <c r="CO271" s="8"/>
      <c r="CP271" s="8"/>
      <c r="CQ271" s="8"/>
      <c r="CR271" s="8"/>
      <c r="CS271" s="8"/>
      <c r="CT271" s="8"/>
      <c r="CU271" s="8"/>
      <c r="CV271" s="8"/>
      <c r="CW271" s="8"/>
      <c r="CX271" s="8"/>
      <c r="CY271" s="8"/>
      <c r="CZ271" s="8"/>
      <c r="DA271" s="8"/>
      <c r="DB271" s="8"/>
      <c r="DC271" s="8"/>
    </row>
    <row r="272" spans="1:107" ht="15" hidden="1"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C272" s="8"/>
      <c r="BD272" s="8"/>
      <c r="BE272" s="8"/>
      <c r="BF272" s="8"/>
      <c r="BL272" s="8"/>
      <c r="BN272" s="8"/>
      <c r="BO272" s="8"/>
      <c r="BP272" s="8"/>
      <c r="BT272" s="50"/>
      <c r="BU272" s="8"/>
      <c r="BV272" s="9"/>
      <c r="BW272" s="9"/>
      <c r="BX272" s="8"/>
      <c r="BY272" s="8"/>
      <c r="BZ272" s="8"/>
      <c r="CA272" s="59"/>
      <c r="CB272" s="7"/>
      <c r="CC272" s="7"/>
      <c r="CD272" s="7"/>
      <c r="CE272" s="7"/>
      <c r="CF272" s="7"/>
      <c r="CG272" s="7"/>
      <c r="CH272" s="7"/>
      <c r="CI272" s="7"/>
      <c r="CJ272" s="8"/>
      <c r="CK272" s="8"/>
      <c r="CL272" s="8"/>
      <c r="CM272" s="8"/>
      <c r="CN272" s="8"/>
      <c r="CO272" s="8"/>
      <c r="CP272" s="8"/>
      <c r="CQ272" s="8"/>
      <c r="CR272" s="8"/>
      <c r="CS272" s="8"/>
      <c r="CT272" s="8"/>
      <c r="CU272" s="8"/>
      <c r="CV272" s="8"/>
      <c r="CW272" s="8"/>
      <c r="CX272" s="8"/>
      <c r="CY272" s="8"/>
      <c r="CZ272" s="8"/>
      <c r="DA272" s="8"/>
      <c r="DB272" s="8"/>
      <c r="DC272" s="8"/>
    </row>
    <row r="273" spans="1:107" ht="15" hidden="1"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c r="BD273" s="8"/>
      <c r="BE273" s="8"/>
      <c r="BF273" s="8"/>
      <c r="BL273" s="8"/>
      <c r="BN273" s="8"/>
      <c r="BO273" s="8"/>
      <c r="BP273" s="8"/>
      <c r="BT273" s="50"/>
      <c r="BU273" s="8"/>
      <c r="BV273" s="9"/>
      <c r="BW273" s="9"/>
      <c r="BX273" s="8"/>
      <c r="BY273" s="8"/>
      <c r="BZ273" s="8"/>
      <c r="CA273" s="8"/>
      <c r="CB273" s="24"/>
      <c r="CC273" s="7"/>
      <c r="CD273" s="7"/>
      <c r="CE273" s="7"/>
      <c r="CF273" s="7"/>
      <c r="CG273" s="7"/>
      <c r="CH273" s="7"/>
      <c r="CI273" s="7"/>
      <c r="CJ273" s="8"/>
      <c r="CK273" s="8"/>
      <c r="CL273" s="8"/>
      <c r="CM273" s="8"/>
      <c r="CN273" s="8"/>
      <c r="CO273" s="8"/>
      <c r="CP273" s="8"/>
      <c r="CQ273" s="8"/>
      <c r="CR273" s="8"/>
      <c r="CS273" s="8"/>
      <c r="CT273" s="8"/>
      <c r="CU273" s="8"/>
      <c r="CV273" s="8"/>
      <c r="CW273" s="8"/>
      <c r="CX273" s="8"/>
      <c r="CY273" s="8"/>
      <c r="CZ273" s="8"/>
      <c r="DA273" s="8"/>
      <c r="DB273" s="8"/>
      <c r="DC273" s="8"/>
    </row>
    <row r="274" spans="1:107" ht="15" hidden="1"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C274" s="8"/>
      <c r="BD274" s="8"/>
      <c r="BE274" s="8"/>
      <c r="BF274" s="8"/>
      <c r="BL274" s="8"/>
      <c r="BN274" s="8"/>
      <c r="BO274" s="8"/>
      <c r="BP274" s="8"/>
      <c r="BT274" s="50"/>
      <c r="BU274" s="8"/>
      <c r="BV274" s="9"/>
      <c r="BW274" s="9"/>
      <c r="BX274" s="8"/>
      <c r="BY274" s="8"/>
      <c r="BZ274" s="8"/>
      <c r="CA274" s="8"/>
      <c r="CB274" s="9"/>
      <c r="CC274" s="8"/>
      <c r="CD274" s="8"/>
      <c r="CE274" s="7"/>
      <c r="CF274" s="7"/>
      <c r="CG274" s="7"/>
      <c r="CH274" s="7"/>
      <c r="CI274" s="7"/>
      <c r="CJ274" s="8"/>
      <c r="CK274" s="8"/>
      <c r="CL274" s="8"/>
      <c r="CM274" s="8"/>
      <c r="CN274" s="8"/>
      <c r="CO274" s="8"/>
      <c r="CP274" s="8"/>
      <c r="CQ274" s="8"/>
      <c r="CR274" s="8"/>
      <c r="CS274" s="8"/>
      <c r="CT274" s="8"/>
      <c r="CU274" s="8"/>
      <c r="CV274" s="8"/>
      <c r="CW274" s="8"/>
      <c r="CX274" s="8"/>
      <c r="CY274" s="8"/>
      <c r="CZ274" s="8"/>
      <c r="DA274" s="8"/>
      <c r="DB274" s="8"/>
      <c r="DC274" s="8"/>
    </row>
    <row r="275" spans="1:107" ht="15" hidden="1"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C275" s="8"/>
      <c r="BD275" s="8"/>
      <c r="BE275" s="8"/>
      <c r="BF275" s="8"/>
      <c r="BL275" s="8"/>
      <c r="BN275" s="8"/>
      <c r="BO275" s="8"/>
      <c r="BP275" s="8"/>
      <c r="BT275" s="50"/>
      <c r="BU275" s="8"/>
      <c r="BV275" s="9"/>
      <c r="BW275" s="9"/>
      <c r="BX275" s="8"/>
      <c r="BY275" s="8"/>
      <c r="BZ275" s="8"/>
      <c r="CA275" s="8"/>
      <c r="CB275" s="9"/>
      <c r="CC275" s="8"/>
      <c r="CD275" s="8"/>
      <c r="CE275" s="7"/>
      <c r="CF275" s="7"/>
      <c r="CG275" s="7"/>
      <c r="CH275" s="7"/>
      <c r="CI275" s="7"/>
      <c r="CJ275" s="8"/>
      <c r="CK275" s="8"/>
      <c r="CL275" s="8"/>
      <c r="CM275" s="8"/>
      <c r="CN275" s="8"/>
      <c r="CO275" s="8"/>
      <c r="CP275" s="8"/>
      <c r="CQ275" s="8"/>
      <c r="CR275" s="8"/>
      <c r="CS275" s="8"/>
      <c r="CT275" s="8"/>
      <c r="CU275" s="8"/>
      <c r="CV275" s="8"/>
      <c r="CW275" s="8"/>
      <c r="CX275" s="8"/>
      <c r="CY275" s="8"/>
      <c r="CZ275" s="8"/>
      <c r="DA275" s="8"/>
      <c r="DB275" s="8"/>
      <c r="DC275" s="8"/>
    </row>
    <row r="276" spans="1:107" ht="15" hidden="1"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C276" s="8"/>
      <c r="BD276" s="8"/>
      <c r="BE276" s="8"/>
      <c r="BF276" s="8"/>
      <c r="BL276" s="8"/>
      <c r="BN276" s="8"/>
      <c r="BO276" s="8"/>
      <c r="BP276" s="8"/>
      <c r="BT276" s="50"/>
      <c r="BU276" s="8"/>
      <c r="BV276" s="9"/>
      <c r="BW276" s="9"/>
      <c r="BX276" s="8"/>
      <c r="BY276" s="8"/>
      <c r="BZ276" s="8"/>
      <c r="CA276" s="8"/>
      <c r="CB276" s="9"/>
      <c r="CC276" s="8"/>
      <c r="CD276" s="8"/>
      <c r="CE276" s="7"/>
      <c r="CF276" s="7"/>
      <c r="CG276" s="7"/>
      <c r="CH276" s="7"/>
      <c r="CI276" s="7"/>
      <c r="CJ276" s="8"/>
      <c r="CK276" s="8"/>
      <c r="CL276" s="8"/>
      <c r="CM276" s="8"/>
      <c r="CN276" s="8"/>
      <c r="CO276" s="8"/>
      <c r="CP276" s="8"/>
      <c r="CQ276" s="8"/>
      <c r="CR276" s="8"/>
      <c r="CS276" s="8"/>
      <c r="CT276" s="8"/>
      <c r="CU276" s="8"/>
      <c r="CV276" s="8"/>
      <c r="CW276" s="8"/>
      <c r="CX276" s="8"/>
      <c r="CY276" s="8"/>
      <c r="CZ276" s="8"/>
      <c r="DA276" s="8"/>
      <c r="DB276" s="8"/>
      <c r="DC276" s="8"/>
    </row>
    <row r="277" spans="1:107" ht="15" hidden="1"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L277" s="8"/>
      <c r="BN277" s="8"/>
      <c r="BO277" s="8"/>
      <c r="BP277" s="8"/>
      <c r="BT277" s="50"/>
      <c r="BU277" s="8"/>
      <c r="BV277" s="9"/>
      <c r="BW277" s="9"/>
      <c r="BX277" s="8"/>
      <c r="BY277" s="8"/>
      <c r="BZ277" s="8"/>
      <c r="CA277" s="8"/>
      <c r="CB277" s="9"/>
      <c r="CC277" s="8"/>
      <c r="CD277" s="8"/>
      <c r="CE277" s="7"/>
      <c r="CF277" s="7"/>
      <c r="CG277" s="7"/>
      <c r="CH277" s="7"/>
      <c r="CI277" s="7"/>
      <c r="CJ277" s="8"/>
      <c r="CK277" s="8"/>
      <c r="CL277" s="8"/>
      <c r="CM277" s="8"/>
      <c r="CN277" s="8"/>
      <c r="CO277" s="8"/>
      <c r="CP277" s="8"/>
      <c r="CQ277" s="8"/>
      <c r="CR277" s="8"/>
      <c r="CS277" s="8"/>
      <c r="CT277" s="8"/>
      <c r="CU277" s="8"/>
      <c r="CV277" s="8"/>
      <c r="CW277" s="8"/>
      <c r="CX277" s="8"/>
      <c r="CY277" s="8"/>
      <c r="CZ277" s="8"/>
      <c r="DA277" s="8"/>
      <c r="DB277" s="8"/>
      <c r="DC277" s="8"/>
    </row>
    <row r="278" spans="1:107" ht="15" hidden="1"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C278" s="8"/>
      <c r="BD278" s="8"/>
      <c r="BE278" s="8"/>
      <c r="BF278" s="8"/>
      <c r="BL278" s="8"/>
      <c r="BN278" s="8"/>
      <c r="BO278" s="8"/>
      <c r="BP278" s="8"/>
      <c r="BT278" s="50"/>
      <c r="BU278" s="8"/>
      <c r="BV278" s="9"/>
      <c r="BW278" s="9"/>
      <c r="BX278" s="8"/>
      <c r="BY278" s="8"/>
      <c r="BZ278" s="8"/>
      <c r="CA278" s="8"/>
      <c r="CB278" s="9"/>
      <c r="CC278" s="8"/>
      <c r="CD278" s="8"/>
      <c r="CE278" s="7"/>
      <c r="CF278" s="7"/>
      <c r="CG278" s="7"/>
      <c r="CH278" s="7"/>
      <c r="CI278" s="7"/>
      <c r="CJ278" s="8"/>
      <c r="CK278" s="8"/>
      <c r="CL278" s="8"/>
      <c r="CM278" s="8"/>
      <c r="CN278" s="8"/>
      <c r="CO278" s="8"/>
      <c r="CP278" s="8"/>
      <c r="CQ278" s="8"/>
      <c r="CR278" s="8"/>
      <c r="CS278" s="8"/>
      <c r="CT278" s="8"/>
      <c r="CU278" s="8"/>
      <c r="CV278" s="8"/>
      <c r="CW278" s="8"/>
      <c r="CX278" s="8"/>
      <c r="CY278" s="8"/>
      <c r="CZ278" s="8"/>
      <c r="DA278" s="8"/>
      <c r="DB278" s="8"/>
      <c r="DC278" s="8"/>
    </row>
    <row r="279" spans="1:107" ht="15" hidden="1"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C279" s="8"/>
      <c r="BD279" s="8"/>
      <c r="BE279" s="8"/>
      <c r="BF279" s="8"/>
      <c r="BL279" s="8"/>
      <c r="BN279" s="8"/>
      <c r="BO279" s="8"/>
      <c r="BP279" s="8"/>
      <c r="BT279" s="50"/>
      <c r="BU279" s="8"/>
      <c r="BV279" s="9"/>
      <c r="BW279" s="9"/>
      <c r="BX279" s="8"/>
      <c r="BY279" s="8"/>
      <c r="BZ279" s="8"/>
      <c r="CA279" s="8"/>
      <c r="CB279" s="24"/>
      <c r="CC279" s="7"/>
      <c r="CD279" s="7"/>
      <c r="CE279" s="7"/>
      <c r="CF279" s="7"/>
      <c r="CG279" s="7"/>
      <c r="CH279" s="7"/>
      <c r="CI279" s="7"/>
      <c r="CJ279" s="8"/>
      <c r="CK279" s="8"/>
      <c r="CL279" s="8"/>
      <c r="CM279" s="8"/>
      <c r="CN279" s="8"/>
      <c r="CO279" s="8"/>
      <c r="CP279" s="8"/>
      <c r="CQ279" s="8"/>
      <c r="CR279" s="8"/>
      <c r="CS279" s="8"/>
      <c r="CT279" s="8"/>
      <c r="CU279" s="8"/>
      <c r="CV279" s="8"/>
      <c r="CW279" s="8"/>
      <c r="CX279" s="8"/>
      <c r="CY279" s="8"/>
      <c r="CZ279" s="8"/>
      <c r="DA279" s="8"/>
      <c r="DB279" s="8"/>
      <c r="DC279" s="8"/>
    </row>
    <row r="280" spans="1:107" ht="15" hidden="1"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C280" s="8"/>
      <c r="BD280" s="8"/>
      <c r="BE280" s="8"/>
      <c r="BF280" s="8"/>
      <c r="BL280" s="8"/>
      <c r="BN280" s="8"/>
      <c r="BO280" s="8"/>
      <c r="BP280" s="8"/>
      <c r="BT280" s="50"/>
      <c r="BU280" s="8"/>
      <c r="BV280" s="9"/>
      <c r="BW280" s="9"/>
      <c r="BX280" s="8"/>
      <c r="BY280" s="8"/>
      <c r="BZ280" s="8"/>
      <c r="CA280" s="8"/>
      <c r="CB280" s="24"/>
      <c r="CC280" s="7"/>
      <c r="CD280" s="7"/>
      <c r="CE280" s="7"/>
      <c r="CF280" s="7"/>
      <c r="CG280" s="7"/>
      <c r="CH280" s="7"/>
      <c r="CI280" s="7"/>
      <c r="CJ280" s="8"/>
      <c r="CK280" s="8"/>
      <c r="CL280" s="8"/>
      <c r="CM280" s="8"/>
      <c r="CN280" s="8"/>
      <c r="CO280" s="8"/>
      <c r="CP280" s="8"/>
      <c r="CQ280" s="8"/>
      <c r="CR280" s="8"/>
      <c r="CS280" s="8"/>
      <c r="CT280" s="8"/>
      <c r="CU280" s="8"/>
      <c r="CV280" s="8"/>
      <c r="CW280" s="8"/>
      <c r="CX280" s="8"/>
      <c r="CY280" s="8"/>
      <c r="CZ280" s="8"/>
      <c r="DA280" s="8"/>
      <c r="DB280" s="8"/>
      <c r="DC280" s="8"/>
    </row>
    <row r="281" spans="1:107" ht="15" hidden="1"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C281" s="8"/>
      <c r="BD281" s="8"/>
      <c r="BE281" s="8"/>
      <c r="BF281" s="8"/>
      <c r="BL281" s="8"/>
      <c r="BN281" s="8"/>
      <c r="BO281" s="8"/>
      <c r="BP281" s="8"/>
      <c r="BT281" s="50"/>
      <c r="BU281" s="8"/>
      <c r="BV281" s="9"/>
      <c r="BW281" s="9"/>
      <c r="BX281" s="8"/>
      <c r="BY281" s="8"/>
      <c r="BZ281" s="8"/>
      <c r="CA281" s="8"/>
      <c r="CB281" s="24"/>
      <c r="CC281" s="7"/>
      <c r="CD281" s="7"/>
      <c r="CE281" s="7"/>
      <c r="CF281" s="7"/>
      <c r="CG281" s="7"/>
      <c r="CH281" s="7"/>
      <c r="CI281" s="7"/>
      <c r="CJ281" s="8"/>
      <c r="CK281" s="8"/>
      <c r="CL281" s="8"/>
      <c r="CM281" s="8"/>
      <c r="CN281" s="8"/>
      <c r="CO281" s="8"/>
      <c r="CP281" s="8"/>
      <c r="CQ281" s="8"/>
      <c r="CR281" s="8"/>
      <c r="CS281" s="8"/>
      <c r="CT281" s="8"/>
      <c r="CU281" s="8"/>
      <c r="CV281" s="8"/>
      <c r="CW281" s="8"/>
      <c r="CX281" s="8"/>
      <c r="CY281" s="8"/>
      <c r="CZ281" s="8"/>
      <c r="DA281" s="8"/>
      <c r="DB281" s="8"/>
      <c r="DC281" s="8"/>
    </row>
    <row r="282" spans="1:107" ht="15" hidden="1"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c r="BD282" s="8"/>
      <c r="BE282" s="8"/>
      <c r="BF282" s="8"/>
      <c r="BL282" s="8"/>
      <c r="BN282" s="8"/>
      <c r="BO282" s="8"/>
      <c r="BP282" s="8"/>
      <c r="BT282" s="50"/>
      <c r="BU282" s="8"/>
      <c r="BV282" s="9"/>
      <c r="BW282" s="9"/>
      <c r="BX282" s="8"/>
      <c r="BY282" s="8"/>
      <c r="BZ282" s="8"/>
      <c r="CA282" s="8"/>
      <c r="CB282" s="24"/>
      <c r="CC282" s="7"/>
      <c r="CD282" s="7"/>
      <c r="CE282" s="7"/>
      <c r="CF282" s="7"/>
      <c r="CG282" s="7"/>
      <c r="CH282" s="7"/>
      <c r="CI282" s="7"/>
      <c r="CJ282" s="8"/>
      <c r="CK282" s="8"/>
      <c r="CL282" s="8"/>
      <c r="CM282" s="8"/>
      <c r="CN282" s="8"/>
      <c r="CO282" s="8"/>
      <c r="CP282" s="8"/>
      <c r="CQ282" s="8"/>
      <c r="CR282" s="8"/>
      <c r="CS282" s="8"/>
      <c r="CT282" s="8"/>
      <c r="CU282" s="8"/>
      <c r="CV282" s="8"/>
      <c r="CW282" s="8"/>
      <c r="CX282" s="8"/>
      <c r="CY282" s="8"/>
      <c r="CZ282" s="8"/>
      <c r="DA282" s="8"/>
      <c r="DB282" s="8"/>
      <c r="DC282" s="8"/>
    </row>
    <row r="283" spans="1:107" ht="15" hidden="1"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L283" s="8"/>
      <c r="BN283" s="8"/>
      <c r="BO283" s="8"/>
      <c r="BP283" s="8"/>
      <c r="BT283" s="50"/>
      <c r="BU283" s="8"/>
      <c r="BV283" s="9"/>
      <c r="BW283" s="9"/>
      <c r="BX283" s="8"/>
      <c r="BY283" s="8"/>
      <c r="BZ283" s="8"/>
      <c r="CA283" s="8"/>
      <c r="CB283" s="24"/>
      <c r="CC283" s="7"/>
      <c r="CD283" s="7"/>
      <c r="CE283" s="7"/>
      <c r="CF283" s="7"/>
      <c r="CG283" s="7"/>
      <c r="CH283" s="7"/>
      <c r="CI283" s="7"/>
      <c r="CJ283" s="8"/>
      <c r="CK283" s="8"/>
      <c r="CL283" s="8"/>
      <c r="CM283" s="8"/>
      <c r="CN283" s="8"/>
      <c r="CO283" s="8"/>
      <c r="CP283" s="8"/>
      <c r="CQ283" s="8"/>
      <c r="CR283" s="8"/>
      <c r="CS283" s="8"/>
      <c r="CT283" s="8"/>
      <c r="CU283" s="8"/>
      <c r="CV283" s="8"/>
      <c r="CW283" s="8"/>
      <c r="CX283" s="8"/>
      <c r="CY283" s="8"/>
      <c r="CZ283" s="8"/>
      <c r="DA283" s="8"/>
      <c r="DB283" s="8"/>
      <c r="DC283" s="8"/>
    </row>
    <row r="284" spans="1:107" ht="15" hidden="1"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c r="BD284" s="8"/>
      <c r="BE284" s="8"/>
      <c r="BF284" s="8"/>
      <c r="BL284" s="8"/>
      <c r="BN284" s="8"/>
      <c r="BO284" s="8"/>
      <c r="BP284" s="8"/>
      <c r="BT284" s="50"/>
      <c r="BU284" s="8"/>
      <c r="BV284" s="9"/>
      <c r="BW284" s="9"/>
      <c r="BX284" s="8"/>
      <c r="BY284" s="8"/>
      <c r="BZ284" s="8"/>
      <c r="CA284" s="8"/>
      <c r="CB284" s="24"/>
      <c r="CC284" s="7"/>
      <c r="CD284" s="7"/>
      <c r="CE284" s="7"/>
      <c r="CF284" s="7"/>
      <c r="CG284" s="7"/>
      <c r="CH284" s="7"/>
      <c r="CI284" s="7"/>
      <c r="CJ284" s="8"/>
      <c r="CK284" s="8"/>
      <c r="CL284" s="8"/>
      <c r="CM284" s="8"/>
      <c r="CN284" s="8"/>
      <c r="CO284" s="8"/>
      <c r="CP284" s="8"/>
      <c r="CQ284" s="8"/>
      <c r="CR284" s="8"/>
      <c r="CS284" s="8"/>
      <c r="CT284" s="8"/>
      <c r="CU284" s="8"/>
      <c r="CV284" s="8"/>
      <c r="CW284" s="8"/>
      <c r="CX284" s="8"/>
      <c r="CY284" s="8"/>
      <c r="CZ284" s="8"/>
      <c r="DA284" s="8"/>
      <c r="DB284" s="8"/>
      <c r="DC284" s="8"/>
    </row>
    <row r="285" spans="1:107" ht="15" hidden="1"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C285" s="8"/>
      <c r="BD285" s="8"/>
      <c r="BE285" s="8"/>
      <c r="BF285" s="8"/>
      <c r="BL285" s="8"/>
      <c r="BN285" s="8"/>
      <c r="BO285" s="8"/>
      <c r="BP285" s="8"/>
      <c r="BT285" s="50"/>
      <c r="BU285" s="8"/>
      <c r="BV285" s="9"/>
      <c r="BW285" s="9"/>
      <c r="BX285" s="8"/>
      <c r="BY285" s="8"/>
      <c r="BZ285" s="8"/>
      <c r="CA285" s="8"/>
      <c r="CB285" s="24"/>
      <c r="CC285" s="7"/>
      <c r="CD285" s="7"/>
      <c r="CE285" s="7"/>
      <c r="CF285" s="7"/>
      <c r="CG285" s="7"/>
      <c r="CH285" s="7"/>
      <c r="CI285" s="7"/>
      <c r="CJ285" s="8"/>
      <c r="CK285" s="8"/>
      <c r="CL285" s="8"/>
      <c r="CM285" s="8"/>
      <c r="CN285" s="8"/>
      <c r="CO285" s="8"/>
      <c r="CP285" s="8"/>
      <c r="CQ285" s="8"/>
      <c r="CR285" s="8"/>
      <c r="CS285" s="8"/>
      <c r="CT285" s="8"/>
      <c r="CU285" s="8"/>
      <c r="CV285" s="8"/>
      <c r="CW285" s="8"/>
      <c r="CX285" s="8"/>
      <c r="CY285" s="8"/>
      <c r="CZ285" s="8"/>
      <c r="DA285" s="8"/>
      <c r="DB285" s="8"/>
      <c r="DC285" s="8"/>
    </row>
    <row r="286" spans="1:107" ht="15" hidden="1"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C286" s="8"/>
      <c r="BD286" s="8"/>
      <c r="BE286" s="8"/>
      <c r="BF286" s="8"/>
      <c r="BL286" s="8"/>
      <c r="BN286" s="8"/>
      <c r="BO286" s="8"/>
      <c r="BP286" s="8"/>
      <c r="BT286" s="50"/>
      <c r="BU286" s="8"/>
      <c r="BV286" s="9"/>
      <c r="BW286" s="9"/>
      <c r="BX286" s="8"/>
      <c r="BY286" s="8"/>
      <c r="BZ286" s="8"/>
      <c r="CA286" s="59"/>
      <c r="CB286" s="7"/>
      <c r="CC286" s="7"/>
      <c r="CD286" s="7"/>
      <c r="CE286" s="7"/>
      <c r="CF286" s="7"/>
      <c r="CG286" s="7"/>
      <c r="CH286" s="7"/>
      <c r="CI286" s="7"/>
      <c r="CJ286" s="8"/>
      <c r="CK286" s="8"/>
      <c r="CL286" s="8"/>
      <c r="CM286" s="8"/>
      <c r="CN286" s="8"/>
      <c r="CO286" s="8"/>
      <c r="CP286" s="8"/>
      <c r="CQ286" s="8"/>
      <c r="CR286" s="8"/>
      <c r="CS286" s="8"/>
      <c r="CT286" s="8"/>
      <c r="CU286" s="8"/>
      <c r="CV286" s="8"/>
      <c r="CW286" s="8"/>
      <c r="CX286" s="8"/>
      <c r="CY286" s="8"/>
      <c r="CZ286" s="8"/>
      <c r="DA286" s="8"/>
      <c r="DB286" s="8"/>
      <c r="DC286" s="8"/>
    </row>
    <row r="287" spans="1:107" ht="15" hidden="1"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c r="BD287" s="8"/>
      <c r="BE287" s="8"/>
      <c r="BF287" s="8"/>
      <c r="BL287" s="8"/>
      <c r="BN287" s="8"/>
      <c r="BO287" s="8"/>
      <c r="BP287" s="8"/>
      <c r="BT287" s="50"/>
      <c r="BU287" s="8"/>
      <c r="BV287" s="9"/>
      <c r="BW287" s="9"/>
      <c r="BX287" s="8"/>
      <c r="BY287" s="8"/>
      <c r="BZ287" s="8"/>
      <c r="CA287" s="8"/>
      <c r="CB287" s="24"/>
      <c r="CC287" s="7"/>
      <c r="CD287" s="7"/>
      <c r="CE287" s="7"/>
      <c r="CF287" s="7"/>
      <c r="CG287" s="7"/>
      <c r="CH287" s="7"/>
      <c r="CI287" s="7"/>
      <c r="CJ287" s="8"/>
      <c r="CK287" s="8"/>
      <c r="CL287" s="8"/>
      <c r="CM287" s="8"/>
      <c r="CN287" s="8"/>
      <c r="CO287" s="8"/>
      <c r="CP287" s="8"/>
      <c r="CQ287" s="8"/>
      <c r="CR287" s="8"/>
      <c r="CS287" s="8"/>
      <c r="CT287" s="8"/>
      <c r="CU287" s="8"/>
      <c r="CV287" s="8"/>
      <c r="CW287" s="8"/>
      <c r="CX287" s="8"/>
      <c r="CY287" s="8"/>
      <c r="CZ287" s="8"/>
      <c r="DA287" s="8"/>
      <c r="DB287" s="8"/>
      <c r="DC287" s="8"/>
    </row>
    <row r="288" spans="1:107" ht="15" hidden="1"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c r="BD288" s="8"/>
      <c r="BE288" s="8"/>
      <c r="BF288" s="8"/>
      <c r="BL288" s="8"/>
      <c r="BN288" s="8"/>
      <c r="BO288" s="8"/>
      <c r="BP288" s="8"/>
      <c r="BT288" s="50"/>
      <c r="BU288" s="8"/>
      <c r="BV288" s="9"/>
      <c r="BW288" s="9"/>
      <c r="BX288" s="8"/>
      <c r="BY288" s="8"/>
      <c r="BZ288" s="8"/>
      <c r="CA288" s="8"/>
      <c r="CB288" s="9"/>
      <c r="CC288" s="8"/>
      <c r="CD288" s="8"/>
      <c r="CE288" s="7"/>
      <c r="CF288" s="7"/>
      <c r="CG288" s="7"/>
      <c r="CH288" s="7"/>
      <c r="CI288" s="7"/>
      <c r="CJ288" s="8"/>
      <c r="CK288" s="8"/>
      <c r="CL288" s="8"/>
      <c r="CM288" s="8"/>
      <c r="CN288" s="8"/>
      <c r="CO288" s="8"/>
      <c r="CP288" s="8"/>
      <c r="CQ288" s="8"/>
      <c r="CR288" s="8"/>
      <c r="CS288" s="8"/>
      <c r="CT288" s="8"/>
      <c r="CU288" s="8"/>
      <c r="CV288" s="8"/>
      <c r="CW288" s="8"/>
      <c r="CX288" s="8"/>
      <c r="CY288" s="8"/>
      <c r="CZ288" s="8"/>
      <c r="DA288" s="8"/>
      <c r="DB288" s="8"/>
      <c r="DC288" s="8"/>
    </row>
    <row r="289" spans="1:107" ht="15" hidden="1"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L289" s="8"/>
      <c r="BN289" s="8"/>
      <c r="BO289" s="8"/>
      <c r="BP289" s="8"/>
      <c r="BT289" s="50"/>
      <c r="BU289" s="8"/>
      <c r="BV289" s="9"/>
      <c r="BW289" s="9"/>
      <c r="BX289" s="8"/>
      <c r="BY289" s="8"/>
      <c r="BZ289" s="8"/>
      <c r="CA289" s="8"/>
      <c r="CB289" s="9"/>
      <c r="CC289" s="8"/>
      <c r="CD289" s="8"/>
      <c r="CE289" s="7"/>
      <c r="CF289" s="7"/>
      <c r="CG289" s="7"/>
      <c r="CH289" s="7"/>
      <c r="CI289" s="7"/>
      <c r="CJ289" s="8"/>
      <c r="CK289" s="8"/>
      <c r="CL289" s="8"/>
      <c r="CM289" s="8"/>
      <c r="CN289" s="8"/>
      <c r="CO289" s="8"/>
      <c r="CP289" s="8"/>
      <c r="CQ289" s="8"/>
      <c r="CR289" s="8"/>
      <c r="CS289" s="8"/>
      <c r="CT289" s="8"/>
      <c r="CU289" s="8"/>
      <c r="CV289" s="8"/>
      <c r="CW289" s="8"/>
      <c r="CX289" s="8"/>
      <c r="CY289" s="8"/>
      <c r="CZ289" s="8"/>
      <c r="DA289" s="8"/>
      <c r="DB289" s="8"/>
      <c r="DC289" s="8"/>
    </row>
    <row r="290" spans="1:107" ht="15" hidden="1"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8"/>
      <c r="BC290" s="8"/>
      <c r="BD290" s="8"/>
      <c r="BE290" s="8"/>
      <c r="BF290" s="8"/>
      <c r="BL290" s="8"/>
      <c r="BN290" s="8"/>
      <c r="BO290" s="8"/>
      <c r="BP290" s="8"/>
      <c r="BT290" s="50"/>
      <c r="BU290" s="8"/>
      <c r="BV290" s="9"/>
      <c r="BW290" s="9"/>
      <c r="BX290" s="8"/>
      <c r="BY290" s="8"/>
      <c r="BZ290" s="8"/>
      <c r="CA290" s="8"/>
      <c r="CB290" s="9"/>
      <c r="CC290" s="8"/>
      <c r="CD290" s="8"/>
      <c r="CE290" s="7"/>
      <c r="CF290" s="7"/>
      <c r="CG290" s="7"/>
      <c r="CH290" s="7"/>
      <c r="CI290" s="7"/>
      <c r="CJ290" s="8"/>
      <c r="CK290" s="8"/>
      <c r="CL290" s="8"/>
      <c r="CM290" s="8"/>
      <c r="CN290" s="8"/>
      <c r="CO290" s="8"/>
      <c r="CP290" s="8"/>
      <c r="CQ290" s="8"/>
      <c r="CR290" s="8"/>
      <c r="CS290" s="8"/>
      <c r="CT290" s="8"/>
      <c r="CU290" s="8"/>
      <c r="CV290" s="8"/>
      <c r="CW290" s="8"/>
      <c r="CX290" s="8"/>
      <c r="CY290" s="8"/>
      <c r="CZ290" s="8"/>
      <c r="DA290" s="8"/>
      <c r="DB290" s="8"/>
      <c r="DC290" s="8"/>
    </row>
    <row r="291" spans="1:107" ht="15" hidden="1"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c r="BD291" s="8"/>
      <c r="BE291" s="8"/>
      <c r="BF291" s="8"/>
      <c r="BL291" s="8"/>
      <c r="BN291" s="8"/>
      <c r="BO291" s="8"/>
      <c r="BP291" s="8"/>
      <c r="BT291" s="50"/>
      <c r="BU291" s="8"/>
      <c r="BV291" s="9"/>
      <c r="BW291" s="9"/>
      <c r="BX291" s="8"/>
      <c r="BY291" s="8"/>
      <c r="BZ291" s="8"/>
      <c r="CA291" s="8"/>
      <c r="CB291" s="9"/>
      <c r="CC291" s="8"/>
      <c r="CD291" s="8"/>
      <c r="CE291" s="7"/>
      <c r="CF291" s="7"/>
      <c r="CG291" s="7"/>
      <c r="CH291" s="7"/>
      <c r="CI291" s="7"/>
      <c r="CJ291" s="8"/>
      <c r="CK291" s="8"/>
      <c r="CL291" s="8"/>
      <c r="CM291" s="8"/>
      <c r="CN291" s="8"/>
      <c r="CO291" s="8"/>
      <c r="CP291" s="8"/>
      <c r="CQ291" s="8"/>
      <c r="CR291" s="8"/>
      <c r="CS291" s="8"/>
      <c r="CT291" s="8"/>
      <c r="CU291" s="8"/>
      <c r="CV291" s="8"/>
      <c r="CW291" s="8"/>
      <c r="CX291" s="8"/>
      <c r="CY291" s="8"/>
      <c r="CZ291" s="8"/>
      <c r="DA291" s="8"/>
      <c r="DB291" s="8"/>
      <c r="DC291" s="8"/>
    </row>
    <row r="292" spans="1:107" ht="15" hidden="1"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C292" s="8"/>
      <c r="BD292" s="8"/>
      <c r="BE292" s="8"/>
      <c r="BF292" s="8"/>
      <c r="BL292" s="8"/>
      <c r="BN292" s="8"/>
      <c r="BO292" s="8"/>
      <c r="BP292" s="8"/>
      <c r="BT292" s="50"/>
      <c r="BU292" s="8"/>
      <c r="BV292" s="9"/>
      <c r="BW292" s="9"/>
      <c r="BX292" s="8"/>
      <c r="BY292" s="8"/>
      <c r="BZ292" s="8"/>
      <c r="CA292" s="8"/>
      <c r="CB292" s="9"/>
      <c r="CC292" s="8"/>
      <c r="CD292" s="8"/>
      <c r="CE292" s="7"/>
      <c r="CF292" s="7"/>
      <c r="CG292" s="7"/>
      <c r="CH292" s="7"/>
      <c r="CI292" s="7"/>
      <c r="CJ292" s="8"/>
      <c r="CK292" s="8"/>
      <c r="CL292" s="8"/>
      <c r="CM292" s="8"/>
      <c r="CN292" s="8"/>
      <c r="CO292" s="8"/>
      <c r="CP292" s="8"/>
      <c r="CQ292" s="8"/>
      <c r="CR292" s="8"/>
      <c r="CS292" s="8"/>
      <c r="CT292" s="8"/>
      <c r="CU292" s="8"/>
      <c r="CV292" s="8"/>
      <c r="CW292" s="8"/>
      <c r="CX292" s="8"/>
      <c r="CY292" s="8"/>
      <c r="CZ292" s="8"/>
      <c r="DA292" s="8"/>
      <c r="DB292" s="8"/>
      <c r="DC292" s="8"/>
    </row>
    <row r="293" spans="1:107" ht="15" hidden="1"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C293" s="8"/>
      <c r="BD293" s="8"/>
      <c r="BE293" s="8"/>
      <c r="BF293" s="8"/>
      <c r="BL293" s="8"/>
      <c r="BN293" s="8"/>
      <c r="BO293" s="8"/>
      <c r="BP293" s="8"/>
      <c r="BT293" s="50"/>
      <c r="BU293" s="8"/>
      <c r="BV293" s="9"/>
      <c r="BW293" s="9"/>
      <c r="BX293" s="8"/>
      <c r="BY293" s="8"/>
      <c r="BZ293" s="8"/>
      <c r="CA293" s="8"/>
      <c r="CB293" s="9"/>
      <c r="CC293" s="8"/>
      <c r="CD293" s="8"/>
      <c r="CE293" s="7"/>
      <c r="CF293" s="7"/>
      <c r="CG293" s="7"/>
      <c r="CH293" s="7"/>
      <c r="CI293" s="7"/>
      <c r="CJ293" s="8"/>
      <c r="CK293" s="8"/>
      <c r="CL293" s="8"/>
      <c r="CM293" s="8"/>
      <c r="CN293" s="8"/>
      <c r="CO293" s="8"/>
      <c r="CP293" s="8"/>
      <c r="CQ293" s="8"/>
      <c r="CR293" s="8"/>
      <c r="CS293" s="8"/>
      <c r="CT293" s="8"/>
      <c r="CU293" s="8"/>
      <c r="CV293" s="8"/>
      <c r="CW293" s="8"/>
      <c r="CX293" s="8"/>
      <c r="CY293" s="8"/>
      <c r="CZ293" s="8"/>
      <c r="DA293" s="8"/>
      <c r="DB293" s="8"/>
      <c r="DC293" s="8"/>
    </row>
    <row r="294" spans="1:107" ht="15" hidden="1"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C294" s="8"/>
      <c r="BD294" s="8"/>
      <c r="BE294" s="8"/>
      <c r="BF294" s="8"/>
      <c r="BL294" s="8"/>
      <c r="BN294" s="8"/>
      <c r="BO294" s="8"/>
      <c r="BP294" s="8"/>
      <c r="BT294" s="50"/>
      <c r="BU294" s="8"/>
      <c r="BV294" s="9"/>
      <c r="BW294" s="9"/>
      <c r="BX294" s="8"/>
      <c r="BY294" s="8"/>
      <c r="BZ294" s="8"/>
      <c r="CA294" s="8"/>
      <c r="CB294" s="9"/>
      <c r="CC294" s="8"/>
      <c r="CD294" s="8"/>
      <c r="CE294" s="7"/>
      <c r="CF294" s="7"/>
      <c r="CG294" s="7"/>
      <c r="CH294" s="7"/>
      <c r="CI294" s="7"/>
      <c r="CJ294" s="8"/>
      <c r="CK294" s="8"/>
      <c r="CL294" s="8"/>
      <c r="CM294" s="8"/>
      <c r="CN294" s="8"/>
      <c r="CO294" s="8"/>
      <c r="CP294" s="8"/>
      <c r="CQ294" s="8"/>
      <c r="CR294" s="8"/>
      <c r="CS294" s="8"/>
      <c r="CT294" s="8"/>
      <c r="CU294" s="8"/>
      <c r="CV294" s="8"/>
      <c r="CW294" s="8"/>
      <c r="CX294" s="8"/>
      <c r="CY294" s="8"/>
      <c r="CZ294" s="8"/>
      <c r="DA294" s="8"/>
      <c r="DB294" s="8"/>
      <c r="DC294" s="8"/>
    </row>
    <row r="295" spans="1:107" ht="15" hidden="1"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C295" s="8"/>
      <c r="BD295" s="8"/>
      <c r="BE295" s="8"/>
      <c r="BF295" s="8"/>
      <c r="BL295" s="8"/>
      <c r="BN295" s="8"/>
      <c r="BO295" s="8"/>
      <c r="BP295" s="8"/>
      <c r="BT295" s="50"/>
      <c r="BU295" s="8"/>
      <c r="BV295" s="9"/>
      <c r="BW295" s="9"/>
      <c r="BX295" s="8"/>
      <c r="BY295" s="8"/>
      <c r="BZ295" s="8"/>
      <c r="CA295" s="8"/>
      <c r="CB295" s="9"/>
      <c r="CC295" s="8"/>
      <c r="CD295" s="8"/>
      <c r="CE295" s="7"/>
      <c r="CF295" s="7"/>
      <c r="CG295" s="7"/>
      <c r="CH295" s="7"/>
      <c r="CI295" s="7"/>
      <c r="CJ295" s="8"/>
      <c r="CK295" s="8"/>
      <c r="CL295" s="8"/>
      <c r="CM295" s="8"/>
      <c r="CN295" s="8"/>
      <c r="CO295" s="8"/>
      <c r="CP295" s="8"/>
      <c r="CQ295" s="8"/>
      <c r="CR295" s="8"/>
      <c r="CS295" s="8"/>
      <c r="CT295" s="8"/>
      <c r="CU295" s="8"/>
      <c r="CV295" s="8"/>
      <c r="CW295" s="8"/>
      <c r="CX295" s="8"/>
      <c r="CY295" s="8"/>
      <c r="CZ295" s="8"/>
      <c r="DA295" s="8"/>
      <c r="DB295" s="8"/>
      <c r="DC295" s="8"/>
    </row>
    <row r="296" spans="1:107" ht="15" hidden="1"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c r="BD296" s="8"/>
      <c r="BE296" s="8"/>
      <c r="BF296" s="8"/>
      <c r="BL296" s="8"/>
      <c r="BN296" s="8"/>
      <c r="BO296" s="8"/>
      <c r="BP296" s="8"/>
      <c r="BT296" s="50"/>
      <c r="BU296" s="8"/>
      <c r="BV296" s="9"/>
      <c r="BW296" s="9"/>
      <c r="BX296" s="8"/>
      <c r="BY296" s="8"/>
      <c r="BZ296" s="8"/>
      <c r="CA296" s="8"/>
      <c r="CB296" s="9"/>
      <c r="CC296" s="8"/>
      <c r="CD296" s="8"/>
      <c r="CE296" s="7"/>
      <c r="CF296" s="7"/>
      <c r="CG296" s="7"/>
      <c r="CH296" s="7"/>
      <c r="CI296" s="7"/>
      <c r="CJ296" s="8"/>
      <c r="CK296" s="8"/>
      <c r="CL296" s="8"/>
      <c r="CM296" s="8"/>
      <c r="CN296" s="8"/>
      <c r="CO296" s="8"/>
      <c r="CP296" s="8"/>
      <c r="CQ296" s="8"/>
      <c r="CR296" s="8"/>
      <c r="CS296" s="8"/>
      <c r="CT296" s="8"/>
      <c r="CU296" s="8"/>
      <c r="CV296" s="8"/>
      <c r="CW296" s="8"/>
      <c r="CX296" s="8"/>
      <c r="CY296" s="8"/>
      <c r="CZ296" s="8"/>
      <c r="DA296" s="8"/>
      <c r="DB296" s="8"/>
      <c r="DC296" s="8"/>
    </row>
    <row r="297" spans="1:107" ht="15" hidden="1"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L297" s="8"/>
      <c r="BN297" s="8"/>
      <c r="BO297" s="8"/>
      <c r="BP297" s="8"/>
      <c r="BT297" s="50"/>
      <c r="BU297" s="8"/>
      <c r="BV297" s="9"/>
      <c r="BW297" s="9"/>
      <c r="BX297" s="8"/>
      <c r="BY297" s="8"/>
      <c r="BZ297" s="8"/>
      <c r="CA297" s="59"/>
      <c r="CB297" s="7"/>
      <c r="CC297" s="7"/>
      <c r="CD297" s="7"/>
      <c r="CE297" s="7"/>
      <c r="CF297" s="7"/>
      <c r="CG297" s="7"/>
      <c r="CH297" s="7"/>
      <c r="CI297" s="7"/>
      <c r="CJ297" s="8"/>
      <c r="CK297" s="8"/>
      <c r="CL297" s="8"/>
      <c r="CM297" s="8"/>
      <c r="CN297" s="8"/>
      <c r="CO297" s="8"/>
      <c r="CP297" s="8"/>
      <c r="CQ297" s="8"/>
      <c r="CR297" s="8"/>
      <c r="CS297" s="8"/>
      <c r="CT297" s="8"/>
      <c r="CU297" s="8"/>
      <c r="CV297" s="8"/>
      <c r="CW297" s="8"/>
      <c r="CX297" s="8"/>
      <c r="CY297" s="8"/>
      <c r="CZ297" s="8"/>
      <c r="DA297" s="8"/>
      <c r="DB297" s="8"/>
      <c r="DC297" s="8"/>
    </row>
    <row r="298" spans="1:107" ht="15" hidden="1"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C298" s="8"/>
      <c r="BD298" s="8"/>
      <c r="BE298" s="8"/>
      <c r="BF298" s="8"/>
      <c r="BL298" s="8"/>
      <c r="BN298" s="8"/>
      <c r="BO298" s="8"/>
      <c r="BP298" s="8"/>
      <c r="BT298" s="50"/>
      <c r="BU298" s="8"/>
      <c r="BV298" s="9"/>
      <c r="BW298" s="9"/>
      <c r="BX298" s="8"/>
      <c r="BY298" s="8"/>
      <c r="BZ298" s="8"/>
      <c r="CA298" s="8"/>
      <c r="CB298" s="9"/>
      <c r="CC298" s="8"/>
      <c r="CD298" s="8"/>
      <c r="CE298" s="7"/>
      <c r="CF298" s="7"/>
      <c r="CG298" s="7"/>
      <c r="CH298" s="7"/>
      <c r="CI298" s="7"/>
      <c r="CJ298" s="8"/>
      <c r="CK298" s="8"/>
      <c r="CL298" s="8"/>
      <c r="CM298" s="8"/>
      <c r="CN298" s="8"/>
      <c r="CO298" s="8"/>
      <c r="CP298" s="8"/>
      <c r="CQ298" s="8"/>
      <c r="CR298" s="8"/>
      <c r="CS298" s="8"/>
      <c r="CT298" s="8"/>
      <c r="CU298" s="8"/>
      <c r="CV298" s="8"/>
      <c r="CW298" s="8"/>
      <c r="CX298" s="8"/>
      <c r="CY298" s="8"/>
      <c r="CZ298" s="8"/>
      <c r="DA298" s="8"/>
      <c r="DB298" s="8"/>
      <c r="DC298" s="8"/>
    </row>
    <row r="299" spans="1:107" ht="15" hidden="1"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c r="BD299" s="8"/>
      <c r="BE299" s="8"/>
      <c r="BF299" s="8"/>
      <c r="BL299" s="8"/>
      <c r="BN299" s="8"/>
      <c r="BO299" s="8"/>
      <c r="BP299" s="8"/>
      <c r="BT299" s="50"/>
      <c r="BU299" s="8"/>
      <c r="BV299" s="9"/>
      <c r="BW299" s="9"/>
      <c r="BX299" s="8"/>
      <c r="BY299" s="8"/>
      <c r="BZ299" s="8"/>
      <c r="CA299" s="8"/>
      <c r="CB299" s="9"/>
      <c r="CC299" s="8"/>
      <c r="CD299" s="8"/>
      <c r="CE299" s="7"/>
      <c r="CF299" s="7"/>
      <c r="CG299" s="7"/>
      <c r="CH299" s="7"/>
      <c r="CI299" s="7"/>
      <c r="CJ299" s="8"/>
      <c r="CK299" s="8"/>
      <c r="CL299" s="8"/>
      <c r="CM299" s="8"/>
      <c r="CN299" s="8"/>
      <c r="CO299" s="8"/>
      <c r="CP299" s="8"/>
      <c r="CQ299" s="8"/>
      <c r="CR299" s="8"/>
      <c r="CS299" s="8"/>
      <c r="CT299" s="8"/>
      <c r="CU299" s="8"/>
      <c r="CV299" s="8"/>
      <c r="CW299" s="8"/>
      <c r="CX299" s="8"/>
      <c r="CY299" s="8"/>
      <c r="CZ299" s="8"/>
      <c r="DA299" s="8"/>
      <c r="DB299" s="8"/>
      <c r="DC299" s="8"/>
    </row>
    <row r="300" spans="1:107" ht="15" hidden="1"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C300" s="8"/>
      <c r="BD300" s="8"/>
      <c r="BE300" s="8"/>
      <c r="BF300" s="8"/>
      <c r="BL300" s="8"/>
      <c r="BN300" s="8"/>
      <c r="BO300" s="8"/>
      <c r="BP300" s="8"/>
      <c r="BT300" s="50"/>
      <c r="BU300" s="8"/>
      <c r="BV300" s="9"/>
      <c r="BW300" s="9"/>
      <c r="BX300" s="8"/>
      <c r="BY300" s="8"/>
      <c r="BZ300" s="8"/>
      <c r="CA300" s="8"/>
      <c r="CB300" s="9"/>
      <c r="CC300" s="8"/>
      <c r="CD300" s="8"/>
      <c r="CE300" s="7"/>
      <c r="CF300" s="7"/>
      <c r="CG300" s="7"/>
      <c r="CH300" s="7"/>
      <c r="CI300" s="7"/>
      <c r="CJ300" s="8"/>
      <c r="CK300" s="8"/>
      <c r="CL300" s="8"/>
      <c r="CM300" s="8"/>
      <c r="CN300" s="8"/>
      <c r="CO300" s="8"/>
      <c r="CP300" s="8"/>
      <c r="CQ300" s="8"/>
      <c r="CR300" s="8"/>
      <c r="CS300" s="8"/>
      <c r="CT300" s="8"/>
      <c r="CU300" s="8"/>
      <c r="CV300" s="8"/>
      <c r="CW300" s="8"/>
      <c r="CX300" s="8"/>
      <c r="CY300" s="8"/>
      <c r="CZ300" s="8"/>
      <c r="DA300" s="8"/>
      <c r="DB300" s="8"/>
      <c r="DC300" s="8"/>
    </row>
    <row r="301" spans="1:107" ht="15" hidden="1"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C301" s="8"/>
      <c r="BD301" s="8"/>
      <c r="BE301" s="8"/>
      <c r="BF301" s="8"/>
      <c r="BL301" s="8"/>
      <c r="BN301" s="8"/>
      <c r="BO301" s="8"/>
      <c r="BP301" s="8"/>
      <c r="BT301" s="50"/>
      <c r="BU301" s="8"/>
      <c r="BV301" s="9"/>
      <c r="BW301" s="9"/>
      <c r="BX301" s="8"/>
      <c r="BY301" s="8"/>
      <c r="BZ301" s="8"/>
      <c r="CA301" s="8"/>
      <c r="CB301" s="9"/>
      <c r="CC301" s="8"/>
      <c r="CD301" s="8"/>
      <c r="CE301" s="7"/>
      <c r="CF301" s="7"/>
      <c r="CG301" s="7"/>
      <c r="CH301" s="7"/>
      <c r="CI301" s="7"/>
      <c r="CJ301" s="8"/>
      <c r="CK301" s="8"/>
      <c r="CL301" s="8"/>
      <c r="CM301" s="8"/>
      <c r="CN301" s="8"/>
      <c r="CO301" s="8"/>
      <c r="CP301" s="8"/>
      <c r="CQ301" s="8"/>
      <c r="CR301" s="8"/>
      <c r="CS301" s="8"/>
      <c r="CT301" s="8"/>
      <c r="CU301" s="8"/>
      <c r="CV301" s="8"/>
      <c r="CW301" s="8"/>
      <c r="CX301" s="8"/>
      <c r="CY301" s="8"/>
      <c r="CZ301" s="8"/>
      <c r="DA301" s="8"/>
      <c r="DB301" s="8"/>
      <c r="DC301" s="8"/>
    </row>
    <row r="302" spans="1:107" ht="15" hidden="1"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C302" s="8"/>
      <c r="BD302" s="8"/>
      <c r="BE302" s="8"/>
      <c r="BF302" s="8"/>
      <c r="BL302" s="8"/>
      <c r="BN302" s="8"/>
      <c r="BO302" s="8"/>
      <c r="BP302" s="8"/>
      <c r="BT302" s="50"/>
      <c r="BU302" s="8"/>
      <c r="BV302" s="9"/>
      <c r="BW302" s="9"/>
      <c r="BX302" s="8"/>
      <c r="BY302" s="8"/>
      <c r="BZ302" s="8"/>
      <c r="CA302" s="8"/>
      <c r="CB302" s="9"/>
      <c r="CC302" s="8"/>
      <c r="CD302" s="8"/>
      <c r="CE302" s="7"/>
      <c r="CF302" s="7"/>
      <c r="CG302" s="7"/>
      <c r="CH302" s="7"/>
      <c r="CI302" s="7"/>
      <c r="CJ302" s="8"/>
      <c r="CK302" s="8"/>
      <c r="CL302" s="8"/>
      <c r="CM302" s="8"/>
      <c r="CN302" s="8"/>
      <c r="CO302" s="8"/>
      <c r="CP302" s="8"/>
      <c r="CQ302" s="8"/>
      <c r="CR302" s="8"/>
      <c r="CS302" s="8"/>
      <c r="CT302" s="8"/>
      <c r="CU302" s="8"/>
      <c r="CV302" s="8"/>
      <c r="CW302" s="8"/>
      <c r="CX302" s="8"/>
      <c r="CY302" s="8"/>
      <c r="CZ302" s="8"/>
      <c r="DA302" s="8"/>
      <c r="DB302" s="8"/>
      <c r="DC302" s="8"/>
    </row>
    <row r="303" spans="1:107" ht="15" hidden="1"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C303" s="8"/>
      <c r="BD303" s="8"/>
      <c r="BE303" s="8"/>
      <c r="BF303" s="8"/>
      <c r="BL303" s="8"/>
      <c r="BN303" s="8"/>
      <c r="BO303" s="8"/>
      <c r="BP303" s="8"/>
      <c r="BT303" s="50"/>
      <c r="BU303" s="8"/>
      <c r="BV303" s="9"/>
      <c r="BW303" s="9"/>
      <c r="BX303" s="8"/>
      <c r="BY303" s="8"/>
      <c r="BZ303" s="8"/>
      <c r="CA303" s="8"/>
      <c r="CB303" s="9"/>
      <c r="CC303" s="8"/>
      <c r="CD303" s="8"/>
      <c r="CE303" s="7"/>
      <c r="CF303" s="7"/>
      <c r="CG303" s="7"/>
      <c r="CH303" s="7"/>
      <c r="CI303" s="7"/>
      <c r="CJ303" s="8"/>
      <c r="CK303" s="8"/>
      <c r="CL303" s="8"/>
      <c r="CM303" s="8"/>
      <c r="CN303" s="8"/>
      <c r="CO303" s="8"/>
      <c r="CP303" s="8"/>
      <c r="CQ303" s="8"/>
      <c r="CR303" s="8"/>
      <c r="CS303" s="8"/>
      <c r="CT303" s="8"/>
      <c r="CU303" s="8"/>
      <c r="CV303" s="8"/>
      <c r="CW303" s="8"/>
      <c r="CX303" s="8"/>
      <c r="CY303" s="8"/>
      <c r="CZ303" s="8"/>
      <c r="DA303" s="8"/>
      <c r="DB303" s="8"/>
      <c r="DC303" s="8"/>
    </row>
    <row r="304" spans="1:107" ht="15" hidden="1"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C304" s="8"/>
      <c r="BD304" s="8"/>
      <c r="BE304" s="8"/>
      <c r="BF304" s="8"/>
      <c r="BL304" s="8"/>
      <c r="BN304" s="8"/>
      <c r="BO304" s="8"/>
      <c r="BP304" s="8"/>
      <c r="BT304" s="50"/>
      <c r="BU304" s="8"/>
      <c r="BV304" s="9"/>
      <c r="BW304" s="9"/>
      <c r="BX304" s="8"/>
      <c r="BY304" s="8"/>
      <c r="BZ304" s="8"/>
      <c r="CA304" s="8"/>
      <c r="CB304" s="9"/>
      <c r="CC304" s="8"/>
      <c r="CD304" s="8"/>
      <c r="CE304" s="7"/>
      <c r="CF304" s="7"/>
      <c r="CG304" s="7"/>
      <c r="CH304" s="7"/>
      <c r="CI304" s="7"/>
      <c r="CJ304" s="8"/>
      <c r="CK304" s="8"/>
      <c r="CL304" s="8"/>
      <c r="CM304" s="8"/>
      <c r="CN304" s="8"/>
      <c r="CO304" s="8"/>
      <c r="CP304" s="8"/>
      <c r="CQ304" s="8"/>
      <c r="CR304" s="8"/>
      <c r="CS304" s="8"/>
      <c r="CT304" s="8"/>
      <c r="CU304" s="8"/>
      <c r="CV304" s="8"/>
      <c r="CW304" s="8"/>
      <c r="CX304" s="8"/>
      <c r="CY304" s="8"/>
      <c r="CZ304" s="8"/>
      <c r="DA304" s="8"/>
      <c r="DB304" s="8"/>
      <c r="DC304" s="8"/>
    </row>
    <row r="305" spans="1:107" ht="15" hidden="1"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L305" s="8"/>
      <c r="BN305" s="8"/>
      <c r="BO305" s="8"/>
      <c r="BP305" s="8"/>
      <c r="BT305" s="50"/>
      <c r="BU305" s="8"/>
      <c r="BV305" s="9"/>
      <c r="BW305" s="9"/>
      <c r="BX305" s="8"/>
      <c r="BY305" s="8"/>
      <c r="BZ305" s="8"/>
      <c r="CA305" s="8"/>
      <c r="CB305" s="9"/>
      <c r="CC305" s="8"/>
      <c r="CD305" s="8"/>
      <c r="CE305" s="7"/>
      <c r="CF305" s="7"/>
      <c r="CG305" s="7"/>
      <c r="CH305" s="7"/>
      <c r="CI305" s="7"/>
      <c r="CJ305" s="8"/>
      <c r="CK305" s="8"/>
      <c r="CL305" s="8"/>
      <c r="CM305" s="8"/>
      <c r="CN305" s="8"/>
      <c r="CO305" s="8"/>
      <c r="CP305" s="8"/>
      <c r="CQ305" s="8"/>
      <c r="CR305" s="8"/>
      <c r="CS305" s="8"/>
      <c r="CT305" s="8"/>
      <c r="CU305" s="8"/>
      <c r="CV305" s="8"/>
      <c r="CW305" s="8"/>
      <c r="CX305" s="8"/>
      <c r="CY305" s="8"/>
      <c r="CZ305" s="8"/>
      <c r="DA305" s="8"/>
      <c r="DB305" s="8"/>
      <c r="DC305" s="8"/>
    </row>
    <row r="306" spans="1:107" ht="15" hidden="1"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C306" s="8"/>
      <c r="BD306" s="8"/>
      <c r="BE306" s="8"/>
      <c r="BF306" s="8"/>
      <c r="BL306" s="8"/>
      <c r="BN306" s="8"/>
      <c r="BO306" s="8"/>
      <c r="BP306" s="8"/>
      <c r="BT306" s="50"/>
      <c r="BU306" s="8"/>
      <c r="BV306" s="9"/>
      <c r="BW306" s="9"/>
      <c r="BX306" s="8"/>
      <c r="BY306" s="8"/>
      <c r="BZ306" s="8"/>
      <c r="CA306" s="8"/>
      <c r="CB306" s="9"/>
      <c r="CC306" s="8"/>
      <c r="CD306" s="8"/>
      <c r="CE306" s="7"/>
      <c r="CF306" s="7"/>
      <c r="CG306" s="7"/>
      <c r="CH306" s="7"/>
      <c r="CI306" s="7"/>
      <c r="CJ306" s="8"/>
      <c r="CK306" s="8"/>
      <c r="CL306" s="8"/>
      <c r="CM306" s="8"/>
      <c r="CN306" s="8"/>
      <c r="CO306" s="8"/>
      <c r="CP306" s="8"/>
      <c r="CQ306" s="8"/>
      <c r="CR306" s="8"/>
      <c r="CS306" s="8"/>
      <c r="CT306" s="8"/>
      <c r="CU306" s="8"/>
      <c r="CV306" s="8"/>
      <c r="CW306" s="8"/>
      <c r="CX306" s="8"/>
      <c r="CY306" s="8"/>
      <c r="CZ306" s="8"/>
      <c r="DA306" s="8"/>
      <c r="DB306" s="8"/>
      <c r="DC306" s="8"/>
    </row>
    <row r="307" spans="1:107" ht="15" hidden="1"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C307" s="8"/>
      <c r="BD307" s="8"/>
      <c r="BE307" s="8"/>
      <c r="BF307" s="8"/>
      <c r="BL307" s="8"/>
      <c r="BN307" s="8"/>
      <c r="BO307" s="8"/>
      <c r="BP307" s="8"/>
      <c r="BT307" s="50"/>
      <c r="BU307" s="8"/>
      <c r="BV307" s="9"/>
      <c r="BW307" s="9"/>
      <c r="BX307" s="8"/>
      <c r="BY307" s="8"/>
      <c r="BZ307" s="8"/>
      <c r="CA307" s="8"/>
      <c r="CB307" s="9"/>
      <c r="CC307" s="8"/>
      <c r="CD307" s="8"/>
      <c r="CE307" s="7"/>
      <c r="CF307" s="7"/>
      <c r="CG307" s="7"/>
      <c r="CH307" s="7"/>
      <c r="CI307" s="7"/>
      <c r="CJ307" s="8"/>
      <c r="CK307" s="8"/>
      <c r="CL307" s="8"/>
      <c r="CM307" s="8"/>
      <c r="CN307" s="8"/>
      <c r="CO307" s="8"/>
      <c r="CP307" s="8"/>
      <c r="CQ307" s="8"/>
      <c r="CR307" s="8"/>
      <c r="CS307" s="8"/>
      <c r="CT307" s="8"/>
      <c r="CU307" s="8"/>
      <c r="CV307" s="8"/>
      <c r="CW307" s="8"/>
      <c r="CX307" s="8"/>
      <c r="CY307" s="8"/>
      <c r="CZ307" s="8"/>
      <c r="DA307" s="8"/>
      <c r="DB307" s="8"/>
      <c r="DC307" s="8"/>
    </row>
    <row r="308" spans="1:107" ht="15" hidden="1"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8"/>
      <c r="BC308" s="8"/>
      <c r="BD308" s="8"/>
      <c r="BE308" s="8"/>
      <c r="BF308" s="8"/>
      <c r="BL308" s="8"/>
      <c r="BN308" s="8"/>
      <c r="BO308" s="8"/>
      <c r="BP308" s="8"/>
      <c r="BT308" s="50"/>
      <c r="BU308" s="8"/>
      <c r="BV308" s="9"/>
      <c r="BW308" s="9"/>
      <c r="BX308" s="8"/>
      <c r="BY308" s="8"/>
      <c r="BZ308" s="8"/>
      <c r="CA308" s="8"/>
      <c r="CB308" s="9"/>
      <c r="CC308" s="8"/>
      <c r="CD308" s="8"/>
      <c r="CE308" s="7"/>
      <c r="CF308" s="7"/>
      <c r="CG308" s="7"/>
      <c r="CH308" s="7"/>
      <c r="CI308" s="7"/>
      <c r="CJ308" s="8"/>
      <c r="CK308" s="8"/>
      <c r="CL308" s="8"/>
      <c r="CM308" s="8"/>
      <c r="CN308" s="8"/>
      <c r="CO308" s="8"/>
      <c r="CP308" s="8"/>
      <c r="CQ308" s="8"/>
      <c r="CR308" s="8"/>
      <c r="CS308" s="8"/>
      <c r="CT308" s="8"/>
      <c r="CU308" s="8"/>
      <c r="CV308" s="8"/>
      <c r="CW308" s="8"/>
      <c r="CX308" s="8"/>
      <c r="CY308" s="8"/>
      <c r="CZ308" s="8"/>
      <c r="DA308" s="8"/>
      <c r="DB308" s="8"/>
      <c r="DC308" s="8"/>
    </row>
    <row r="309" spans="1:107" ht="15" hidden="1"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c r="BD309" s="8"/>
      <c r="BE309" s="8"/>
      <c r="BF309" s="8"/>
      <c r="BL309" s="8"/>
      <c r="BN309" s="8"/>
      <c r="BO309" s="8"/>
      <c r="BP309" s="8"/>
      <c r="BT309" s="50"/>
      <c r="BU309" s="8"/>
      <c r="BV309" s="9"/>
      <c r="BW309" s="9"/>
      <c r="BX309" s="8"/>
      <c r="BY309" s="8"/>
      <c r="BZ309" s="8"/>
      <c r="CA309" s="59"/>
      <c r="CB309" s="7"/>
      <c r="CC309" s="7"/>
      <c r="CD309" s="7"/>
      <c r="CE309" s="7"/>
      <c r="CF309" s="7"/>
      <c r="CG309" s="7"/>
      <c r="CH309" s="7"/>
      <c r="CI309" s="7"/>
      <c r="CJ309" s="8"/>
      <c r="CK309" s="8"/>
      <c r="CL309" s="8"/>
      <c r="CM309" s="8"/>
      <c r="CN309" s="8"/>
      <c r="CO309" s="8"/>
      <c r="CP309" s="8"/>
      <c r="CQ309" s="8"/>
      <c r="CR309" s="8"/>
      <c r="CS309" s="8"/>
      <c r="CT309" s="8"/>
      <c r="CU309" s="8"/>
      <c r="CV309" s="8"/>
      <c r="CW309" s="8"/>
      <c r="CX309" s="8"/>
      <c r="CY309" s="8"/>
      <c r="CZ309" s="8"/>
      <c r="DA309" s="8"/>
      <c r="DB309" s="8"/>
      <c r="DC309" s="8"/>
    </row>
    <row r="310" spans="1:107" ht="15" hidden="1"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8"/>
      <c r="BC310" s="8"/>
      <c r="BD310" s="8"/>
      <c r="BE310" s="8"/>
      <c r="BF310" s="8"/>
      <c r="BL310" s="8"/>
      <c r="BN310" s="8"/>
      <c r="BO310" s="8"/>
      <c r="BP310" s="8"/>
      <c r="BT310" s="50"/>
      <c r="BU310" s="8"/>
      <c r="BV310" s="9"/>
      <c r="BW310" s="9"/>
      <c r="BX310" s="8"/>
      <c r="BY310" s="8"/>
      <c r="BZ310" s="8"/>
      <c r="CA310" s="8"/>
      <c r="CB310" s="9"/>
      <c r="CC310" s="8"/>
      <c r="CD310" s="8"/>
      <c r="CE310" s="7"/>
      <c r="CF310" s="7"/>
      <c r="CG310" s="7"/>
      <c r="CH310" s="7"/>
      <c r="CI310" s="7"/>
      <c r="CJ310" s="8"/>
      <c r="CK310" s="8"/>
      <c r="CL310" s="8"/>
      <c r="CM310" s="8"/>
      <c r="CN310" s="8"/>
      <c r="CO310" s="8"/>
      <c r="CP310" s="8"/>
      <c r="CQ310" s="8"/>
      <c r="CR310" s="8"/>
      <c r="CS310" s="8"/>
      <c r="CT310" s="8"/>
      <c r="CU310" s="8"/>
      <c r="CV310" s="8"/>
      <c r="CW310" s="8"/>
      <c r="CX310" s="8"/>
      <c r="CY310" s="8"/>
      <c r="CZ310" s="8"/>
      <c r="DA310" s="8"/>
      <c r="DB310" s="8"/>
      <c r="DC310" s="8"/>
    </row>
    <row r="311" spans="1:107" ht="15" hidden="1"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8"/>
      <c r="BC311" s="8"/>
      <c r="BD311" s="8"/>
      <c r="BE311" s="8"/>
      <c r="BF311" s="8"/>
      <c r="BL311" s="8"/>
      <c r="BN311" s="8"/>
      <c r="BO311" s="8"/>
      <c r="BP311" s="8"/>
      <c r="BT311" s="50"/>
      <c r="BU311" s="8"/>
      <c r="BV311" s="9"/>
      <c r="BW311" s="9"/>
      <c r="BX311" s="8"/>
      <c r="BY311" s="8"/>
      <c r="BZ311" s="8"/>
      <c r="CA311" s="8"/>
      <c r="CB311" s="9"/>
      <c r="CC311" s="8"/>
      <c r="CD311" s="8"/>
      <c r="CE311" s="7"/>
      <c r="CF311" s="7"/>
      <c r="CG311" s="7"/>
      <c r="CH311" s="7"/>
      <c r="CI311" s="7"/>
      <c r="CJ311" s="8"/>
      <c r="CK311" s="8"/>
      <c r="CL311" s="8"/>
      <c r="CM311" s="8"/>
      <c r="CN311" s="8"/>
      <c r="CO311" s="8"/>
      <c r="CP311" s="8"/>
      <c r="CQ311" s="8"/>
      <c r="CR311" s="8"/>
      <c r="CS311" s="8"/>
      <c r="CT311" s="8"/>
      <c r="CU311" s="8"/>
      <c r="CV311" s="8"/>
      <c r="CW311" s="8"/>
      <c r="CX311" s="8"/>
      <c r="CY311" s="8"/>
      <c r="CZ311" s="8"/>
      <c r="DA311" s="8"/>
      <c r="DB311" s="8"/>
      <c r="DC311" s="8"/>
    </row>
    <row r="312" spans="1:107" ht="15" hidden="1"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8"/>
      <c r="BC312" s="8"/>
      <c r="BD312" s="8"/>
      <c r="BE312" s="8"/>
      <c r="BF312" s="8"/>
      <c r="BL312" s="8"/>
      <c r="BN312" s="8"/>
      <c r="BO312" s="8"/>
      <c r="BP312" s="8"/>
      <c r="BT312" s="50"/>
      <c r="BU312" s="8"/>
      <c r="BV312" s="9"/>
      <c r="BW312" s="9"/>
      <c r="BX312" s="8"/>
      <c r="BY312" s="8"/>
      <c r="BZ312" s="8"/>
      <c r="CA312" s="8"/>
      <c r="CB312" s="9"/>
      <c r="CC312" s="8"/>
      <c r="CD312" s="8"/>
      <c r="CE312" s="7"/>
      <c r="CF312" s="7"/>
      <c r="CG312" s="7"/>
      <c r="CH312" s="7"/>
      <c r="CI312" s="7"/>
      <c r="CJ312" s="8"/>
      <c r="CK312" s="8"/>
      <c r="CL312" s="8"/>
      <c r="CM312" s="8"/>
      <c r="CN312" s="8"/>
      <c r="CO312" s="8"/>
      <c r="CP312" s="8"/>
      <c r="CQ312" s="8"/>
      <c r="CR312" s="8"/>
      <c r="CS312" s="8"/>
      <c r="CT312" s="8"/>
      <c r="CU312" s="8"/>
      <c r="CV312" s="8"/>
      <c r="CW312" s="8"/>
      <c r="CX312" s="8"/>
      <c r="CY312" s="8"/>
      <c r="CZ312" s="8"/>
      <c r="DA312" s="8"/>
      <c r="DB312" s="8"/>
      <c r="DC312" s="8"/>
    </row>
    <row r="313" spans="1:107" ht="15" hidden="1"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8"/>
      <c r="BC313" s="8"/>
      <c r="BD313" s="8"/>
      <c r="BE313" s="8"/>
      <c r="BF313" s="8"/>
      <c r="BL313" s="8"/>
      <c r="BN313" s="8"/>
      <c r="BO313" s="8"/>
      <c r="BP313" s="8"/>
      <c r="BT313" s="50"/>
      <c r="BU313" s="8"/>
      <c r="BV313" s="9"/>
      <c r="BW313" s="9"/>
      <c r="BX313" s="8"/>
      <c r="BY313" s="8"/>
      <c r="BZ313" s="8"/>
      <c r="CA313" s="8"/>
      <c r="CB313" s="9"/>
      <c r="CC313" s="8"/>
      <c r="CD313" s="8"/>
      <c r="CE313" s="7"/>
      <c r="CF313" s="7"/>
      <c r="CG313" s="7"/>
      <c r="CH313" s="7"/>
      <c r="CI313" s="7"/>
      <c r="CJ313" s="8"/>
      <c r="CK313" s="8"/>
      <c r="CL313" s="8"/>
      <c r="CM313" s="8"/>
      <c r="CN313" s="8"/>
      <c r="CO313" s="8"/>
      <c r="CP313" s="8"/>
      <c r="CQ313" s="8"/>
      <c r="CR313" s="8"/>
      <c r="CS313" s="8"/>
      <c r="CT313" s="8"/>
      <c r="CU313" s="8"/>
      <c r="CV313" s="8"/>
      <c r="CW313" s="8"/>
      <c r="CX313" s="8"/>
      <c r="CY313" s="8"/>
      <c r="CZ313" s="8"/>
      <c r="DA313" s="8"/>
      <c r="DB313" s="8"/>
      <c r="DC313" s="8"/>
    </row>
    <row r="314" spans="1:107" ht="15" hidden="1"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8"/>
      <c r="BC314" s="8"/>
      <c r="BD314" s="8"/>
      <c r="BE314" s="8"/>
      <c r="BF314" s="8"/>
      <c r="BL314" s="8"/>
      <c r="BN314" s="8"/>
      <c r="BO314" s="8"/>
      <c r="BP314" s="8"/>
      <c r="BT314" s="50"/>
      <c r="BU314" s="8"/>
      <c r="BV314" s="9"/>
      <c r="BW314" s="9"/>
      <c r="BX314" s="8"/>
      <c r="BY314" s="8"/>
      <c r="BZ314" s="8"/>
      <c r="CA314" s="8"/>
      <c r="CB314" s="9"/>
      <c r="CC314" s="8"/>
      <c r="CD314" s="8"/>
      <c r="CE314" s="7"/>
      <c r="CF314" s="7"/>
      <c r="CG314" s="7"/>
      <c r="CH314" s="7"/>
      <c r="CI314" s="7"/>
      <c r="CJ314" s="8"/>
      <c r="CK314" s="8"/>
      <c r="CL314" s="8"/>
      <c r="CM314" s="8"/>
      <c r="CN314" s="8"/>
      <c r="CO314" s="8"/>
      <c r="CP314" s="8"/>
      <c r="CQ314" s="8"/>
      <c r="CR314" s="8"/>
      <c r="CS314" s="8"/>
      <c r="CT314" s="8"/>
      <c r="CU314" s="8"/>
      <c r="CV314" s="8"/>
      <c r="CW314" s="8"/>
      <c r="CX314" s="8"/>
      <c r="CY314" s="8"/>
      <c r="CZ314" s="8"/>
      <c r="DA314" s="8"/>
      <c r="DB314" s="8"/>
      <c r="DC314" s="8"/>
    </row>
    <row r="315" spans="1:107" ht="15" hidden="1"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c r="BD315" s="8"/>
      <c r="BE315" s="8"/>
      <c r="BF315" s="8"/>
      <c r="BL315" s="8"/>
      <c r="BN315" s="8"/>
      <c r="BO315" s="8"/>
      <c r="BP315" s="8"/>
      <c r="BT315" s="50"/>
      <c r="BU315" s="8"/>
      <c r="BV315" s="9"/>
      <c r="BW315" s="9"/>
      <c r="BX315" s="8"/>
      <c r="BY315" s="8"/>
      <c r="BZ315" s="8"/>
      <c r="CA315" s="8"/>
      <c r="CB315" s="9"/>
      <c r="CC315" s="8"/>
      <c r="CD315" s="8"/>
      <c r="CE315" s="7"/>
      <c r="CF315" s="7"/>
      <c r="CG315" s="7"/>
      <c r="CH315" s="7"/>
      <c r="CI315" s="7"/>
      <c r="CJ315" s="8"/>
      <c r="CK315" s="8"/>
      <c r="CL315" s="8"/>
      <c r="CM315" s="8"/>
      <c r="CN315" s="8"/>
      <c r="CO315" s="8"/>
      <c r="CP315" s="8"/>
      <c r="CQ315" s="8"/>
      <c r="CR315" s="8"/>
      <c r="CS315" s="8"/>
      <c r="CT315" s="8"/>
      <c r="CU315" s="8"/>
      <c r="CV315" s="8"/>
      <c r="CW315" s="8"/>
      <c r="CX315" s="8"/>
      <c r="CY315" s="8"/>
      <c r="CZ315" s="8"/>
      <c r="DA315" s="8"/>
      <c r="DB315" s="8"/>
      <c r="DC315" s="8"/>
    </row>
    <row r="316" spans="1:107" ht="15" hidden="1"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L316" s="8"/>
      <c r="BN316" s="8"/>
      <c r="BO316" s="8"/>
      <c r="BP316" s="8"/>
      <c r="BT316" s="50"/>
      <c r="BU316" s="8"/>
      <c r="BV316" s="9"/>
      <c r="BW316" s="9"/>
      <c r="BX316" s="8"/>
      <c r="BY316" s="8"/>
      <c r="BZ316" s="8"/>
      <c r="CA316" s="8"/>
      <c r="CB316" s="9"/>
      <c r="CC316" s="8"/>
      <c r="CD316" s="8"/>
      <c r="CE316" s="7"/>
      <c r="CF316" s="7"/>
      <c r="CG316" s="7"/>
      <c r="CH316" s="7"/>
      <c r="CI316" s="7"/>
      <c r="CJ316" s="8"/>
      <c r="CK316" s="8"/>
      <c r="CL316" s="8"/>
      <c r="CM316" s="8"/>
      <c r="CN316" s="8"/>
      <c r="CO316" s="8"/>
      <c r="CP316" s="8"/>
      <c r="CQ316" s="8"/>
      <c r="CR316" s="8"/>
      <c r="CS316" s="8"/>
      <c r="CT316" s="8"/>
      <c r="CU316" s="8"/>
      <c r="CV316" s="8"/>
      <c r="CW316" s="8"/>
      <c r="CX316" s="8"/>
      <c r="CY316" s="8"/>
      <c r="CZ316" s="8"/>
      <c r="DA316" s="8"/>
      <c r="DB316" s="8"/>
      <c r="DC316" s="8"/>
    </row>
    <row r="317" spans="1:107" ht="15" hidden="1"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c r="BD317" s="8"/>
      <c r="BE317" s="8"/>
      <c r="BF317" s="8"/>
      <c r="BL317" s="8"/>
      <c r="BN317" s="8"/>
      <c r="BO317" s="8"/>
      <c r="BP317" s="8"/>
      <c r="BT317" s="50"/>
      <c r="BU317" s="8"/>
      <c r="BV317" s="9"/>
      <c r="BW317" s="9"/>
      <c r="BX317" s="8"/>
      <c r="BY317" s="8"/>
      <c r="BZ317" s="8"/>
      <c r="CA317" s="8"/>
      <c r="CB317" s="9"/>
      <c r="CC317" s="8"/>
      <c r="CD317" s="8"/>
      <c r="CE317" s="7"/>
      <c r="CF317" s="7"/>
      <c r="CG317" s="7"/>
      <c r="CH317" s="7"/>
      <c r="CI317" s="7"/>
      <c r="CJ317" s="8"/>
      <c r="CK317" s="8"/>
      <c r="CL317" s="8"/>
      <c r="CM317" s="8"/>
      <c r="CN317" s="8"/>
      <c r="CO317" s="8"/>
      <c r="CP317" s="8"/>
      <c r="CQ317" s="8"/>
      <c r="CR317" s="8"/>
      <c r="CS317" s="8"/>
      <c r="CT317" s="8"/>
      <c r="CU317" s="8"/>
      <c r="CV317" s="8"/>
      <c r="CW317" s="8"/>
      <c r="CX317" s="8"/>
      <c r="CY317" s="8"/>
      <c r="CZ317" s="8"/>
      <c r="DA317" s="8"/>
      <c r="DB317" s="8"/>
      <c r="DC317" s="8"/>
    </row>
    <row r="318" spans="1:107" ht="15" hidden="1"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L318" s="8"/>
      <c r="BN318" s="8"/>
      <c r="BO318" s="8"/>
      <c r="BP318" s="8"/>
      <c r="BT318" s="50"/>
      <c r="BU318" s="8"/>
      <c r="BV318" s="9"/>
      <c r="BW318" s="9"/>
      <c r="BX318" s="8"/>
      <c r="BY318" s="8"/>
      <c r="BZ318" s="8"/>
      <c r="CA318" s="8"/>
      <c r="CB318" s="9"/>
      <c r="CC318" s="8"/>
      <c r="CD318" s="8"/>
      <c r="CE318" s="7"/>
      <c r="CF318" s="7"/>
      <c r="CG318" s="7"/>
      <c r="CH318" s="7"/>
      <c r="CI318" s="7"/>
      <c r="CJ318" s="8"/>
      <c r="CK318" s="8"/>
      <c r="CL318" s="8"/>
      <c r="CM318" s="8"/>
      <c r="CN318" s="8"/>
      <c r="CO318" s="8"/>
      <c r="CP318" s="8"/>
      <c r="CQ318" s="8"/>
      <c r="CR318" s="8"/>
      <c r="CS318" s="8"/>
      <c r="CT318" s="8"/>
      <c r="CU318" s="8"/>
      <c r="CV318" s="8"/>
      <c r="CW318" s="8"/>
      <c r="CX318" s="8"/>
      <c r="CY318" s="8"/>
      <c r="CZ318" s="8"/>
      <c r="DA318" s="8"/>
      <c r="DB318" s="8"/>
      <c r="DC318" s="8"/>
    </row>
    <row r="319" spans="1:107" ht="15" hidden="1"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c r="BD319" s="8"/>
      <c r="BE319" s="8"/>
      <c r="BF319" s="8"/>
      <c r="BL319" s="8"/>
      <c r="BN319" s="8"/>
      <c r="BO319" s="8"/>
      <c r="BP319" s="8"/>
      <c r="BT319" s="50"/>
      <c r="BU319" s="8"/>
      <c r="BV319" s="9"/>
      <c r="BW319" s="9"/>
      <c r="BX319" s="8"/>
      <c r="BY319" s="8"/>
      <c r="BZ319" s="8"/>
      <c r="CA319" s="8"/>
      <c r="CB319" s="9"/>
      <c r="CC319" s="8"/>
      <c r="CD319" s="8"/>
      <c r="CE319" s="7"/>
      <c r="CF319" s="7"/>
      <c r="CG319" s="7"/>
      <c r="CH319" s="7"/>
      <c r="CI319" s="7"/>
      <c r="CJ319" s="8"/>
      <c r="CK319" s="8"/>
      <c r="CL319" s="8"/>
      <c r="CM319" s="8"/>
      <c r="CN319" s="8"/>
      <c r="CO319" s="8"/>
      <c r="CP319" s="8"/>
      <c r="CQ319" s="8"/>
      <c r="CR319" s="8"/>
      <c r="CS319" s="8"/>
      <c r="CT319" s="8"/>
      <c r="CU319" s="8"/>
      <c r="CV319" s="8"/>
      <c r="CW319" s="8"/>
      <c r="CX319" s="8"/>
      <c r="CY319" s="8"/>
      <c r="CZ319" s="8"/>
      <c r="DA319" s="8"/>
      <c r="DB319" s="8"/>
      <c r="DC319" s="8"/>
    </row>
    <row r="320" spans="1:107" ht="15" hidden="1"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L320" s="8"/>
      <c r="BN320" s="8"/>
      <c r="BO320" s="8"/>
      <c r="BP320" s="8"/>
      <c r="BT320" s="50"/>
      <c r="BU320" s="8"/>
      <c r="BV320" s="9"/>
      <c r="BW320" s="9"/>
      <c r="BX320" s="8"/>
      <c r="BY320" s="8"/>
      <c r="BZ320" s="8"/>
      <c r="CA320" s="8"/>
      <c r="CB320" s="9"/>
      <c r="CC320" s="8"/>
      <c r="CD320" s="8"/>
      <c r="CE320" s="7"/>
      <c r="CF320" s="7"/>
      <c r="CG320" s="7"/>
      <c r="CH320" s="7"/>
      <c r="CI320" s="7"/>
      <c r="CJ320" s="8"/>
      <c r="CK320" s="8"/>
      <c r="CL320" s="8"/>
      <c r="CM320" s="8"/>
      <c r="CN320" s="8"/>
      <c r="CO320" s="8"/>
      <c r="CP320" s="8"/>
      <c r="CQ320" s="8"/>
      <c r="CR320" s="8"/>
      <c r="CS320" s="8"/>
      <c r="CT320" s="8"/>
      <c r="CU320" s="8"/>
      <c r="CV320" s="8"/>
      <c r="CW320" s="8"/>
      <c r="CX320" s="8"/>
      <c r="CY320" s="8"/>
      <c r="CZ320" s="8"/>
      <c r="DA320" s="8"/>
      <c r="DB320" s="8"/>
      <c r="DC320" s="8"/>
    </row>
    <row r="321" spans="1:107" ht="15" hidden="1"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c r="BD321" s="8"/>
      <c r="BE321" s="8"/>
      <c r="BF321" s="8"/>
      <c r="BL321" s="8"/>
      <c r="BN321" s="8"/>
      <c r="BO321" s="8"/>
      <c r="BP321" s="8"/>
      <c r="BT321" s="50"/>
      <c r="BU321" s="8"/>
      <c r="BV321" s="9"/>
      <c r="BW321" s="9"/>
      <c r="BX321" s="8"/>
      <c r="BY321" s="8"/>
      <c r="BZ321" s="8"/>
      <c r="CA321" s="8"/>
      <c r="CB321" s="9"/>
      <c r="CC321" s="8"/>
      <c r="CD321" s="8"/>
      <c r="CE321" s="7"/>
      <c r="CF321" s="7"/>
      <c r="CG321" s="7"/>
      <c r="CH321" s="7"/>
      <c r="CI321" s="7"/>
      <c r="CJ321" s="8"/>
      <c r="CK321" s="8"/>
      <c r="CL321" s="8"/>
      <c r="CM321" s="8"/>
      <c r="CN321" s="8"/>
      <c r="CO321" s="8"/>
      <c r="CP321" s="8"/>
      <c r="CQ321" s="8"/>
      <c r="CR321" s="8"/>
      <c r="CS321" s="8"/>
      <c r="CT321" s="8"/>
      <c r="CU321" s="8"/>
      <c r="CV321" s="8"/>
      <c r="CW321" s="8"/>
      <c r="CX321" s="8"/>
      <c r="CY321" s="8"/>
      <c r="CZ321" s="8"/>
      <c r="DA321" s="8"/>
      <c r="DB321" s="8"/>
      <c r="DC321" s="8"/>
    </row>
    <row r="322" spans="1:107" ht="15" hidden="1"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L322" s="8"/>
      <c r="BN322" s="8"/>
      <c r="BO322" s="8"/>
      <c r="BP322" s="8"/>
      <c r="BT322" s="50"/>
      <c r="BU322" s="8"/>
      <c r="BV322" s="9"/>
      <c r="BW322" s="9"/>
      <c r="BX322" s="8"/>
      <c r="BY322" s="8"/>
      <c r="BZ322" s="8"/>
      <c r="CA322" s="8"/>
      <c r="CB322" s="9"/>
      <c r="CC322" s="8"/>
      <c r="CD322" s="8"/>
      <c r="CE322" s="7"/>
      <c r="CF322" s="7"/>
      <c r="CG322" s="7"/>
      <c r="CH322" s="7"/>
      <c r="CI322" s="7"/>
      <c r="CJ322" s="8"/>
      <c r="CK322" s="8"/>
      <c r="CL322" s="8"/>
      <c r="CM322" s="8"/>
      <c r="CN322" s="8"/>
      <c r="CO322" s="8"/>
      <c r="CP322" s="8"/>
      <c r="CQ322" s="8"/>
      <c r="CR322" s="8"/>
      <c r="CS322" s="8"/>
      <c r="CT322" s="8"/>
      <c r="CU322" s="8"/>
      <c r="CV322" s="8"/>
      <c r="CW322" s="8"/>
      <c r="CX322" s="8"/>
      <c r="CY322" s="8"/>
      <c r="CZ322" s="8"/>
      <c r="DA322" s="8"/>
      <c r="DB322" s="8"/>
      <c r="DC322" s="8"/>
    </row>
    <row r="323" spans="1:107" ht="15" hidden="1"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8"/>
      <c r="BC323" s="8"/>
      <c r="BD323" s="8"/>
      <c r="BE323" s="8"/>
      <c r="BF323" s="8"/>
      <c r="BL323" s="8"/>
      <c r="BN323" s="8"/>
      <c r="BO323" s="8"/>
      <c r="BP323" s="8"/>
      <c r="BT323" s="50"/>
      <c r="BU323" s="8"/>
      <c r="BV323" s="9"/>
      <c r="BW323" s="9"/>
      <c r="BX323" s="8"/>
      <c r="BY323" s="8"/>
      <c r="BZ323" s="8"/>
      <c r="CA323" s="8"/>
      <c r="CB323" s="9"/>
      <c r="CC323" s="8"/>
      <c r="CD323" s="8"/>
      <c r="CE323" s="7"/>
      <c r="CF323" s="7"/>
      <c r="CG323" s="7"/>
      <c r="CH323" s="7"/>
      <c r="CI323" s="7"/>
      <c r="CJ323" s="8"/>
      <c r="CK323" s="8"/>
      <c r="CL323" s="8"/>
      <c r="CM323" s="8"/>
      <c r="CN323" s="8"/>
      <c r="CO323" s="8"/>
      <c r="CP323" s="8"/>
      <c r="CQ323" s="8"/>
      <c r="CR323" s="8"/>
      <c r="CS323" s="8"/>
      <c r="CT323" s="8"/>
      <c r="CU323" s="8"/>
      <c r="CV323" s="8"/>
      <c r="CW323" s="8"/>
      <c r="CX323" s="8"/>
      <c r="CY323" s="8"/>
      <c r="CZ323" s="8"/>
      <c r="DA323" s="8"/>
      <c r="DB323" s="8"/>
      <c r="DC323" s="8"/>
    </row>
    <row r="324" spans="1:107" ht="15" hidden="1"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8"/>
      <c r="BC324" s="8"/>
      <c r="BD324" s="8"/>
      <c r="BE324" s="8"/>
      <c r="BF324" s="8"/>
      <c r="BL324" s="8"/>
      <c r="BN324" s="8"/>
      <c r="BO324" s="8"/>
      <c r="BP324" s="8"/>
      <c r="BT324" s="50"/>
      <c r="BU324" s="8"/>
      <c r="BV324" s="9"/>
      <c r="BW324" s="9"/>
      <c r="BX324" s="8"/>
      <c r="BY324" s="8"/>
      <c r="BZ324" s="8"/>
      <c r="CA324" s="8"/>
      <c r="CB324" s="9"/>
      <c r="CC324" s="8"/>
      <c r="CD324" s="8"/>
      <c r="CE324" s="7"/>
      <c r="CF324" s="7"/>
      <c r="CG324" s="7"/>
      <c r="CH324" s="7"/>
      <c r="CI324" s="7"/>
      <c r="CJ324" s="8"/>
      <c r="CK324" s="8"/>
      <c r="CL324" s="8"/>
      <c r="CM324" s="8"/>
      <c r="CN324" s="8"/>
      <c r="CO324" s="8"/>
      <c r="CP324" s="8"/>
      <c r="CQ324" s="8"/>
      <c r="CR324" s="8"/>
      <c r="CS324" s="8"/>
      <c r="CT324" s="8"/>
      <c r="CU324" s="8"/>
      <c r="CV324" s="8"/>
      <c r="CW324" s="8"/>
      <c r="CX324" s="8"/>
      <c r="CY324" s="8"/>
      <c r="CZ324" s="8"/>
      <c r="DA324" s="8"/>
      <c r="DB324" s="8"/>
      <c r="DC324" s="8"/>
    </row>
    <row r="325" spans="1:107" ht="15" hidden="1"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c r="BD325" s="8"/>
      <c r="BE325" s="8"/>
      <c r="BF325" s="8"/>
      <c r="BL325" s="8"/>
      <c r="BN325" s="8"/>
      <c r="BO325" s="8"/>
      <c r="BP325" s="8"/>
      <c r="BT325" s="50"/>
      <c r="BU325" s="8"/>
      <c r="BV325" s="9"/>
      <c r="BW325" s="9"/>
      <c r="BX325" s="8"/>
      <c r="BY325" s="8"/>
      <c r="BZ325" s="8"/>
      <c r="CA325" s="59"/>
      <c r="CB325" s="7"/>
      <c r="CC325" s="7"/>
      <c r="CD325" s="7"/>
      <c r="CE325" s="7"/>
      <c r="CF325" s="7"/>
      <c r="CG325" s="7"/>
      <c r="CH325" s="7"/>
      <c r="CI325" s="7"/>
      <c r="CJ325" s="8"/>
      <c r="CK325" s="8"/>
      <c r="CL325" s="8"/>
      <c r="CM325" s="8"/>
      <c r="CN325" s="8"/>
      <c r="CO325" s="8"/>
      <c r="CP325" s="8"/>
      <c r="CQ325" s="8"/>
      <c r="CR325" s="8"/>
      <c r="CS325" s="8"/>
      <c r="CT325" s="8"/>
      <c r="CU325" s="8"/>
      <c r="CV325" s="8"/>
      <c r="CW325" s="8"/>
      <c r="CX325" s="8"/>
      <c r="CY325" s="8"/>
      <c r="CZ325" s="8"/>
      <c r="DA325" s="8"/>
      <c r="DB325" s="8"/>
      <c r="DC325" s="8"/>
    </row>
    <row r="326" spans="1:107" ht="15" hidden="1"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L326" s="8"/>
      <c r="BN326" s="8"/>
      <c r="BO326" s="8"/>
      <c r="BP326" s="8"/>
      <c r="BT326" s="50"/>
      <c r="BU326" s="8"/>
      <c r="BV326" s="9"/>
      <c r="BW326" s="9"/>
      <c r="BX326" s="8"/>
      <c r="BY326" s="8"/>
      <c r="BZ326" s="8"/>
      <c r="CA326" s="8"/>
      <c r="CB326" s="9"/>
      <c r="CC326" s="8"/>
      <c r="CD326" s="8"/>
      <c r="CE326" s="7"/>
      <c r="CF326" s="7"/>
      <c r="CG326" s="7"/>
      <c r="CH326" s="7"/>
      <c r="CI326" s="7"/>
      <c r="CJ326" s="8"/>
      <c r="CK326" s="8"/>
      <c r="CL326" s="8"/>
      <c r="CM326" s="8"/>
      <c r="CN326" s="8"/>
      <c r="CO326" s="8"/>
      <c r="CP326" s="8"/>
      <c r="CQ326" s="8"/>
      <c r="CR326" s="8"/>
      <c r="CS326" s="8"/>
      <c r="CT326" s="8"/>
      <c r="CU326" s="8"/>
      <c r="CV326" s="8"/>
      <c r="CW326" s="8"/>
      <c r="CX326" s="8"/>
      <c r="CY326" s="8"/>
      <c r="CZ326" s="8"/>
      <c r="DA326" s="8"/>
      <c r="DB326" s="8"/>
      <c r="DC326" s="8"/>
    </row>
    <row r="327" spans="1:107" ht="15" hidden="1"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L327" s="8"/>
      <c r="BN327" s="8"/>
      <c r="BO327" s="8"/>
      <c r="BP327" s="8"/>
      <c r="BT327" s="50"/>
      <c r="BU327" s="8"/>
      <c r="BV327" s="9"/>
      <c r="BW327" s="9"/>
      <c r="BX327" s="8"/>
      <c r="BY327" s="8"/>
      <c r="BZ327" s="8"/>
      <c r="CA327" s="8"/>
      <c r="CB327" s="9"/>
      <c r="CC327" s="8"/>
      <c r="CD327" s="8"/>
      <c r="CE327" s="7"/>
      <c r="CF327" s="7"/>
      <c r="CG327" s="7"/>
      <c r="CH327" s="7"/>
      <c r="CI327" s="7"/>
      <c r="CJ327" s="8"/>
      <c r="CK327" s="8"/>
      <c r="CL327" s="8"/>
      <c r="CM327" s="8"/>
      <c r="CN327" s="8"/>
      <c r="CO327" s="8"/>
      <c r="CP327" s="8"/>
      <c r="CQ327" s="8"/>
      <c r="CR327" s="8"/>
      <c r="CS327" s="8"/>
      <c r="CT327" s="8"/>
      <c r="CU327" s="8"/>
      <c r="CV327" s="8"/>
      <c r="CW327" s="8"/>
      <c r="CX327" s="8"/>
      <c r="CY327" s="8"/>
      <c r="CZ327" s="8"/>
      <c r="DA327" s="8"/>
      <c r="DB327" s="8"/>
      <c r="DC327" s="8"/>
    </row>
    <row r="328" spans="1:107" ht="15" hidden="1"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L328" s="8"/>
      <c r="BN328" s="8"/>
      <c r="BO328" s="8"/>
      <c r="BP328" s="8"/>
      <c r="BT328" s="50"/>
      <c r="BU328" s="8"/>
      <c r="BV328" s="9"/>
      <c r="BW328" s="9"/>
      <c r="BX328" s="8"/>
      <c r="BY328" s="8"/>
      <c r="BZ328" s="8"/>
      <c r="CA328" s="8"/>
      <c r="CB328" s="9"/>
      <c r="CC328" s="8"/>
      <c r="CD328" s="8"/>
      <c r="CE328" s="7"/>
      <c r="CF328" s="7"/>
      <c r="CG328" s="7"/>
      <c r="CH328" s="7"/>
      <c r="CI328" s="7"/>
      <c r="CJ328" s="8"/>
      <c r="CK328" s="8"/>
      <c r="CL328" s="8"/>
      <c r="CM328" s="8"/>
      <c r="CN328" s="8"/>
      <c r="CO328" s="8"/>
      <c r="CP328" s="8"/>
      <c r="CQ328" s="8"/>
      <c r="CR328" s="8"/>
      <c r="CS328" s="8"/>
      <c r="CT328" s="8"/>
      <c r="CU328" s="8"/>
      <c r="CV328" s="8"/>
      <c r="CW328" s="8"/>
      <c r="CX328" s="8"/>
      <c r="CY328" s="8"/>
      <c r="CZ328" s="8"/>
      <c r="DA328" s="8"/>
      <c r="DB328" s="8"/>
      <c r="DC328" s="8"/>
    </row>
    <row r="329" spans="1:107" ht="15" hidden="1"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L329" s="8"/>
      <c r="BN329" s="8"/>
      <c r="BO329" s="8"/>
      <c r="BP329" s="8"/>
      <c r="BT329" s="50"/>
      <c r="BU329" s="8"/>
      <c r="BV329" s="9"/>
      <c r="BW329" s="9"/>
      <c r="BX329" s="8"/>
      <c r="BY329" s="8"/>
      <c r="BZ329" s="8"/>
      <c r="CA329" s="8"/>
      <c r="CB329" s="9"/>
      <c r="CC329" s="8"/>
      <c r="CD329" s="8"/>
      <c r="CE329" s="7"/>
      <c r="CF329" s="7"/>
      <c r="CG329" s="7"/>
      <c r="CH329" s="7"/>
      <c r="CI329" s="7"/>
      <c r="CJ329" s="8"/>
      <c r="CK329" s="8"/>
      <c r="CL329" s="8"/>
      <c r="CM329" s="8"/>
      <c r="CN329" s="8"/>
      <c r="CO329" s="8"/>
      <c r="CP329" s="8"/>
      <c r="CQ329" s="8"/>
      <c r="CR329" s="8"/>
      <c r="CS329" s="8"/>
      <c r="CT329" s="8"/>
      <c r="CU329" s="8"/>
      <c r="CV329" s="8"/>
      <c r="CW329" s="8"/>
      <c r="CX329" s="8"/>
      <c r="CY329" s="8"/>
      <c r="CZ329" s="8"/>
      <c r="DA329" s="8"/>
      <c r="DB329" s="8"/>
      <c r="DC329" s="8"/>
    </row>
    <row r="330" spans="1:107" ht="15" hidden="1"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c r="BF330" s="8"/>
      <c r="BL330" s="8"/>
      <c r="BN330" s="8"/>
      <c r="BO330" s="8"/>
      <c r="BP330" s="8"/>
      <c r="BT330" s="50"/>
      <c r="BU330" s="8"/>
      <c r="BV330" s="9"/>
      <c r="BW330" s="9"/>
      <c r="BX330" s="8"/>
      <c r="BY330" s="8"/>
      <c r="BZ330" s="8"/>
      <c r="CA330" s="8"/>
      <c r="CB330" s="9"/>
      <c r="CC330" s="8"/>
      <c r="CD330" s="8"/>
      <c r="CE330" s="7"/>
      <c r="CF330" s="7"/>
      <c r="CG330" s="7"/>
      <c r="CH330" s="7"/>
      <c r="CI330" s="7"/>
      <c r="CJ330" s="8"/>
      <c r="CK330" s="8"/>
      <c r="CL330" s="8"/>
      <c r="CM330" s="8"/>
      <c r="CN330" s="8"/>
      <c r="CO330" s="8"/>
      <c r="CP330" s="8"/>
      <c r="CQ330" s="8"/>
      <c r="CR330" s="8"/>
      <c r="CS330" s="8"/>
      <c r="CT330" s="8"/>
      <c r="CU330" s="8"/>
      <c r="CV330" s="8"/>
      <c r="CW330" s="8"/>
      <c r="CX330" s="8"/>
      <c r="CY330" s="8"/>
      <c r="CZ330" s="8"/>
      <c r="DA330" s="8"/>
      <c r="DB330" s="8"/>
      <c r="DC330" s="8"/>
    </row>
    <row r="331" spans="1:107" ht="15" hidden="1"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8"/>
      <c r="BC331" s="8"/>
      <c r="BD331" s="8"/>
      <c r="BE331" s="8"/>
      <c r="BF331" s="8"/>
      <c r="BL331" s="8"/>
      <c r="BN331" s="8"/>
      <c r="BO331" s="8"/>
      <c r="BP331" s="8"/>
      <c r="BT331" s="50"/>
      <c r="BU331" s="8"/>
      <c r="BV331" s="9"/>
      <c r="BW331" s="9"/>
      <c r="BX331" s="8"/>
      <c r="BY331" s="8"/>
      <c r="BZ331" s="8"/>
      <c r="CA331" s="8"/>
      <c r="CB331" s="9"/>
      <c r="CC331" s="8"/>
      <c r="CD331" s="8"/>
      <c r="CE331" s="7"/>
      <c r="CF331" s="7"/>
      <c r="CG331" s="7"/>
      <c r="CH331" s="7"/>
      <c r="CI331" s="7"/>
      <c r="CJ331" s="8"/>
      <c r="CK331" s="8"/>
      <c r="CL331" s="8"/>
      <c r="CM331" s="8"/>
      <c r="CN331" s="8"/>
      <c r="CO331" s="8"/>
      <c r="CP331" s="8"/>
      <c r="CQ331" s="8"/>
      <c r="CR331" s="8"/>
      <c r="CS331" s="8"/>
      <c r="CT331" s="8"/>
      <c r="CU331" s="8"/>
      <c r="CV331" s="8"/>
      <c r="CW331" s="8"/>
      <c r="CX331" s="8"/>
      <c r="CY331" s="8"/>
      <c r="CZ331" s="8"/>
      <c r="DA331" s="8"/>
      <c r="DB331" s="8"/>
      <c r="DC331" s="8"/>
    </row>
    <row r="332" spans="1:107" ht="15" hidden="1"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c r="BB332" s="8"/>
      <c r="BC332" s="8"/>
      <c r="BD332" s="8"/>
      <c r="BE332" s="8"/>
      <c r="BF332" s="8"/>
      <c r="BL332" s="8"/>
      <c r="BN332" s="8"/>
      <c r="BO332" s="8"/>
      <c r="BP332" s="8"/>
      <c r="BT332" s="50"/>
      <c r="BU332" s="8"/>
      <c r="BV332" s="9"/>
      <c r="BW332" s="9"/>
      <c r="BX332" s="8"/>
      <c r="BY332" s="8"/>
      <c r="BZ332" s="8"/>
      <c r="CA332" s="8"/>
      <c r="CB332" s="9"/>
      <c r="CC332" s="8"/>
      <c r="CD332" s="8"/>
      <c r="CE332" s="7"/>
      <c r="CF332" s="7"/>
      <c r="CG332" s="7"/>
      <c r="CH332" s="7"/>
      <c r="CI332" s="7"/>
      <c r="CJ332" s="8"/>
      <c r="CK332" s="8"/>
      <c r="CL332" s="8"/>
      <c r="CM332" s="8"/>
      <c r="CN332" s="8"/>
      <c r="CO332" s="8"/>
      <c r="CP332" s="8"/>
      <c r="CQ332" s="8"/>
      <c r="CR332" s="8"/>
      <c r="CS332" s="8"/>
      <c r="CT332" s="8"/>
      <c r="CU332" s="8"/>
      <c r="CV332" s="8"/>
      <c r="CW332" s="8"/>
      <c r="CX332" s="8"/>
      <c r="CY332" s="8"/>
      <c r="CZ332" s="8"/>
      <c r="DA332" s="8"/>
      <c r="DB332" s="8"/>
      <c r="DC332" s="8"/>
    </row>
    <row r="333" spans="1:107" ht="15" hidden="1"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L333" s="8"/>
      <c r="BN333" s="8"/>
      <c r="BO333" s="8"/>
      <c r="BP333" s="8"/>
      <c r="BT333" s="50"/>
      <c r="BU333" s="8"/>
      <c r="BV333" s="9"/>
      <c r="BW333" s="9"/>
      <c r="BX333" s="8"/>
      <c r="BY333" s="8"/>
      <c r="BZ333" s="8"/>
      <c r="CA333" s="8"/>
      <c r="CB333" s="9"/>
      <c r="CC333" s="8"/>
      <c r="CD333" s="8"/>
      <c r="CE333" s="7"/>
      <c r="CF333" s="7"/>
      <c r="CG333" s="7"/>
      <c r="CH333" s="7"/>
      <c r="CI333" s="7"/>
      <c r="CJ333" s="8"/>
      <c r="CK333" s="8"/>
      <c r="CL333" s="8"/>
      <c r="CM333" s="8"/>
      <c r="CN333" s="8"/>
      <c r="CO333" s="8"/>
      <c r="CP333" s="8"/>
      <c r="CQ333" s="8"/>
      <c r="CR333" s="8"/>
      <c r="CS333" s="8"/>
      <c r="CT333" s="8"/>
      <c r="CU333" s="8"/>
      <c r="CV333" s="8"/>
      <c r="CW333" s="8"/>
      <c r="CX333" s="8"/>
      <c r="CY333" s="8"/>
      <c r="CZ333" s="8"/>
      <c r="DA333" s="8"/>
      <c r="DB333" s="8"/>
      <c r="DC333" s="8"/>
    </row>
    <row r="334" spans="1:107" ht="15" hidden="1"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c r="AZ334" s="8"/>
      <c r="BA334" s="8"/>
      <c r="BB334" s="8"/>
      <c r="BC334" s="8"/>
      <c r="BD334" s="8"/>
      <c r="BE334" s="8"/>
      <c r="BF334" s="8"/>
      <c r="BL334" s="8"/>
      <c r="BN334" s="8"/>
      <c r="BO334" s="8"/>
      <c r="BP334" s="8"/>
      <c r="BT334" s="50"/>
      <c r="BU334" s="8"/>
      <c r="BV334" s="9"/>
      <c r="BW334" s="9"/>
      <c r="BX334" s="8"/>
      <c r="BY334" s="8"/>
      <c r="BZ334" s="8"/>
      <c r="CA334" s="8"/>
      <c r="CB334" s="9"/>
      <c r="CC334" s="8"/>
      <c r="CD334" s="8"/>
      <c r="CE334" s="7"/>
      <c r="CF334" s="7"/>
      <c r="CG334" s="7"/>
      <c r="CH334" s="7"/>
      <c r="CI334" s="7"/>
      <c r="CJ334" s="8"/>
      <c r="CK334" s="8"/>
      <c r="CL334" s="8"/>
      <c r="CM334" s="8"/>
      <c r="CN334" s="8"/>
      <c r="CO334" s="8"/>
      <c r="CP334" s="8"/>
      <c r="CQ334" s="8"/>
      <c r="CR334" s="8"/>
      <c r="CS334" s="8"/>
      <c r="CT334" s="8"/>
      <c r="CU334" s="8"/>
      <c r="CV334" s="8"/>
      <c r="CW334" s="8"/>
      <c r="CX334" s="8"/>
      <c r="CY334" s="8"/>
      <c r="CZ334" s="8"/>
      <c r="DA334" s="8"/>
      <c r="DB334" s="8"/>
      <c r="DC334" s="8"/>
    </row>
    <row r="335" spans="1:107" ht="15" hidden="1"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c r="AZ335" s="8"/>
      <c r="BA335" s="8"/>
      <c r="BB335" s="8"/>
      <c r="BC335" s="8"/>
      <c r="BD335" s="8"/>
      <c r="BE335" s="8"/>
      <c r="BF335" s="8"/>
      <c r="BL335" s="8"/>
      <c r="BN335" s="8"/>
      <c r="BO335" s="8"/>
      <c r="BP335" s="8"/>
      <c r="BT335" s="50"/>
      <c r="BU335" s="8"/>
      <c r="BV335" s="9"/>
      <c r="BW335" s="9"/>
      <c r="BX335" s="8"/>
      <c r="BY335" s="8"/>
      <c r="BZ335" s="8"/>
      <c r="CA335" s="8"/>
      <c r="CB335" s="9"/>
      <c r="CC335" s="8"/>
      <c r="CD335" s="8"/>
      <c r="CE335" s="7"/>
      <c r="CF335" s="7"/>
      <c r="CG335" s="7"/>
      <c r="CH335" s="7"/>
      <c r="CI335" s="7"/>
      <c r="CJ335" s="8"/>
      <c r="CK335" s="8"/>
      <c r="CL335" s="8"/>
      <c r="CM335" s="8"/>
      <c r="CN335" s="8"/>
      <c r="CO335" s="8"/>
      <c r="CP335" s="8"/>
      <c r="CQ335" s="8"/>
      <c r="CR335" s="8"/>
      <c r="CS335" s="8"/>
      <c r="CT335" s="8"/>
      <c r="CU335" s="8"/>
      <c r="CV335" s="8"/>
      <c r="CW335" s="8"/>
      <c r="CX335" s="8"/>
      <c r="CY335" s="8"/>
      <c r="CZ335" s="8"/>
      <c r="DA335" s="8"/>
      <c r="DB335" s="8"/>
      <c r="DC335" s="8"/>
    </row>
    <row r="336" spans="1:107" ht="15" hidden="1"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c r="AZ336" s="8"/>
      <c r="BA336" s="8"/>
      <c r="BB336" s="8"/>
      <c r="BC336" s="8"/>
      <c r="BD336" s="8"/>
      <c r="BE336" s="8"/>
      <c r="BF336" s="8"/>
      <c r="BL336" s="8"/>
      <c r="BN336" s="8"/>
      <c r="BO336" s="8"/>
      <c r="BP336" s="8"/>
      <c r="BT336" s="50"/>
      <c r="BU336" s="8"/>
      <c r="BV336" s="9"/>
      <c r="BW336" s="9"/>
      <c r="BX336" s="8"/>
      <c r="BY336" s="8"/>
      <c r="BZ336" s="8"/>
      <c r="CA336" s="8"/>
      <c r="CB336" s="9"/>
      <c r="CC336" s="8"/>
      <c r="CD336" s="8"/>
      <c r="CE336" s="7"/>
      <c r="CF336" s="7"/>
      <c r="CG336" s="7"/>
      <c r="CH336" s="7"/>
      <c r="CI336" s="7"/>
      <c r="CJ336" s="8"/>
      <c r="CK336" s="8"/>
      <c r="CL336" s="8"/>
      <c r="CM336" s="8"/>
      <c r="CN336" s="8"/>
      <c r="CO336" s="8"/>
      <c r="CP336" s="8"/>
      <c r="CQ336" s="8"/>
      <c r="CR336" s="8"/>
      <c r="CS336" s="8"/>
      <c r="CT336" s="8"/>
      <c r="CU336" s="8"/>
      <c r="CV336" s="8"/>
      <c r="CW336" s="8"/>
      <c r="CX336" s="8"/>
      <c r="CY336" s="8"/>
      <c r="CZ336" s="8"/>
      <c r="DA336" s="8"/>
      <c r="DB336" s="8"/>
      <c r="DC336" s="8"/>
    </row>
    <row r="337" spans="1:107" ht="15" hidden="1"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8"/>
      <c r="BC337" s="8"/>
      <c r="BD337" s="8"/>
      <c r="BE337" s="8"/>
      <c r="BF337" s="8"/>
      <c r="BL337" s="8"/>
      <c r="BN337" s="8"/>
      <c r="BO337" s="8"/>
      <c r="BP337" s="8"/>
      <c r="BT337" s="50"/>
      <c r="BU337" s="8"/>
      <c r="BV337" s="9"/>
      <c r="BW337" s="9"/>
      <c r="BX337" s="8"/>
      <c r="BY337" s="8"/>
      <c r="BZ337" s="8"/>
      <c r="CA337" s="8"/>
      <c r="CB337" s="9"/>
      <c r="CC337" s="8"/>
      <c r="CD337" s="8"/>
      <c r="CE337" s="7"/>
      <c r="CF337" s="7"/>
      <c r="CG337" s="7"/>
      <c r="CH337" s="7"/>
      <c r="CI337" s="7"/>
      <c r="CJ337" s="8"/>
      <c r="CK337" s="8"/>
      <c r="CL337" s="8"/>
      <c r="CM337" s="8"/>
      <c r="CN337" s="8"/>
      <c r="CO337" s="8"/>
      <c r="CP337" s="8"/>
      <c r="CQ337" s="8"/>
      <c r="CR337" s="8"/>
      <c r="CS337" s="8"/>
      <c r="CT337" s="8"/>
      <c r="CU337" s="8"/>
      <c r="CV337" s="8"/>
      <c r="CW337" s="8"/>
      <c r="CX337" s="8"/>
      <c r="CY337" s="8"/>
      <c r="CZ337" s="8"/>
      <c r="DA337" s="8"/>
      <c r="DB337" s="8"/>
      <c r="DC337" s="8"/>
    </row>
    <row r="338" spans="1:107" ht="15" hidden="1"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c r="AZ338" s="8"/>
      <c r="BA338" s="8"/>
      <c r="BB338" s="8"/>
      <c r="BC338" s="8"/>
      <c r="BD338" s="8"/>
      <c r="BE338" s="8"/>
      <c r="BF338" s="8"/>
      <c r="BL338" s="8"/>
      <c r="BN338" s="8"/>
      <c r="BO338" s="8"/>
      <c r="BP338" s="8"/>
      <c r="BT338" s="50"/>
      <c r="BU338" s="8"/>
      <c r="BV338" s="9"/>
      <c r="BW338" s="9"/>
      <c r="BX338" s="8"/>
      <c r="BY338" s="8"/>
      <c r="BZ338" s="8"/>
      <c r="CA338" s="8"/>
      <c r="CB338" s="9"/>
      <c r="CC338" s="8"/>
      <c r="CD338" s="8"/>
      <c r="CE338" s="7"/>
      <c r="CF338" s="7"/>
      <c r="CG338" s="7"/>
      <c r="CH338" s="7"/>
      <c r="CI338" s="7"/>
      <c r="CJ338" s="8"/>
      <c r="CK338" s="8"/>
      <c r="CL338" s="8"/>
      <c r="CM338" s="8"/>
      <c r="CN338" s="8"/>
      <c r="CO338" s="8"/>
      <c r="CP338" s="8"/>
      <c r="CQ338" s="8"/>
      <c r="CR338" s="8"/>
      <c r="CS338" s="8"/>
      <c r="CT338" s="8"/>
      <c r="CU338" s="8"/>
      <c r="CV338" s="8"/>
      <c r="CW338" s="8"/>
      <c r="CX338" s="8"/>
      <c r="CY338" s="8"/>
      <c r="CZ338" s="8"/>
      <c r="DA338" s="8"/>
      <c r="DB338" s="8"/>
      <c r="DC338" s="8"/>
    </row>
    <row r="339" spans="1:107" ht="15" hidden="1"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c r="AZ339" s="8"/>
      <c r="BA339" s="8"/>
      <c r="BB339" s="8"/>
      <c r="BC339" s="8"/>
      <c r="BD339" s="8"/>
      <c r="BE339" s="8"/>
      <c r="BF339" s="8"/>
      <c r="BL339" s="8"/>
      <c r="BN339" s="8"/>
      <c r="BO339" s="8"/>
      <c r="BP339" s="8"/>
      <c r="BT339" s="50"/>
      <c r="BU339" s="8"/>
      <c r="BV339" s="9"/>
      <c r="BW339" s="9"/>
      <c r="BX339" s="8"/>
      <c r="BY339" s="8"/>
      <c r="BZ339" s="8"/>
      <c r="CA339" s="8"/>
      <c r="CB339" s="9"/>
      <c r="CC339" s="8"/>
      <c r="CD339" s="8"/>
      <c r="CE339" s="7"/>
      <c r="CF339" s="7"/>
      <c r="CG339" s="7"/>
      <c r="CH339" s="7"/>
      <c r="CI339" s="7"/>
      <c r="CJ339" s="8"/>
      <c r="CK339" s="8"/>
      <c r="CL339" s="8"/>
      <c r="CM339" s="8"/>
      <c r="CN339" s="8"/>
      <c r="CO339" s="8"/>
      <c r="CP339" s="8"/>
      <c r="CQ339" s="8"/>
      <c r="CR339" s="8"/>
      <c r="CS339" s="8"/>
      <c r="CT339" s="8"/>
      <c r="CU339" s="8"/>
      <c r="CV339" s="8"/>
      <c r="CW339" s="8"/>
      <c r="CX339" s="8"/>
      <c r="CY339" s="8"/>
      <c r="CZ339" s="8"/>
      <c r="DA339" s="8"/>
      <c r="DB339" s="8"/>
      <c r="DC339" s="8"/>
    </row>
    <row r="340" spans="1:107" ht="15" hidden="1"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L340" s="8"/>
      <c r="BN340" s="8"/>
      <c r="BO340" s="8"/>
      <c r="BP340" s="8"/>
      <c r="BT340" s="50"/>
      <c r="BU340" s="8"/>
      <c r="BV340" s="9"/>
      <c r="BW340" s="9"/>
      <c r="BX340" s="8"/>
      <c r="BY340" s="8"/>
      <c r="BZ340" s="8"/>
      <c r="CA340" s="59"/>
      <c r="CB340" s="7"/>
      <c r="CC340" s="7"/>
      <c r="CD340" s="7"/>
      <c r="CE340" s="7"/>
      <c r="CF340" s="7"/>
      <c r="CG340" s="7"/>
      <c r="CH340" s="7"/>
      <c r="CI340" s="7"/>
      <c r="CJ340" s="8"/>
      <c r="CK340" s="8"/>
      <c r="CL340" s="8"/>
      <c r="CM340" s="8"/>
      <c r="CN340" s="8"/>
      <c r="CO340" s="8"/>
      <c r="CP340" s="8"/>
      <c r="CQ340" s="8"/>
      <c r="CR340" s="8"/>
      <c r="CS340" s="8"/>
      <c r="CT340" s="8"/>
      <c r="CU340" s="8"/>
      <c r="CV340" s="8"/>
      <c r="CW340" s="8"/>
      <c r="CX340" s="8"/>
      <c r="CY340" s="8"/>
      <c r="CZ340" s="8"/>
      <c r="DA340" s="8"/>
      <c r="DB340" s="8"/>
      <c r="DC340" s="8"/>
    </row>
    <row r="341" spans="1:107" ht="15" hidden="1"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c r="BB341" s="8"/>
      <c r="BC341" s="8"/>
      <c r="BD341" s="8"/>
      <c r="BE341" s="8"/>
      <c r="BF341" s="8"/>
      <c r="BL341" s="8"/>
      <c r="BN341" s="8"/>
      <c r="BO341" s="8"/>
      <c r="BP341" s="8"/>
      <c r="BT341" s="50"/>
      <c r="BU341" s="8"/>
      <c r="BV341" s="9"/>
      <c r="BW341" s="9"/>
      <c r="BX341" s="8"/>
      <c r="BY341" s="8"/>
      <c r="BZ341" s="8"/>
      <c r="CA341" s="8"/>
      <c r="CB341" s="9"/>
      <c r="CC341" s="8"/>
      <c r="CD341" s="8"/>
      <c r="CE341" s="7"/>
      <c r="CF341" s="7"/>
      <c r="CG341" s="7"/>
      <c r="CH341" s="7"/>
      <c r="CI341" s="7"/>
      <c r="CJ341" s="8"/>
      <c r="CK341" s="8"/>
      <c r="CL341" s="8"/>
      <c r="CM341" s="8"/>
      <c r="CN341" s="8"/>
      <c r="CO341" s="8"/>
      <c r="CP341" s="8"/>
      <c r="CQ341" s="8"/>
      <c r="CR341" s="8"/>
      <c r="CS341" s="8"/>
      <c r="CT341" s="8"/>
      <c r="CU341" s="8"/>
      <c r="CV341" s="8"/>
      <c r="CW341" s="8"/>
      <c r="CX341" s="8"/>
      <c r="CY341" s="8"/>
      <c r="CZ341" s="8"/>
      <c r="DA341" s="8"/>
      <c r="DB341" s="8"/>
      <c r="DC341" s="8"/>
    </row>
    <row r="342" spans="1:107" ht="15" hidden="1"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c r="AZ342" s="8"/>
      <c r="BA342" s="8"/>
      <c r="BB342" s="8"/>
      <c r="BC342" s="8"/>
      <c r="BD342" s="8"/>
      <c r="BE342" s="8"/>
      <c r="BF342" s="8"/>
      <c r="BL342" s="8"/>
      <c r="BN342" s="8"/>
      <c r="BO342" s="8"/>
      <c r="BP342" s="8"/>
      <c r="BT342" s="50"/>
      <c r="BU342" s="8"/>
      <c r="BV342" s="9"/>
      <c r="BW342" s="9"/>
      <c r="BX342" s="8"/>
      <c r="BY342" s="8"/>
      <c r="BZ342" s="8"/>
      <c r="CA342" s="8"/>
      <c r="CB342" s="9"/>
      <c r="CC342" s="8"/>
      <c r="CD342" s="8"/>
      <c r="CE342" s="7"/>
      <c r="CF342" s="7"/>
      <c r="CG342" s="7"/>
      <c r="CH342" s="7"/>
      <c r="CI342" s="7"/>
      <c r="CJ342" s="8"/>
      <c r="CK342" s="8"/>
      <c r="CL342" s="8"/>
      <c r="CM342" s="8"/>
      <c r="CN342" s="8"/>
      <c r="CO342" s="8"/>
      <c r="CP342" s="8"/>
      <c r="CQ342" s="8"/>
      <c r="CR342" s="8"/>
      <c r="CS342" s="8"/>
      <c r="CT342" s="8"/>
      <c r="CU342" s="8"/>
      <c r="CV342" s="8"/>
      <c r="CW342" s="8"/>
      <c r="CX342" s="8"/>
      <c r="CY342" s="8"/>
      <c r="CZ342" s="8"/>
      <c r="DA342" s="8"/>
      <c r="DB342" s="8"/>
      <c r="DC342" s="8"/>
    </row>
    <row r="343" spans="1:107" ht="15" hidden="1"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c r="AZ343" s="8"/>
      <c r="BA343" s="8"/>
      <c r="BB343" s="8"/>
      <c r="BC343" s="8"/>
      <c r="BD343" s="8"/>
      <c r="BE343" s="8"/>
      <c r="BF343" s="8"/>
      <c r="BL343" s="8"/>
      <c r="BN343" s="8"/>
      <c r="BO343" s="8"/>
      <c r="BP343" s="8"/>
      <c r="BT343" s="50"/>
      <c r="BU343" s="8"/>
      <c r="BV343" s="9"/>
      <c r="BW343" s="9"/>
      <c r="BX343" s="8"/>
      <c r="BY343" s="8"/>
      <c r="BZ343" s="8"/>
      <c r="CA343" s="8"/>
      <c r="CB343" s="9"/>
      <c r="CC343" s="8"/>
      <c r="CD343" s="8"/>
      <c r="CE343" s="7"/>
      <c r="CF343" s="7"/>
      <c r="CG343" s="7"/>
      <c r="CH343" s="7"/>
      <c r="CI343" s="7"/>
      <c r="CJ343" s="8"/>
      <c r="CK343" s="8"/>
      <c r="CL343" s="8"/>
      <c r="CM343" s="8"/>
      <c r="CN343" s="8"/>
      <c r="CO343" s="8"/>
      <c r="CP343" s="8"/>
      <c r="CQ343" s="8"/>
      <c r="CR343" s="8"/>
      <c r="CS343" s="8"/>
      <c r="CT343" s="8"/>
      <c r="CU343" s="8"/>
      <c r="CV343" s="8"/>
      <c r="CW343" s="8"/>
      <c r="CX343" s="8"/>
      <c r="CY343" s="8"/>
      <c r="CZ343" s="8"/>
      <c r="DA343" s="8"/>
      <c r="DB343" s="8"/>
      <c r="DC343" s="8"/>
    </row>
    <row r="344" spans="1:107" ht="15" hidden="1"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8"/>
      <c r="BF344" s="8"/>
      <c r="BL344" s="8"/>
      <c r="BN344" s="8"/>
      <c r="BO344" s="8"/>
      <c r="BP344" s="8"/>
      <c r="BT344" s="50"/>
      <c r="BU344" s="8"/>
      <c r="BV344" s="9"/>
      <c r="BW344" s="9"/>
      <c r="BX344" s="8"/>
      <c r="BY344" s="8"/>
      <c r="BZ344" s="8"/>
      <c r="CA344" s="8"/>
      <c r="CB344" s="9"/>
      <c r="CC344" s="8"/>
      <c r="CD344" s="8"/>
      <c r="CE344" s="7"/>
      <c r="CF344" s="7"/>
      <c r="CG344" s="7"/>
      <c r="CH344" s="7"/>
      <c r="CI344" s="7"/>
      <c r="CJ344" s="8"/>
      <c r="CK344" s="8"/>
      <c r="CL344" s="8"/>
      <c r="CM344" s="8"/>
      <c r="CN344" s="8"/>
      <c r="CO344" s="8"/>
      <c r="CP344" s="8"/>
      <c r="CQ344" s="8"/>
      <c r="CR344" s="8"/>
      <c r="CS344" s="8"/>
      <c r="CT344" s="8"/>
      <c r="CU344" s="8"/>
      <c r="CV344" s="8"/>
      <c r="CW344" s="8"/>
      <c r="CX344" s="8"/>
      <c r="CY344" s="8"/>
      <c r="CZ344" s="8"/>
      <c r="DA344" s="8"/>
      <c r="DB344" s="8"/>
      <c r="DC344" s="8"/>
    </row>
    <row r="345" spans="1:107" ht="15" hidden="1"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L345" s="8"/>
      <c r="BN345" s="8"/>
      <c r="BO345" s="8"/>
      <c r="BP345" s="8"/>
      <c r="BT345" s="50"/>
      <c r="BU345" s="8"/>
      <c r="BV345" s="9"/>
      <c r="BW345" s="9"/>
      <c r="BX345" s="8"/>
      <c r="BY345" s="8"/>
      <c r="BZ345" s="8"/>
      <c r="CA345" s="8"/>
      <c r="CB345" s="9"/>
      <c r="CC345" s="8"/>
      <c r="CD345" s="8"/>
      <c r="CE345" s="7"/>
      <c r="CF345" s="7"/>
      <c r="CG345" s="7"/>
      <c r="CH345" s="7"/>
      <c r="CI345" s="7"/>
      <c r="CJ345" s="8"/>
      <c r="CK345" s="8"/>
      <c r="CL345" s="8"/>
      <c r="CM345" s="8"/>
      <c r="CN345" s="8"/>
      <c r="CO345" s="8"/>
      <c r="CP345" s="8"/>
      <c r="CQ345" s="8"/>
      <c r="CR345" s="8"/>
      <c r="CS345" s="8"/>
      <c r="CT345" s="8"/>
      <c r="CU345" s="8"/>
      <c r="CV345" s="8"/>
      <c r="CW345" s="8"/>
      <c r="CX345" s="8"/>
      <c r="CY345" s="8"/>
      <c r="CZ345" s="8"/>
      <c r="DA345" s="8"/>
      <c r="DB345" s="8"/>
      <c r="DC345" s="8"/>
    </row>
    <row r="346" spans="1:107" ht="15" hidden="1"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c r="BD346" s="8"/>
      <c r="BE346" s="8"/>
      <c r="BF346" s="8"/>
      <c r="BL346" s="8"/>
      <c r="BN346" s="8"/>
      <c r="BO346" s="8"/>
      <c r="BP346" s="8"/>
      <c r="BT346" s="50"/>
      <c r="BU346" s="8"/>
      <c r="BV346" s="9"/>
      <c r="BW346" s="9"/>
      <c r="BX346" s="8"/>
      <c r="BY346" s="8"/>
      <c r="BZ346" s="8"/>
      <c r="CA346" s="8"/>
      <c r="CB346" s="9"/>
      <c r="CC346" s="8"/>
      <c r="CD346" s="8"/>
      <c r="CE346" s="7"/>
      <c r="CF346" s="7"/>
      <c r="CG346" s="7"/>
      <c r="CH346" s="7"/>
      <c r="CI346" s="7"/>
      <c r="CJ346" s="8"/>
      <c r="CK346" s="8"/>
      <c r="CL346" s="8"/>
      <c r="CM346" s="8"/>
      <c r="CN346" s="8"/>
      <c r="CO346" s="8"/>
      <c r="CP346" s="8"/>
      <c r="CQ346" s="8"/>
      <c r="CR346" s="8"/>
      <c r="CS346" s="8"/>
      <c r="CT346" s="8"/>
      <c r="CU346" s="8"/>
      <c r="CV346" s="8"/>
      <c r="CW346" s="8"/>
      <c r="CX346" s="8"/>
      <c r="CY346" s="8"/>
      <c r="CZ346" s="8"/>
      <c r="DA346" s="8"/>
      <c r="DB346" s="8"/>
      <c r="DC346" s="8"/>
    </row>
    <row r="347" spans="1:107" ht="15" hidden="1"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c r="BD347" s="8"/>
      <c r="BE347" s="8"/>
      <c r="BF347" s="8"/>
      <c r="BL347" s="8"/>
      <c r="BN347" s="8"/>
      <c r="BO347" s="8"/>
      <c r="BP347" s="8"/>
      <c r="BT347" s="50"/>
      <c r="BU347" s="8"/>
      <c r="BV347" s="9"/>
      <c r="BW347" s="9"/>
      <c r="BX347" s="8"/>
      <c r="BY347" s="8"/>
      <c r="BZ347" s="8"/>
      <c r="CA347" s="8"/>
      <c r="CB347" s="9"/>
      <c r="CC347" s="8"/>
      <c r="CD347" s="8"/>
      <c r="CE347" s="7"/>
      <c r="CF347" s="7"/>
      <c r="CG347" s="7"/>
      <c r="CH347" s="7"/>
      <c r="CI347" s="7"/>
      <c r="CJ347" s="8"/>
      <c r="CK347" s="8"/>
      <c r="CL347" s="8"/>
      <c r="CM347" s="8"/>
      <c r="CN347" s="8"/>
      <c r="CO347" s="8"/>
      <c r="CP347" s="8"/>
      <c r="CQ347" s="8"/>
      <c r="CR347" s="8"/>
      <c r="CS347" s="8"/>
      <c r="CT347" s="8"/>
      <c r="CU347" s="8"/>
      <c r="CV347" s="8"/>
      <c r="CW347" s="8"/>
      <c r="CX347" s="8"/>
      <c r="CY347" s="8"/>
      <c r="CZ347" s="8"/>
      <c r="DA347" s="8"/>
      <c r="DB347" s="8"/>
      <c r="DC347" s="8"/>
    </row>
    <row r="348" spans="1:107" ht="15" hidden="1"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c r="BD348" s="8"/>
      <c r="BE348" s="8"/>
      <c r="BF348" s="8"/>
      <c r="BL348" s="8"/>
      <c r="BN348" s="8"/>
      <c r="BO348" s="8"/>
      <c r="BP348" s="8"/>
      <c r="BT348" s="50"/>
      <c r="BU348" s="8"/>
      <c r="BV348" s="9"/>
      <c r="BW348" s="9"/>
      <c r="BX348" s="8"/>
      <c r="BY348" s="8"/>
      <c r="BZ348" s="8"/>
      <c r="CA348" s="8"/>
      <c r="CB348" s="9"/>
      <c r="CC348" s="8"/>
      <c r="CD348" s="8"/>
      <c r="CE348" s="7"/>
      <c r="CF348" s="7"/>
      <c r="CG348" s="7"/>
      <c r="CH348" s="7"/>
      <c r="CI348" s="7"/>
      <c r="CJ348" s="8"/>
      <c r="CK348" s="8"/>
      <c r="CL348" s="8"/>
      <c r="CM348" s="8"/>
      <c r="CN348" s="8"/>
      <c r="CO348" s="8"/>
      <c r="CP348" s="8"/>
      <c r="CQ348" s="8"/>
      <c r="CR348" s="8"/>
      <c r="CS348" s="8"/>
      <c r="CT348" s="8"/>
      <c r="CU348" s="8"/>
      <c r="CV348" s="8"/>
      <c r="CW348" s="8"/>
      <c r="CX348" s="8"/>
      <c r="CY348" s="8"/>
      <c r="CZ348" s="8"/>
      <c r="DA348" s="8"/>
      <c r="DB348" s="8"/>
      <c r="DC348" s="8"/>
    </row>
    <row r="349" spans="1:107" ht="15" hidden="1"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L349" s="8"/>
      <c r="BN349" s="8"/>
      <c r="BO349" s="8"/>
      <c r="BP349" s="8"/>
      <c r="BT349" s="50"/>
      <c r="BU349" s="8"/>
      <c r="BV349" s="9"/>
      <c r="BW349" s="9"/>
      <c r="BX349" s="8"/>
      <c r="BY349" s="8"/>
      <c r="BZ349" s="8"/>
      <c r="CA349" s="8"/>
      <c r="CB349" s="9"/>
      <c r="CC349" s="8"/>
      <c r="CD349" s="8"/>
      <c r="CE349" s="7"/>
      <c r="CF349" s="7"/>
      <c r="CG349" s="7"/>
      <c r="CH349" s="7"/>
      <c r="CI349" s="7"/>
      <c r="CJ349" s="8"/>
      <c r="CK349" s="8"/>
      <c r="CL349" s="8"/>
      <c r="CM349" s="8"/>
      <c r="CN349" s="8"/>
      <c r="CO349" s="8"/>
      <c r="CP349" s="8"/>
      <c r="CQ349" s="8"/>
      <c r="CR349" s="8"/>
      <c r="CS349" s="8"/>
      <c r="CT349" s="8"/>
      <c r="CU349" s="8"/>
      <c r="CV349" s="8"/>
      <c r="CW349" s="8"/>
      <c r="CX349" s="8"/>
      <c r="CY349" s="8"/>
      <c r="CZ349" s="8"/>
      <c r="DA349" s="8"/>
      <c r="DB349" s="8"/>
      <c r="DC349" s="8"/>
    </row>
    <row r="350" spans="1:107" ht="15" hidden="1"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L350" s="8"/>
      <c r="BN350" s="8"/>
      <c r="BO350" s="8"/>
      <c r="BP350" s="8"/>
      <c r="BT350" s="50"/>
      <c r="BU350" s="8"/>
      <c r="BV350" s="9"/>
      <c r="BW350" s="9"/>
      <c r="BX350" s="8"/>
      <c r="BY350" s="8"/>
      <c r="BZ350" s="8"/>
      <c r="CA350" s="8"/>
      <c r="CB350" s="9"/>
      <c r="CC350" s="8"/>
      <c r="CD350" s="8"/>
      <c r="CE350" s="7"/>
      <c r="CF350" s="7"/>
      <c r="CG350" s="7"/>
      <c r="CH350" s="7"/>
      <c r="CI350" s="7"/>
      <c r="CJ350" s="8"/>
      <c r="CK350" s="8"/>
      <c r="CL350" s="8"/>
      <c r="CM350" s="8"/>
      <c r="CN350" s="8"/>
      <c r="CO350" s="8"/>
      <c r="CP350" s="8"/>
      <c r="CQ350" s="8"/>
      <c r="CR350" s="8"/>
      <c r="CS350" s="8"/>
      <c r="CT350" s="8"/>
      <c r="CU350" s="8"/>
      <c r="CV350" s="8"/>
      <c r="CW350" s="8"/>
      <c r="CX350" s="8"/>
      <c r="CY350" s="8"/>
      <c r="CZ350" s="8"/>
      <c r="DA350" s="8"/>
      <c r="DB350" s="8"/>
      <c r="DC350" s="8"/>
    </row>
    <row r="351" spans="1:107" ht="15" hidden="1"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c r="BD351" s="8"/>
      <c r="BE351" s="8"/>
      <c r="BF351" s="8"/>
      <c r="BL351" s="8"/>
      <c r="BN351" s="8"/>
      <c r="BO351" s="8"/>
      <c r="BP351" s="8"/>
      <c r="BT351" s="50"/>
      <c r="BU351" s="8"/>
      <c r="BV351" s="9"/>
      <c r="BW351" s="9"/>
      <c r="BX351" s="8"/>
      <c r="BY351" s="8"/>
      <c r="BZ351" s="8"/>
      <c r="CA351" s="8"/>
      <c r="CB351" s="9"/>
      <c r="CC351" s="8"/>
      <c r="CD351" s="8"/>
      <c r="CE351" s="7"/>
      <c r="CF351" s="7"/>
      <c r="CG351" s="7"/>
      <c r="CH351" s="7"/>
      <c r="CI351" s="7"/>
      <c r="CJ351" s="8"/>
      <c r="CK351" s="8"/>
      <c r="CL351" s="8"/>
      <c r="CM351" s="8"/>
      <c r="CN351" s="8"/>
      <c r="CO351" s="8"/>
      <c r="CP351" s="8"/>
      <c r="CQ351" s="8"/>
      <c r="CR351" s="8"/>
      <c r="CS351" s="8"/>
      <c r="CT351" s="8"/>
      <c r="CU351" s="8"/>
      <c r="CV351" s="8"/>
      <c r="CW351" s="8"/>
      <c r="CX351" s="8"/>
      <c r="CY351" s="8"/>
      <c r="CZ351" s="8"/>
      <c r="DA351" s="8"/>
      <c r="DB351" s="8"/>
      <c r="DC351" s="8"/>
    </row>
    <row r="352" spans="1:107" ht="15" hidden="1"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c r="BD352" s="8"/>
      <c r="BE352" s="8"/>
      <c r="BF352" s="8"/>
      <c r="BL352" s="8"/>
      <c r="BN352" s="8"/>
      <c r="BO352" s="8"/>
      <c r="BP352" s="8"/>
      <c r="BT352" s="50"/>
      <c r="BU352" s="8"/>
      <c r="BV352" s="9"/>
      <c r="BW352" s="9"/>
      <c r="BX352" s="8"/>
      <c r="BY352" s="8"/>
      <c r="BZ352" s="8"/>
      <c r="CA352" s="8"/>
      <c r="CB352" s="9"/>
      <c r="CC352" s="8"/>
      <c r="CD352" s="8"/>
      <c r="CE352" s="7"/>
      <c r="CF352" s="7"/>
      <c r="CG352" s="7"/>
      <c r="CH352" s="7"/>
      <c r="CI352" s="7"/>
      <c r="CJ352" s="8"/>
      <c r="CK352" s="8"/>
      <c r="CL352" s="8"/>
      <c r="CM352" s="8"/>
      <c r="CN352" s="8"/>
      <c r="CO352" s="8"/>
      <c r="CP352" s="8"/>
      <c r="CQ352" s="8"/>
      <c r="CR352" s="8"/>
      <c r="CS352" s="8"/>
      <c r="CT352" s="8"/>
      <c r="CU352" s="8"/>
      <c r="CV352" s="8"/>
      <c r="CW352" s="8"/>
      <c r="CX352" s="8"/>
      <c r="CY352" s="8"/>
      <c r="CZ352" s="8"/>
      <c r="DA352" s="8"/>
      <c r="DB352" s="8"/>
      <c r="DC352" s="8"/>
    </row>
    <row r="353" spans="1:107" ht="15" hidden="1"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L353" s="8"/>
      <c r="BN353" s="8"/>
      <c r="BO353" s="8"/>
      <c r="BP353" s="8"/>
      <c r="BT353" s="50"/>
      <c r="BU353" s="8"/>
      <c r="BV353" s="9"/>
      <c r="BW353" s="9"/>
      <c r="BX353" s="8"/>
      <c r="BY353" s="8"/>
      <c r="BZ353" s="8"/>
      <c r="CA353" s="8"/>
      <c r="CB353" s="9"/>
      <c r="CC353" s="8"/>
      <c r="CD353" s="8"/>
      <c r="CE353" s="7"/>
      <c r="CF353" s="7"/>
      <c r="CG353" s="7"/>
      <c r="CH353" s="7"/>
      <c r="CI353" s="7"/>
      <c r="CJ353" s="8"/>
      <c r="CK353" s="8"/>
      <c r="CL353" s="8"/>
      <c r="CM353" s="8"/>
      <c r="CN353" s="8"/>
      <c r="CO353" s="8"/>
      <c r="CP353" s="8"/>
      <c r="CQ353" s="8"/>
      <c r="CR353" s="8"/>
      <c r="CS353" s="8"/>
      <c r="CT353" s="8"/>
      <c r="CU353" s="8"/>
      <c r="CV353" s="8"/>
      <c r="CW353" s="8"/>
      <c r="CX353" s="8"/>
      <c r="CY353" s="8"/>
      <c r="CZ353" s="8"/>
      <c r="DA353" s="8"/>
      <c r="DB353" s="8"/>
      <c r="DC353" s="8"/>
    </row>
    <row r="354" spans="1:107" ht="15" hidden="1"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8"/>
      <c r="BE354" s="8"/>
      <c r="BF354" s="8"/>
      <c r="BL354" s="8"/>
      <c r="BN354" s="8"/>
      <c r="BO354" s="8"/>
      <c r="BP354" s="8"/>
      <c r="BT354" s="50"/>
      <c r="BU354" s="8"/>
      <c r="BV354" s="9"/>
      <c r="BW354" s="9"/>
      <c r="BX354" s="8"/>
      <c r="BY354" s="8"/>
      <c r="BZ354" s="8"/>
      <c r="CA354" s="8"/>
      <c r="CB354" s="9"/>
      <c r="CC354" s="8"/>
      <c r="CD354" s="8"/>
      <c r="CE354" s="7"/>
      <c r="CF354" s="7"/>
      <c r="CG354" s="7"/>
      <c r="CH354" s="7"/>
      <c r="CI354" s="7"/>
      <c r="CJ354" s="8"/>
      <c r="CK354" s="8"/>
      <c r="CL354" s="8"/>
      <c r="CM354" s="8"/>
      <c r="CN354" s="8"/>
      <c r="CO354" s="8"/>
      <c r="CP354" s="8"/>
      <c r="CQ354" s="8"/>
      <c r="CR354" s="8"/>
      <c r="CS354" s="8"/>
      <c r="CT354" s="8"/>
      <c r="CU354" s="8"/>
      <c r="CV354" s="8"/>
      <c r="CW354" s="8"/>
      <c r="CX354" s="8"/>
      <c r="CY354" s="8"/>
      <c r="CZ354" s="8"/>
      <c r="DA354" s="8"/>
      <c r="DB354" s="8"/>
      <c r="DC354" s="8"/>
    </row>
    <row r="355" spans="1:107" ht="15" hidden="1"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c r="BD355" s="8"/>
      <c r="BE355" s="8"/>
      <c r="BF355" s="8"/>
      <c r="BL355" s="8"/>
      <c r="BN355" s="8"/>
      <c r="BO355" s="8"/>
      <c r="BP355" s="8"/>
      <c r="BT355" s="50"/>
      <c r="BU355" s="8"/>
      <c r="BV355" s="9"/>
      <c r="BW355" s="9"/>
      <c r="BX355" s="8"/>
      <c r="BY355" s="8"/>
      <c r="BZ355" s="8"/>
      <c r="CA355" s="8"/>
      <c r="CB355" s="9"/>
      <c r="CC355" s="8"/>
      <c r="CD355" s="8"/>
      <c r="CE355" s="7"/>
      <c r="CF355" s="7"/>
      <c r="CG355" s="7"/>
      <c r="CH355" s="7"/>
      <c r="CI355" s="7"/>
      <c r="CJ355" s="8"/>
      <c r="CK355" s="8"/>
      <c r="CL355" s="8"/>
      <c r="CM355" s="8"/>
      <c r="CN355" s="8"/>
      <c r="CO355" s="8"/>
      <c r="CP355" s="8"/>
      <c r="CQ355" s="8"/>
      <c r="CR355" s="8"/>
      <c r="CS355" s="8"/>
      <c r="CT355" s="8"/>
      <c r="CU355" s="8"/>
      <c r="CV355" s="8"/>
      <c r="CW355" s="8"/>
      <c r="CX355" s="8"/>
      <c r="CY355" s="8"/>
      <c r="CZ355" s="8"/>
      <c r="DA355" s="8"/>
      <c r="DB355" s="8"/>
      <c r="DC355" s="8"/>
    </row>
    <row r="356" spans="1:107" ht="15" hidden="1"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c r="BB356" s="8"/>
      <c r="BC356" s="8"/>
      <c r="BD356" s="8"/>
      <c r="BE356" s="8"/>
      <c r="BF356" s="8"/>
      <c r="BL356" s="8"/>
      <c r="BN356" s="8"/>
      <c r="BO356" s="8"/>
      <c r="BP356" s="8"/>
      <c r="BT356" s="50"/>
      <c r="BU356" s="8"/>
      <c r="BV356" s="9"/>
      <c r="BW356" s="9"/>
      <c r="BX356" s="8"/>
      <c r="BY356" s="8"/>
      <c r="BZ356" s="8"/>
      <c r="CA356" s="8"/>
      <c r="CB356" s="9"/>
      <c r="CC356" s="8"/>
      <c r="CD356" s="8"/>
      <c r="CE356" s="7"/>
      <c r="CF356" s="7"/>
      <c r="CG356" s="7"/>
      <c r="CH356" s="7"/>
      <c r="CI356" s="7"/>
      <c r="CJ356" s="8"/>
      <c r="CK356" s="8"/>
      <c r="CL356" s="8"/>
      <c r="CM356" s="8"/>
      <c r="CN356" s="8"/>
      <c r="CO356" s="8"/>
      <c r="CP356" s="8"/>
      <c r="CQ356" s="8"/>
      <c r="CR356" s="8"/>
      <c r="CS356" s="8"/>
      <c r="CT356" s="8"/>
      <c r="CU356" s="8"/>
      <c r="CV356" s="8"/>
      <c r="CW356" s="8"/>
      <c r="CX356" s="8"/>
      <c r="CY356" s="8"/>
      <c r="CZ356" s="8"/>
      <c r="DA356" s="8"/>
      <c r="DB356" s="8"/>
      <c r="DC356" s="8"/>
    </row>
    <row r="357" spans="1:107" ht="15" hidden="1"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c r="BD357" s="8"/>
      <c r="BE357" s="8"/>
      <c r="BF357" s="8"/>
      <c r="BL357" s="8"/>
      <c r="BN357" s="8"/>
      <c r="BO357" s="8"/>
      <c r="BP357" s="8"/>
      <c r="BT357" s="50"/>
      <c r="BU357" s="8"/>
      <c r="BV357" s="9"/>
      <c r="BW357" s="9"/>
      <c r="BX357" s="8"/>
      <c r="BY357" s="8"/>
      <c r="BZ357" s="8"/>
      <c r="CA357" s="59"/>
      <c r="CB357" s="7"/>
      <c r="CC357" s="7"/>
      <c r="CD357" s="7"/>
      <c r="CE357" s="7"/>
      <c r="CF357" s="7"/>
      <c r="CG357" s="7"/>
      <c r="CH357" s="7"/>
      <c r="CI357" s="7"/>
      <c r="CJ357" s="8"/>
      <c r="CK357" s="8"/>
      <c r="CL357" s="8"/>
      <c r="CM357" s="8"/>
      <c r="CN357" s="8"/>
      <c r="CO357" s="8"/>
      <c r="CP357" s="8"/>
      <c r="CQ357" s="8"/>
      <c r="CR357" s="8"/>
      <c r="CS357" s="8"/>
      <c r="CT357" s="8"/>
      <c r="CU357" s="8"/>
      <c r="CV357" s="8"/>
      <c r="CW357" s="8"/>
      <c r="CX357" s="8"/>
      <c r="CY357" s="8"/>
      <c r="CZ357" s="8"/>
      <c r="DA357" s="8"/>
      <c r="DB357" s="8"/>
      <c r="DC357" s="8"/>
    </row>
    <row r="358" spans="1:107" ht="15" hidden="1"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c r="AZ358" s="8"/>
      <c r="BA358" s="8"/>
      <c r="BB358" s="8"/>
      <c r="BC358" s="8"/>
      <c r="BD358" s="8"/>
      <c r="BE358" s="8"/>
      <c r="BF358" s="8"/>
      <c r="BL358" s="8"/>
      <c r="BN358" s="8"/>
      <c r="BO358" s="8"/>
      <c r="BP358" s="8"/>
      <c r="BT358" s="50"/>
      <c r="BU358" s="8"/>
      <c r="BV358" s="9"/>
      <c r="BW358" s="9"/>
      <c r="BX358" s="8"/>
      <c r="BY358" s="8"/>
      <c r="BZ358" s="8"/>
      <c r="CA358" s="8"/>
      <c r="CB358" s="9"/>
      <c r="CC358" s="8"/>
      <c r="CD358" s="8"/>
      <c r="CE358" s="7"/>
      <c r="CF358" s="7"/>
      <c r="CG358" s="7"/>
      <c r="CH358" s="7"/>
      <c r="CI358" s="7"/>
      <c r="CJ358" s="8"/>
      <c r="CK358" s="8"/>
      <c r="CL358" s="8"/>
      <c r="CM358" s="8"/>
      <c r="CN358" s="8"/>
      <c r="CO358" s="8"/>
      <c r="CP358" s="8"/>
      <c r="CQ358" s="8"/>
      <c r="CR358" s="8"/>
      <c r="CS358" s="8"/>
      <c r="CT358" s="8"/>
      <c r="CU358" s="8"/>
      <c r="CV358" s="8"/>
      <c r="CW358" s="8"/>
      <c r="CX358" s="8"/>
      <c r="CY358" s="8"/>
      <c r="CZ358" s="8"/>
      <c r="DA358" s="8"/>
      <c r="DB358" s="8"/>
      <c r="DC358" s="8"/>
    </row>
    <row r="359" spans="1:107" ht="15" hidden="1"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c r="BB359" s="8"/>
      <c r="BC359" s="8"/>
      <c r="BD359" s="8"/>
      <c r="BE359" s="8"/>
      <c r="BF359" s="8"/>
      <c r="BL359" s="8"/>
      <c r="BN359" s="8"/>
      <c r="BO359" s="8"/>
      <c r="BP359" s="8"/>
      <c r="BT359" s="50"/>
      <c r="BU359" s="8"/>
      <c r="BV359" s="9"/>
      <c r="BW359" s="9"/>
      <c r="BX359" s="8"/>
      <c r="BY359" s="8"/>
      <c r="BZ359" s="8"/>
      <c r="CA359" s="8"/>
      <c r="CB359" s="9"/>
      <c r="CC359" s="8"/>
      <c r="CD359" s="8"/>
      <c r="CE359" s="7"/>
      <c r="CF359" s="7"/>
      <c r="CG359" s="7"/>
      <c r="CH359" s="7"/>
      <c r="CI359" s="7"/>
      <c r="CJ359" s="8"/>
      <c r="CK359" s="8"/>
      <c r="CL359" s="8"/>
      <c r="CM359" s="8"/>
      <c r="CN359" s="8"/>
      <c r="CO359" s="8"/>
      <c r="CP359" s="8"/>
      <c r="CQ359" s="8"/>
      <c r="CR359" s="8"/>
      <c r="CS359" s="8"/>
      <c r="CT359" s="8"/>
      <c r="CU359" s="8"/>
      <c r="CV359" s="8"/>
      <c r="CW359" s="8"/>
      <c r="CX359" s="8"/>
      <c r="CY359" s="8"/>
      <c r="CZ359" s="8"/>
      <c r="DA359" s="8"/>
      <c r="DB359" s="8"/>
      <c r="DC359" s="8"/>
    </row>
    <row r="360" spans="1:107" ht="15" hidden="1"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c r="AZ360" s="8"/>
      <c r="BA360" s="8"/>
      <c r="BB360" s="8"/>
      <c r="BC360" s="8"/>
      <c r="BD360" s="8"/>
      <c r="BE360" s="8"/>
      <c r="BF360" s="8"/>
      <c r="BL360" s="8"/>
      <c r="BN360" s="8"/>
      <c r="BO360" s="8"/>
      <c r="BP360" s="8"/>
      <c r="BT360" s="50"/>
      <c r="BU360" s="8"/>
      <c r="BV360" s="9"/>
      <c r="BW360" s="9"/>
      <c r="BX360" s="8"/>
      <c r="BY360" s="8"/>
      <c r="BZ360" s="8"/>
      <c r="CA360" s="8"/>
      <c r="CB360" s="9"/>
      <c r="CC360" s="8"/>
      <c r="CD360" s="8"/>
      <c r="CE360" s="7"/>
      <c r="CF360" s="7"/>
      <c r="CG360" s="7"/>
      <c r="CH360" s="7"/>
      <c r="CI360" s="7"/>
      <c r="CJ360" s="8"/>
      <c r="CK360" s="8"/>
      <c r="CL360" s="8"/>
      <c r="CM360" s="8"/>
      <c r="CN360" s="8"/>
      <c r="CO360" s="8"/>
      <c r="CP360" s="8"/>
      <c r="CQ360" s="8"/>
      <c r="CR360" s="8"/>
      <c r="CS360" s="8"/>
      <c r="CT360" s="8"/>
      <c r="CU360" s="8"/>
      <c r="CV360" s="8"/>
      <c r="CW360" s="8"/>
      <c r="CX360" s="8"/>
      <c r="CY360" s="8"/>
      <c r="CZ360" s="8"/>
      <c r="DA360" s="8"/>
      <c r="DB360" s="8"/>
      <c r="DC360" s="8"/>
    </row>
    <row r="361" spans="1:107" ht="15" hidden="1"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L361" s="8"/>
      <c r="BN361" s="8"/>
      <c r="BO361" s="8"/>
      <c r="BP361" s="8"/>
      <c r="BT361" s="50"/>
      <c r="BU361" s="8"/>
      <c r="BV361" s="9"/>
      <c r="BW361" s="9"/>
      <c r="BX361" s="8"/>
      <c r="BY361" s="8"/>
      <c r="BZ361" s="8"/>
      <c r="CA361" s="8"/>
      <c r="CB361" s="9"/>
      <c r="CC361" s="8"/>
      <c r="CD361" s="8"/>
      <c r="CE361" s="7"/>
      <c r="CF361" s="7"/>
      <c r="CG361" s="7"/>
      <c r="CH361" s="7"/>
      <c r="CI361" s="7"/>
      <c r="CJ361" s="8"/>
      <c r="CK361" s="8"/>
      <c r="CL361" s="8"/>
      <c r="CM361" s="8"/>
      <c r="CN361" s="8"/>
      <c r="CO361" s="8"/>
      <c r="CP361" s="8"/>
      <c r="CQ361" s="8"/>
      <c r="CR361" s="8"/>
      <c r="CS361" s="8"/>
      <c r="CT361" s="8"/>
      <c r="CU361" s="8"/>
      <c r="CV361" s="8"/>
      <c r="CW361" s="8"/>
      <c r="CX361" s="8"/>
      <c r="CY361" s="8"/>
      <c r="CZ361" s="8"/>
      <c r="DA361" s="8"/>
      <c r="DB361" s="8"/>
      <c r="DC361" s="8"/>
    </row>
    <row r="362" spans="1:107" ht="15" hidden="1"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c r="BB362" s="8"/>
      <c r="BC362" s="8"/>
      <c r="BD362" s="8"/>
      <c r="BE362" s="8"/>
      <c r="BF362" s="8"/>
      <c r="BL362" s="8"/>
      <c r="BN362" s="8"/>
      <c r="BO362" s="8"/>
      <c r="BP362" s="8"/>
      <c r="BT362" s="50"/>
      <c r="BU362" s="8"/>
      <c r="BV362" s="9"/>
      <c r="BW362" s="9"/>
      <c r="BX362" s="8"/>
      <c r="BY362" s="8"/>
      <c r="BZ362" s="8"/>
      <c r="CA362" s="8"/>
      <c r="CB362" s="9"/>
      <c r="CC362" s="8"/>
      <c r="CD362" s="8"/>
      <c r="CE362" s="7"/>
      <c r="CF362" s="7"/>
      <c r="CG362" s="7"/>
      <c r="CH362" s="7"/>
      <c r="CI362" s="7"/>
      <c r="CJ362" s="8"/>
      <c r="CK362" s="8"/>
      <c r="CL362" s="8"/>
      <c r="CM362" s="8"/>
      <c r="CN362" s="8"/>
      <c r="CO362" s="8"/>
      <c r="CP362" s="8"/>
      <c r="CQ362" s="8"/>
      <c r="CR362" s="8"/>
      <c r="CS362" s="8"/>
      <c r="CT362" s="8"/>
      <c r="CU362" s="8"/>
      <c r="CV362" s="8"/>
      <c r="CW362" s="8"/>
      <c r="CX362" s="8"/>
      <c r="CY362" s="8"/>
      <c r="CZ362" s="8"/>
      <c r="DA362" s="8"/>
      <c r="DB362" s="8"/>
      <c r="DC362" s="8"/>
    </row>
    <row r="363" spans="1:107" ht="15" hidden="1"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c r="AZ363" s="8"/>
      <c r="BA363" s="8"/>
      <c r="BB363" s="8"/>
      <c r="BC363" s="8"/>
      <c r="BD363" s="8"/>
      <c r="BE363" s="8"/>
      <c r="BF363" s="8"/>
      <c r="BL363" s="8"/>
      <c r="BN363" s="8"/>
      <c r="BO363" s="8"/>
      <c r="BP363" s="8"/>
      <c r="BT363" s="50"/>
      <c r="BU363" s="8"/>
      <c r="BV363" s="9"/>
      <c r="BW363" s="9"/>
      <c r="BX363" s="8"/>
      <c r="BY363" s="8"/>
      <c r="BZ363" s="8"/>
      <c r="CA363" s="8"/>
      <c r="CB363" s="9"/>
      <c r="CC363" s="8"/>
      <c r="CD363" s="8"/>
      <c r="CE363" s="7"/>
      <c r="CF363" s="7"/>
      <c r="CG363" s="7"/>
      <c r="CH363" s="7"/>
      <c r="CI363" s="7"/>
      <c r="CJ363" s="8"/>
      <c r="CK363" s="8"/>
      <c r="CL363" s="8"/>
      <c r="CM363" s="8"/>
      <c r="CN363" s="8"/>
      <c r="CO363" s="8"/>
      <c r="CP363" s="8"/>
      <c r="CQ363" s="8"/>
      <c r="CR363" s="8"/>
      <c r="CS363" s="8"/>
      <c r="CT363" s="8"/>
      <c r="CU363" s="8"/>
      <c r="CV363" s="8"/>
      <c r="CW363" s="8"/>
      <c r="CX363" s="8"/>
      <c r="CY363" s="8"/>
      <c r="CZ363" s="8"/>
      <c r="DA363" s="8"/>
      <c r="DB363" s="8"/>
      <c r="DC363" s="8"/>
    </row>
    <row r="364" spans="1:107" ht="15" hidden="1"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c r="BB364" s="8"/>
      <c r="BC364" s="8"/>
      <c r="BD364" s="8"/>
      <c r="BE364" s="8"/>
      <c r="BF364" s="8"/>
      <c r="BL364" s="8"/>
      <c r="BN364" s="8"/>
      <c r="BO364" s="8"/>
      <c r="BP364" s="8"/>
      <c r="BT364" s="50"/>
      <c r="BU364" s="8"/>
      <c r="BV364" s="9"/>
      <c r="BW364" s="9"/>
      <c r="BX364" s="8"/>
      <c r="BY364" s="8"/>
      <c r="BZ364" s="8"/>
      <c r="CA364" s="8"/>
      <c r="CB364" s="9"/>
      <c r="CC364" s="8"/>
      <c r="CD364" s="8"/>
      <c r="CE364" s="7"/>
      <c r="CF364" s="7"/>
      <c r="CG364" s="7"/>
      <c r="CH364" s="7"/>
      <c r="CI364" s="7"/>
      <c r="CJ364" s="8"/>
      <c r="CK364" s="8"/>
      <c r="CL364" s="8"/>
      <c r="CM364" s="8"/>
      <c r="CN364" s="8"/>
      <c r="CO364" s="8"/>
      <c r="CP364" s="8"/>
      <c r="CQ364" s="8"/>
      <c r="CR364" s="8"/>
      <c r="CS364" s="8"/>
      <c r="CT364" s="8"/>
      <c r="CU364" s="8"/>
      <c r="CV364" s="8"/>
      <c r="CW364" s="8"/>
      <c r="CX364" s="8"/>
      <c r="CY364" s="8"/>
      <c r="CZ364" s="8"/>
      <c r="DA364" s="8"/>
      <c r="DB364" s="8"/>
      <c r="DC364" s="8"/>
    </row>
    <row r="365" spans="1:107" ht="15" hidden="1"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c r="BD365" s="8"/>
      <c r="BE365" s="8"/>
      <c r="BF365" s="8"/>
      <c r="BL365" s="8"/>
      <c r="BN365" s="8"/>
      <c r="BO365" s="8"/>
      <c r="BP365" s="8"/>
      <c r="BT365" s="50"/>
      <c r="BU365" s="8"/>
      <c r="BV365" s="9"/>
      <c r="BW365" s="9"/>
      <c r="BX365" s="8"/>
      <c r="BY365" s="8"/>
      <c r="BZ365" s="8"/>
      <c r="CA365" s="8"/>
      <c r="CB365" s="9"/>
      <c r="CC365" s="8"/>
      <c r="CD365" s="8"/>
      <c r="CE365" s="7"/>
      <c r="CF365" s="7"/>
      <c r="CG365" s="7"/>
      <c r="CH365" s="7"/>
      <c r="CI365" s="7"/>
      <c r="CJ365" s="8"/>
      <c r="CK365" s="8"/>
      <c r="CL365" s="8"/>
      <c r="CM365" s="8"/>
      <c r="CN365" s="8"/>
      <c r="CO365" s="8"/>
      <c r="CP365" s="8"/>
      <c r="CQ365" s="8"/>
      <c r="CR365" s="8"/>
      <c r="CS365" s="8"/>
      <c r="CT365" s="8"/>
      <c r="CU365" s="8"/>
      <c r="CV365" s="8"/>
      <c r="CW365" s="8"/>
      <c r="CX365" s="8"/>
      <c r="CY365" s="8"/>
      <c r="CZ365" s="8"/>
      <c r="DA365" s="8"/>
      <c r="DB365" s="8"/>
      <c r="DC365" s="8"/>
    </row>
    <row r="366" spans="1:107" ht="15" hidden="1"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c r="BD366" s="8"/>
      <c r="BE366" s="8"/>
      <c r="BF366" s="8"/>
      <c r="BL366" s="8"/>
      <c r="BN366" s="8"/>
      <c r="BO366" s="8"/>
      <c r="BP366" s="8"/>
      <c r="BT366" s="50"/>
      <c r="BU366" s="8"/>
      <c r="BV366" s="9"/>
      <c r="BW366" s="9"/>
      <c r="BX366" s="8"/>
      <c r="BY366" s="8"/>
      <c r="BZ366" s="8"/>
      <c r="CA366" s="8"/>
      <c r="CB366" s="9"/>
      <c r="CC366" s="8"/>
      <c r="CD366" s="8"/>
      <c r="CE366" s="7"/>
      <c r="CF366" s="7"/>
      <c r="CG366" s="7"/>
      <c r="CH366" s="7"/>
      <c r="CI366" s="7"/>
      <c r="CJ366" s="8"/>
      <c r="CK366" s="8"/>
      <c r="CL366" s="8"/>
      <c r="CM366" s="8"/>
      <c r="CN366" s="8"/>
      <c r="CO366" s="8"/>
      <c r="CP366" s="8"/>
      <c r="CQ366" s="8"/>
      <c r="CR366" s="8"/>
      <c r="CS366" s="8"/>
      <c r="CT366" s="8"/>
      <c r="CU366" s="8"/>
      <c r="CV366" s="8"/>
      <c r="CW366" s="8"/>
      <c r="CX366" s="8"/>
      <c r="CY366" s="8"/>
      <c r="CZ366" s="8"/>
      <c r="DA366" s="8"/>
      <c r="DB366" s="8"/>
      <c r="DC366" s="8"/>
    </row>
    <row r="367" spans="1:107" ht="15" hidden="1"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c r="BD367" s="8"/>
      <c r="BE367" s="8"/>
      <c r="BF367" s="8"/>
      <c r="BL367" s="8"/>
      <c r="BN367" s="8"/>
      <c r="BO367" s="8"/>
      <c r="BP367" s="8"/>
      <c r="BT367" s="50"/>
      <c r="BU367" s="8"/>
      <c r="BV367" s="9"/>
      <c r="BW367" s="9"/>
      <c r="BX367" s="8"/>
      <c r="BY367" s="8"/>
      <c r="BZ367" s="8"/>
      <c r="CA367" s="59"/>
      <c r="CB367" s="7"/>
      <c r="CC367" s="7"/>
      <c r="CD367" s="7"/>
      <c r="CE367" s="7"/>
      <c r="CF367" s="7"/>
      <c r="CG367" s="7"/>
      <c r="CH367" s="7"/>
      <c r="CI367" s="7"/>
      <c r="CJ367" s="8"/>
      <c r="CK367" s="8"/>
      <c r="CL367" s="8"/>
      <c r="CM367" s="8"/>
      <c r="CN367" s="8"/>
      <c r="CO367" s="8"/>
      <c r="CP367" s="8"/>
      <c r="CQ367" s="8"/>
      <c r="CR367" s="8"/>
      <c r="CS367" s="8"/>
      <c r="CT367" s="8"/>
      <c r="CU367" s="8"/>
      <c r="CV367" s="8"/>
      <c r="CW367" s="8"/>
      <c r="CX367" s="8"/>
      <c r="CY367" s="8"/>
      <c r="CZ367" s="8"/>
      <c r="DA367" s="8"/>
      <c r="DB367" s="8"/>
      <c r="DC367" s="8"/>
    </row>
    <row r="368" spans="1:107" ht="15" hidden="1"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c r="AZ368" s="8"/>
      <c r="BA368" s="8"/>
      <c r="BB368" s="8"/>
      <c r="BC368" s="8"/>
      <c r="BD368" s="8"/>
      <c r="BE368" s="8"/>
      <c r="BF368" s="8"/>
      <c r="BL368" s="8"/>
      <c r="BN368" s="8"/>
      <c r="BO368" s="8"/>
      <c r="BP368" s="8"/>
      <c r="BT368" s="50"/>
      <c r="BU368" s="8"/>
      <c r="BV368" s="9"/>
      <c r="BW368" s="9"/>
      <c r="BX368" s="8"/>
      <c r="BY368" s="8"/>
      <c r="BZ368" s="8"/>
      <c r="CA368" s="8"/>
      <c r="CB368" s="9"/>
      <c r="CC368" s="8"/>
      <c r="CD368" s="8"/>
      <c r="CE368" s="7"/>
      <c r="CF368" s="7"/>
      <c r="CG368" s="7"/>
      <c r="CH368" s="7"/>
      <c r="CI368" s="7"/>
      <c r="CJ368" s="8"/>
      <c r="CK368" s="8"/>
      <c r="CL368" s="8"/>
      <c r="CM368" s="8"/>
      <c r="CN368" s="8"/>
      <c r="CO368" s="8"/>
      <c r="CP368" s="8"/>
      <c r="CQ368" s="8"/>
      <c r="CR368" s="8"/>
      <c r="CS368" s="8"/>
      <c r="CT368" s="8"/>
      <c r="CU368" s="8"/>
      <c r="CV368" s="8"/>
      <c r="CW368" s="8"/>
      <c r="CX368" s="8"/>
      <c r="CY368" s="8"/>
      <c r="CZ368" s="8"/>
      <c r="DA368" s="8"/>
      <c r="DB368" s="8"/>
      <c r="DC368" s="8"/>
    </row>
    <row r="369" spans="1:107" ht="15" hidden="1"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L369" s="8"/>
      <c r="BN369" s="8"/>
      <c r="BO369" s="8"/>
      <c r="BP369" s="8"/>
      <c r="BT369" s="50"/>
      <c r="BU369" s="8"/>
      <c r="BV369" s="9"/>
      <c r="BW369" s="9"/>
      <c r="BX369" s="8"/>
      <c r="BY369" s="8"/>
      <c r="BZ369" s="8"/>
      <c r="CA369" s="8"/>
      <c r="CB369" s="9"/>
      <c r="CC369" s="8"/>
      <c r="CD369" s="8"/>
      <c r="CE369" s="7"/>
      <c r="CF369" s="7"/>
      <c r="CG369" s="7"/>
      <c r="CH369" s="7"/>
      <c r="CI369" s="7"/>
      <c r="CJ369" s="8"/>
      <c r="CK369" s="8"/>
      <c r="CL369" s="8"/>
      <c r="CM369" s="8"/>
      <c r="CN369" s="8"/>
      <c r="CO369" s="8"/>
      <c r="CP369" s="8"/>
      <c r="CQ369" s="8"/>
      <c r="CR369" s="8"/>
      <c r="CS369" s="8"/>
      <c r="CT369" s="8"/>
      <c r="CU369" s="8"/>
      <c r="CV369" s="8"/>
      <c r="CW369" s="8"/>
      <c r="CX369" s="8"/>
      <c r="CY369" s="8"/>
      <c r="CZ369" s="8"/>
      <c r="DA369" s="8"/>
      <c r="DB369" s="8"/>
      <c r="DC369" s="8"/>
    </row>
    <row r="370" spans="1:107" ht="15" hidden="1"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c r="AZ370" s="8"/>
      <c r="BA370" s="8"/>
      <c r="BB370" s="8"/>
      <c r="BC370" s="8"/>
      <c r="BD370" s="8"/>
      <c r="BE370" s="8"/>
      <c r="BF370" s="8"/>
      <c r="BL370" s="8"/>
      <c r="BN370" s="8"/>
      <c r="BO370" s="8"/>
      <c r="BP370" s="8"/>
      <c r="BT370" s="50"/>
      <c r="BU370" s="8"/>
      <c r="BV370" s="9"/>
      <c r="BW370" s="9"/>
      <c r="BX370" s="8"/>
      <c r="BY370" s="8"/>
      <c r="BZ370" s="8"/>
      <c r="CA370" s="8"/>
      <c r="CB370" s="9"/>
      <c r="CC370" s="8"/>
      <c r="CD370" s="8"/>
      <c r="CE370" s="7"/>
      <c r="CF370" s="7"/>
      <c r="CG370" s="7"/>
      <c r="CH370" s="7"/>
      <c r="CI370" s="7"/>
      <c r="CJ370" s="8"/>
      <c r="CK370" s="8"/>
      <c r="CL370" s="8"/>
      <c r="CM370" s="8"/>
      <c r="CN370" s="8"/>
      <c r="CO370" s="8"/>
      <c r="CP370" s="8"/>
      <c r="CQ370" s="8"/>
      <c r="CR370" s="8"/>
      <c r="CS370" s="8"/>
      <c r="CT370" s="8"/>
      <c r="CU370" s="8"/>
      <c r="CV370" s="8"/>
      <c r="CW370" s="8"/>
      <c r="CX370" s="8"/>
      <c r="CY370" s="8"/>
      <c r="CZ370" s="8"/>
      <c r="DA370" s="8"/>
      <c r="DB370" s="8"/>
      <c r="DC370" s="8"/>
    </row>
    <row r="371" spans="1:107" ht="15" hidden="1"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c r="AZ371" s="8"/>
      <c r="BA371" s="8"/>
      <c r="BB371" s="8"/>
      <c r="BC371" s="8"/>
      <c r="BD371" s="8"/>
      <c r="BE371" s="8"/>
      <c r="BF371" s="8"/>
      <c r="BL371" s="8"/>
      <c r="BN371" s="8"/>
      <c r="BO371" s="8"/>
      <c r="BP371" s="8"/>
      <c r="BT371" s="50"/>
      <c r="BU371" s="8"/>
      <c r="BV371" s="9"/>
      <c r="BW371" s="9"/>
      <c r="BX371" s="8"/>
      <c r="BY371" s="8"/>
      <c r="BZ371" s="8"/>
      <c r="CA371" s="8"/>
      <c r="CB371" s="9"/>
      <c r="CC371" s="8"/>
      <c r="CD371" s="8"/>
      <c r="CE371" s="7"/>
      <c r="CF371" s="7"/>
      <c r="CG371" s="7"/>
      <c r="CH371" s="7"/>
      <c r="CI371" s="7"/>
      <c r="CJ371" s="8"/>
      <c r="CK371" s="8"/>
      <c r="CL371" s="8"/>
      <c r="CM371" s="8"/>
      <c r="CN371" s="8"/>
      <c r="CO371" s="8"/>
      <c r="CP371" s="8"/>
      <c r="CQ371" s="8"/>
      <c r="CR371" s="8"/>
      <c r="CS371" s="8"/>
      <c r="CT371" s="8"/>
      <c r="CU371" s="8"/>
      <c r="CV371" s="8"/>
      <c r="CW371" s="8"/>
      <c r="CX371" s="8"/>
      <c r="CY371" s="8"/>
      <c r="CZ371" s="8"/>
      <c r="DA371" s="8"/>
      <c r="DB371" s="8"/>
      <c r="DC371" s="8"/>
    </row>
  </sheetData>
  <mergeCells count="501">
    <mergeCell ref="CB66:CC66"/>
    <mergeCell ref="AO19:AP19"/>
    <mergeCell ref="K21:R21"/>
    <mergeCell ref="S21:W21"/>
    <mergeCell ref="Z21:AA21"/>
    <mergeCell ref="AC21:AD21"/>
    <mergeCell ref="AE21:AI21"/>
    <mergeCell ref="AJ21:AP21"/>
    <mergeCell ref="K22:R22"/>
    <mergeCell ref="AE23:AI23"/>
    <mergeCell ref="AL23:AM23"/>
    <mergeCell ref="S22:W22"/>
    <mergeCell ref="Z22:AA22"/>
    <mergeCell ref="AC22:AD22"/>
    <mergeCell ref="AE22:AI22"/>
    <mergeCell ref="AL22:AM22"/>
    <mergeCell ref="AO22:AP22"/>
    <mergeCell ref="AO23:AP23"/>
    <mergeCell ref="L40:M40"/>
    <mergeCell ref="N40:O40"/>
    <mergeCell ref="P40:Q40"/>
    <mergeCell ref="P38:Q38"/>
    <mergeCell ref="R38:S38"/>
    <mergeCell ref="K26:R26"/>
    <mergeCell ref="S26:W26"/>
    <mergeCell ref="G33:AP33"/>
    <mergeCell ref="G34:AK34"/>
    <mergeCell ref="AE26:AI26"/>
    <mergeCell ref="AL26:AM26"/>
    <mergeCell ref="Z26:AA26"/>
    <mergeCell ref="AC26:AD26"/>
    <mergeCell ref="L39:M39"/>
    <mergeCell ref="N39:O39"/>
    <mergeCell ref="V38:W38"/>
    <mergeCell ref="Z31:AA31"/>
    <mergeCell ref="AC31:AD31"/>
    <mergeCell ref="V35:W36"/>
    <mergeCell ref="L35:M36"/>
    <mergeCell ref="L37:M37"/>
    <mergeCell ref="N37:O37"/>
    <mergeCell ref="X38:Y38"/>
    <mergeCell ref="Z38:AA38"/>
    <mergeCell ref="AL27:AM27"/>
    <mergeCell ref="AL31:AM31"/>
    <mergeCell ref="AO31:AP31"/>
    <mergeCell ref="X32:AJ32"/>
    <mergeCell ref="AK32:AM32"/>
    <mergeCell ref="AN32:AP32"/>
    <mergeCell ref="AO18:AP18"/>
    <mergeCell ref="AK13:AL13"/>
    <mergeCell ref="AM13:AN13"/>
    <mergeCell ref="AO13:AP13"/>
    <mergeCell ref="P14:Z14"/>
    <mergeCell ref="AK14:AL14"/>
    <mergeCell ref="AM14:AN14"/>
    <mergeCell ref="AO14:AP14"/>
    <mergeCell ref="P15:Z15"/>
    <mergeCell ref="AK15:AL15"/>
    <mergeCell ref="AM15:AN15"/>
    <mergeCell ref="AO15:AP15"/>
    <mergeCell ref="AK16:AL16"/>
    <mergeCell ref="AM16:AN16"/>
    <mergeCell ref="AO16:AP16"/>
    <mergeCell ref="P17:Z17"/>
    <mergeCell ref="AK17:AL17"/>
    <mergeCell ref="AM17:AN17"/>
    <mergeCell ref="AO17:AP17"/>
    <mergeCell ref="P18:Z18"/>
    <mergeCell ref="AA18:AN18"/>
    <mergeCell ref="AK1:AL1"/>
    <mergeCell ref="AK2:AL2"/>
    <mergeCell ref="AK10:AL10"/>
    <mergeCell ref="AK11:AL11"/>
    <mergeCell ref="AM2:AN2"/>
    <mergeCell ref="AO2:AP2"/>
    <mergeCell ref="AM1:AN1"/>
    <mergeCell ref="AK3:AL3"/>
    <mergeCell ref="AM3:AN3"/>
    <mergeCell ref="AK4:AL4"/>
    <mergeCell ref="AM4:AN4"/>
    <mergeCell ref="AK5:AL5"/>
    <mergeCell ref="AM5:AN5"/>
    <mergeCell ref="AM10:AN10"/>
    <mergeCell ref="AO10:AP10"/>
    <mergeCell ref="AM11:AN11"/>
    <mergeCell ref="AO11:AP11"/>
    <mergeCell ref="AO5:AP5"/>
    <mergeCell ref="AK6:AL6"/>
    <mergeCell ref="AM6:AN6"/>
    <mergeCell ref="AO6:AP6"/>
    <mergeCell ref="BX59:BY59"/>
    <mergeCell ref="BZ59:CA59"/>
    <mergeCell ref="P2:Z2"/>
    <mergeCell ref="P5:Z5"/>
    <mergeCell ref="P7:Z7"/>
    <mergeCell ref="AK7:AL7"/>
    <mergeCell ref="AM7:AN7"/>
    <mergeCell ref="AO7:AP7"/>
    <mergeCell ref="P8:Z8"/>
    <mergeCell ref="AK8:AL8"/>
    <mergeCell ref="AM8:AN8"/>
    <mergeCell ref="AO8:AP8"/>
    <mergeCell ref="P9:Z9"/>
    <mergeCell ref="AK9:AL9"/>
    <mergeCell ref="AM9:AN9"/>
    <mergeCell ref="AO9:AP9"/>
    <mergeCell ref="P3:Z3"/>
    <mergeCell ref="P4:Z4"/>
    <mergeCell ref="P10:Z10"/>
    <mergeCell ref="P11:Z11"/>
    <mergeCell ref="P12:Z12"/>
    <mergeCell ref="AK12:AL12"/>
    <mergeCell ref="AM12:AN12"/>
    <mergeCell ref="AO12:AP12"/>
    <mergeCell ref="BT59:BU59"/>
    <mergeCell ref="BV59:BW59"/>
    <mergeCell ref="L49:M49"/>
    <mergeCell ref="N49:O49"/>
    <mergeCell ref="H47:K47"/>
    <mergeCell ref="L47:M47"/>
    <mergeCell ref="N47:O47"/>
    <mergeCell ref="H48:K48"/>
    <mergeCell ref="L48:M48"/>
    <mergeCell ref="N48:O48"/>
    <mergeCell ref="H49:K49"/>
    <mergeCell ref="L59:P59"/>
    <mergeCell ref="R59:V59"/>
    <mergeCell ref="X59:AB59"/>
    <mergeCell ref="AD59:AH59"/>
    <mergeCell ref="AL59:AP59"/>
    <mergeCell ref="H51:K51"/>
    <mergeCell ref="L51:M51"/>
    <mergeCell ref="N51:O51"/>
    <mergeCell ref="H52:K52"/>
    <mergeCell ref="L52:M52"/>
    <mergeCell ref="N52:O52"/>
    <mergeCell ref="Z52:AA52"/>
    <mergeCell ref="AB52:AC52"/>
    <mergeCell ref="AB43:AC43"/>
    <mergeCell ref="AD43:AE43"/>
    <mergeCell ref="AF43:AG43"/>
    <mergeCell ref="L43:M43"/>
    <mergeCell ref="N43:O43"/>
    <mergeCell ref="P43:Q43"/>
    <mergeCell ref="R43:S43"/>
    <mergeCell ref="T43:U43"/>
    <mergeCell ref="H50:K50"/>
    <mergeCell ref="L50:M50"/>
    <mergeCell ref="N50:O50"/>
    <mergeCell ref="X46:Y46"/>
    <mergeCell ref="Z46:AA46"/>
    <mergeCell ref="AB46:AC46"/>
    <mergeCell ref="P46:Q46"/>
    <mergeCell ref="R46:S46"/>
    <mergeCell ref="T46:U46"/>
    <mergeCell ref="V46:W46"/>
    <mergeCell ref="P47:Q47"/>
    <mergeCell ref="R47:S47"/>
    <mergeCell ref="T47:U47"/>
    <mergeCell ref="P44:Q44"/>
    <mergeCell ref="R44:S44"/>
    <mergeCell ref="AF50:AG50"/>
    <mergeCell ref="F41:G41"/>
    <mergeCell ref="F42:G42"/>
    <mergeCell ref="F43:G43"/>
    <mergeCell ref="F44:G44"/>
    <mergeCell ref="F45:G45"/>
    <mergeCell ref="F46:G46"/>
    <mergeCell ref="H46:K46"/>
    <mergeCell ref="L46:M46"/>
    <mergeCell ref="N46:O46"/>
    <mergeCell ref="H43:K43"/>
    <mergeCell ref="H44:K44"/>
    <mergeCell ref="N44:O44"/>
    <mergeCell ref="H42:K42"/>
    <mergeCell ref="L42:M42"/>
    <mergeCell ref="N42:O42"/>
    <mergeCell ref="L45:M45"/>
    <mergeCell ref="N45:O45"/>
    <mergeCell ref="L44:M44"/>
    <mergeCell ref="H45:K45"/>
    <mergeCell ref="D37:E37"/>
    <mergeCell ref="F37:G37"/>
    <mergeCell ref="L38:M38"/>
    <mergeCell ref="N38:O38"/>
    <mergeCell ref="T38:U38"/>
    <mergeCell ref="K31:N31"/>
    <mergeCell ref="O31:R31"/>
    <mergeCell ref="S31:W31"/>
    <mergeCell ref="K32:R32"/>
    <mergeCell ref="S32:W32"/>
    <mergeCell ref="N35:O36"/>
    <mergeCell ref="P35:Q36"/>
    <mergeCell ref="R35:S36"/>
    <mergeCell ref="T35:U36"/>
    <mergeCell ref="P37:Q37"/>
    <mergeCell ref="R37:S37"/>
    <mergeCell ref="T37:U37"/>
    <mergeCell ref="V37:W37"/>
    <mergeCell ref="D31:J31"/>
    <mergeCell ref="D1:G1"/>
    <mergeCell ref="D2:G2"/>
    <mergeCell ref="D3:G3"/>
    <mergeCell ref="D4:G4"/>
    <mergeCell ref="D5:G5"/>
    <mergeCell ref="D6:G6"/>
    <mergeCell ref="D7:G7"/>
    <mergeCell ref="D11:G11"/>
    <mergeCell ref="D12:G12"/>
    <mergeCell ref="D8:G8"/>
    <mergeCell ref="D9:G9"/>
    <mergeCell ref="D10:G10"/>
    <mergeCell ref="D46:E46"/>
    <mergeCell ref="D47:E47"/>
    <mergeCell ref="D48:E48"/>
    <mergeCell ref="D49:E49"/>
    <mergeCell ref="D50:E50"/>
    <mergeCell ref="D51:E51"/>
    <mergeCell ref="D52:E52"/>
    <mergeCell ref="B84:G84"/>
    <mergeCell ref="D39:E39"/>
    <mergeCell ref="D40:E40"/>
    <mergeCell ref="D41:E41"/>
    <mergeCell ref="D42:E42"/>
    <mergeCell ref="D43:E43"/>
    <mergeCell ref="D44:E44"/>
    <mergeCell ref="D45:E45"/>
    <mergeCell ref="F39:G39"/>
    <mergeCell ref="F47:G47"/>
    <mergeCell ref="F48:G48"/>
    <mergeCell ref="F49:G49"/>
    <mergeCell ref="F50:G50"/>
    <mergeCell ref="F51:G51"/>
    <mergeCell ref="F52:G52"/>
    <mergeCell ref="B59:G59"/>
    <mergeCell ref="B60:G60"/>
    <mergeCell ref="H1:J1"/>
    <mergeCell ref="H35:K36"/>
    <mergeCell ref="H37:K37"/>
    <mergeCell ref="H38:K38"/>
    <mergeCell ref="H39:K39"/>
    <mergeCell ref="H40:K40"/>
    <mergeCell ref="X35:Y36"/>
    <mergeCell ref="Z35:AA36"/>
    <mergeCell ref="AB35:AC36"/>
    <mergeCell ref="R40:S40"/>
    <mergeCell ref="T40:U40"/>
    <mergeCell ref="D32:J32"/>
    <mergeCell ref="D38:E38"/>
    <mergeCell ref="F38:G38"/>
    <mergeCell ref="F40:G40"/>
    <mergeCell ref="P13:Z13"/>
    <mergeCell ref="P6:Z6"/>
    <mergeCell ref="P16:Z16"/>
    <mergeCell ref="P19:Z19"/>
    <mergeCell ref="AA19:AN19"/>
    <mergeCell ref="K23:R23"/>
    <mergeCell ref="S23:W23"/>
    <mergeCell ref="Z23:AA23"/>
    <mergeCell ref="AC23:AD23"/>
    <mergeCell ref="CA39:CF39"/>
    <mergeCell ref="CH39:CM39"/>
    <mergeCell ref="CO39:CT39"/>
    <mergeCell ref="CV39:DA39"/>
    <mergeCell ref="V40:W40"/>
    <mergeCell ref="X40:Y40"/>
    <mergeCell ref="H41:K41"/>
    <mergeCell ref="L41:M41"/>
    <mergeCell ref="N41:O41"/>
    <mergeCell ref="P39:Q39"/>
    <mergeCell ref="R39:S39"/>
    <mergeCell ref="T39:U39"/>
    <mergeCell ref="V39:W39"/>
    <mergeCell ref="X39:Y39"/>
    <mergeCell ref="Z39:AA39"/>
    <mergeCell ref="AB39:AC39"/>
    <mergeCell ref="AD39:AE39"/>
    <mergeCell ref="AF39:AG39"/>
    <mergeCell ref="Z40:AA40"/>
    <mergeCell ref="AB40:AC40"/>
    <mergeCell ref="AD40:AE40"/>
    <mergeCell ref="AF40:AG40"/>
    <mergeCell ref="P41:Q41"/>
    <mergeCell ref="R41:S41"/>
    <mergeCell ref="BL39:BQ39"/>
    <mergeCell ref="BT39:BY39"/>
    <mergeCell ref="AJ35:AJ36"/>
    <mergeCell ref="AK35:AP35"/>
    <mergeCell ref="X37:Y37"/>
    <mergeCell ref="Z37:AA37"/>
    <mergeCell ref="AB37:AC37"/>
    <mergeCell ref="AD37:AE37"/>
    <mergeCell ref="AF37:AG37"/>
    <mergeCell ref="AH37:AI37"/>
    <mergeCell ref="AD35:AE36"/>
    <mergeCell ref="AF35:AG36"/>
    <mergeCell ref="AH35:AI36"/>
    <mergeCell ref="AO29:AP29"/>
    <mergeCell ref="K30:N30"/>
    <mergeCell ref="O30:R30"/>
    <mergeCell ref="S30:W30"/>
    <mergeCell ref="Z30:AA30"/>
    <mergeCell ref="AC30:AD30"/>
    <mergeCell ref="AE30:AI30"/>
    <mergeCell ref="AL30:AM30"/>
    <mergeCell ref="AO30:AP30"/>
    <mergeCell ref="K29:N29"/>
    <mergeCell ref="O29:R29"/>
    <mergeCell ref="S29:W29"/>
    <mergeCell ref="Z29:AA29"/>
    <mergeCell ref="AC29:AD29"/>
    <mergeCell ref="AE29:AI29"/>
    <mergeCell ref="AL29:AM29"/>
    <mergeCell ref="K28:N28"/>
    <mergeCell ref="S28:W28"/>
    <mergeCell ref="Z28:AA28"/>
    <mergeCell ref="AC28:AD28"/>
    <mergeCell ref="AE28:AI28"/>
    <mergeCell ref="AL28:AM28"/>
    <mergeCell ref="AO1:AP1"/>
    <mergeCell ref="AY1:BG1"/>
    <mergeCell ref="AO3:AP3"/>
    <mergeCell ref="AO4:AP4"/>
    <mergeCell ref="AO24:AP24"/>
    <mergeCell ref="S25:W25"/>
    <mergeCell ref="Z25:AA25"/>
    <mergeCell ref="AC25:AD25"/>
    <mergeCell ref="AE25:AI25"/>
    <mergeCell ref="AL25:AM25"/>
    <mergeCell ref="AO25:AP25"/>
    <mergeCell ref="AO26:AP26"/>
    <mergeCell ref="S24:W24"/>
    <mergeCell ref="AL24:AM24"/>
    <mergeCell ref="S27:W27"/>
    <mergeCell ref="Z27:AA27"/>
    <mergeCell ref="AC27:AD27"/>
    <mergeCell ref="AE27:AI27"/>
    <mergeCell ref="T51:U51"/>
    <mergeCell ref="V51:W51"/>
    <mergeCell ref="X51:Y51"/>
    <mergeCell ref="Z51:AA51"/>
    <mergeCell ref="AB51:AC51"/>
    <mergeCell ref="AD51:AE51"/>
    <mergeCell ref="AF51:AG51"/>
    <mergeCell ref="AH51:AI51"/>
    <mergeCell ref="AO27:AP27"/>
    <mergeCell ref="AO28:AP28"/>
    <mergeCell ref="AB41:AC41"/>
    <mergeCell ref="AD41:AE41"/>
    <mergeCell ref="AF41:AG41"/>
    <mergeCell ref="AH41:AI41"/>
    <mergeCell ref="V44:W44"/>
    <mergeCell ref="AB45:AC45"/>
    <mergeCell ref="AD45:AE45"/>
    <mergeCell ref="AF45:AG45"/>
    <mergeCell ref="AH45:AI45"/>
    <mergeCell ref="T45:U45"/>
    <mergeCell ref="V45:W45"/>
    <mergeCell ref="Z42:AA42"/>
    <mergeCell ref="X42:Y42"/>
    <mergeCell ref="T44:U44"/>
    <mergeCell ref="AD52:AE52"/>
    <mergeCell ref="AF52:AG52"/>
    <mergeCell ref="AH52:AI52"/>
    <mergeCell ref="P1:Z1"/>
    <mergeCell ref="P52:Q52"/>
    <mergeCell ref="R52:S52"/>
    <mergeCell ref="T52:U52"/>
    <mergeCell ref="V52:W52"/>
    <mergeCell ref="X52:Y52"/>
    <mergeCell ref="P51:Q51"/>
    <mergeCell ref="R51:S51"/>
    <mergeCell ref="K25:R25"/>
    <mergeCell ref="K24:R24"/>
    <mergeCell ref="Z24:AA24"/>
    <mergeCell ref="AC24:AD24"/>
    <mergeCell ref="AE24:AI24"/>
    <mergeCell ref="AB38:AC38"/>
    <mergeCell ref="AD38:AE38"/>
    <mergeCell ref="AE31:AI31"/>
    <mergeCell ref="AD46:AE46"/>
    <mergeCell ref="AF46:AG46"/>
    <mergeCell ref="AH46:AI46"/>
    <mergeCell ref="X45:Y45"/>
    <mergeCell ref="Z45:AA45"/>
    <mergeCell ref="V41:W41"/>
    <mergeCell ref="X41:Y41"/>
    <mergeCell ref="Z41:AA41"/>
    <mergeCell ref="T41:U41"/>
    <mergeCell ref="Z43:AA43"/>
    <mergeCell ref="AH49:AI49"/>
    <mergeCell ref="P50:Q50"/>
    <mergeCell ref="R50:S50"/>
    <mergeCell ref="T50:U50"/>
    <mergeCell ref="V50:W50"/>
    <mergeCell ref="X50:Y50"/>
    <mergeCell ref="Z50:AA50"/>
    <mergeCell ref="AH50:AI50"/>
    <mergeCell ref="P49:Q49"/>
    <mergeCell ref="R49:S49"/>
    <mergeCell ref="T49:U49"/>
    <mergeCell ref="V49:W49"/>
    <mergeCell ref="X49:Y49"/>
    <mergeCell ref="Z49:AA49"/>
    <mergeCell ref="AB49:AC49"/>
    <mergeCell ref="AD49:AE49"/>
    <mergeCell ref="AF49:AG49"/>
    <mergeCell ref="AB50:AC50"/>
    <mergeCell ref="AD50:AE50"/>
    <mergeCell ref="X48:Y48"/>
    <mergeCell ref="Z48:AA48"/>
    <mergeCell ref="AB48:AC48"/>
    <mergeCell ref="AD48:AE48"/>
    <mergeCell ref="AF48:AG48"/>
    <mergeCell ref="AH48:AI48"/>
    <mergeCell ref="P20:Z20"/>
    <mergeCell ref="AA20:AN20"/>
    <mergeCell ref="AO20:AP20"/>
    <mergeCell ref="V47:W47"/>
    <mergeCell ref="X47:Y47"/>
    <mergeCell ref="R48:S48"/>
    <mergeCell ref="T48:U48"/>
    <mergeCell ref="V48:W48"/>
    <mergeCell ref="P42:Q42"/>
    <mergeCell ref="R42:S42"/>
    <mergeCell ref="T42:U42"/>
    <mergeCell ref="V42:W42"/>
    <mergeCell ref="X44:Y44"/>
    <mergeCell ref="V43:W43"/>
    <mergeCell ref="X43:Y43"/>
    <mergeCell ref="P45:Q45"/>
    <mergeCell ref="Z44:AA44"/>
    <mergeCell ref="R45:S45"/>
    <mergeCell ref="A53:AP53"/>
    <mergeCell ref="AQ1:AQ53"/>
    <mergeCell ref="AF38:AG38"/>
    <mergeCell ref="AH38:AI38"/>
    <mergeCell ref="AH39:AI39"/>
    <mergeCell ref="AH40:AI40"/>
    <mergeCell ref="AB44:AC44"/>
    <mergeCell ref="AD44:AE44"/>
    <mergeCell ref="AF44:AG44"/>
    <mergeCell ref="AH44:AI44"/>
    <mergeCell ref="AH43:AI43"/>
    <mergeCell ref="AB42:AC42"/>
    <mergeCell ref="AD42:AE42"/>
    <mergeCell ref="AF42:AG42"/>
    <mergeCell ref="AH42:AI42"/>
    <mergeCell ref="Z47:AA47"/>
    <mergeCell ref="AB47:AC47"/>
    <mergeCell ref="AD47:AE47"/>
    <mergeCell ref="AF47:AG47"/>
    <mergeCell ref="AH47:AI47"/>
    <mergeCell ref="P48:Q48"/>
    <mergeCell ref="B1:C1"/>
    <mergeCell ref="B2:C2"/>
    <mergeCell ref="B3:C3"/>
    <mergeCell ref="B4:C4"/>
    <mergeCell ref="B5:C5"/>
    <mergeCell ref="B6:C6"/>
    <mergeCell ref="B7:C7"/>
    <mergeCell ref="B8:C8"/>
    <mergeCell ref="B9:C9"/>
    <mergeCell ref="B10:C10"/>
    <mergeCell ref="B11:C11"/>
    <mergeCell ref="B12:C12"/>
    <mergeCell ref="C35:C36"/>
    <mergeCell ref="A21:C32"/>
    <mergeCell ref="A33:F33"/>
    <mergeCell ref="A34:F34"/>
    <mergeCell ref="A35:A36"/>
    <mergeCell ref="B35:B36"/>
    <mergeCell ref="D35:E36"/>
    <mergeCell ref="F35:G36"/>
    <mergeCell ref="D13:G13"/>
    <mergeCell ref="D14:G14"/>
    <mergeCell ref="D15:G15"/>
    <mergeCell ref="D16:G16"/>
    <mergeCell ref="D17:G17"/>
    <mergeCell ref="D28:J28"/>
    <mergeCell ref="D29:J29"/>
    <mergeCell ref="D30:J30"/>
    <mergeCell ref="D21:J21"/>
    <mergeCell ref="D22:J22"/>
    <mergeCell ref="D23:J23"/>
    <mergeCell ref="D24:J24"/>
    <mergeCell ref="D25:J25"/>
    <mergeCell ref="D26:J26"/>
    <mergeCell ref="D27:J27"/>
    <mergeCell ref="D18:G18"/>
    <mergeCell ref="K27:R27"/>
    <mergeCell ref="B13:C13"/>
    <mergeCell ref="B14:C14"/>
    <mergeCell ref="B15:C15"/>
    <mergeCell ref="B16:C16"/>
    <mergeCell ref="B17:C17"/>
    <mergeCell ref="B18:C18"/>
    <mergeCell ref="B19:C19"/>
    <mergeCell ref="B20:C20"/>
    <mergeCell ref="D19:G19"/>
    <mergeCell ref="D20:G20"/>
  </mergeCells>
  <conditionalFormatting sqref="B3:B13">
    <cfRule type="expression" dxfId="128" priority="1">
      <formula>$AA$2&lt;&gt;""</formula>
    </cfRule>
  </conditionalFormatting>
  <conditionalFormatting sqref="B37:F52">
    <cfRule type="cellIs" dxfId="127" priority="7" operator="equal">
      <formula>0</formula>
    </cfRule>
  </conditionalFormatting>
  <conditionalFormatting sqref="D17:G17">
    <cfRule type="expression" dxfId="126" priority="2">
      <formula>$AA$16&lt;&gt;""</formula>
    </cfRule>
  </conditionalFormatting>
  <conditionalFormatting sqref="D2:AP2">
    <cfRule type="expression" dxfId="125" priority="189">
      <formula>$AA$2&lt;&gt;""</formula>
    </cfRule>
  </conditionalFormatting>
  <conditionalFormatting sqref="D3:AP3">
    <cfRule type="expression" dxfId="124" priority="164">
      <formula>$AA$3&lt;&gt;""</formula>
    </cfRule>
  </conditionalFormatting>
  <conditionalFormatting sqref="D4:AP4">
    <cfRule type="expression" dxfId="123" priority="165">
      <formula>$AA$4&lt;&gt;""</formula>
    </cfRule>
  </conditionalFormatting>
  <conditionalFormatting sqref="D5:AP5">
    <cfRule type="expression" dxfId="122" priority="166">
      <formula>$AA$5&lt;&gt;""</formula>
    </cfRule>
  </conditionalFormatting>
  <conditionalFormatting sqref="D6:AP6">
    <cfRule type="expression" dxfId="121" priority="167">
      <formula>$AA$6&lt;&gt;""</formula>
    </cfRule>
  </conditionalFormatting>
  <conditionalFormatting sqref="D7:AP7">
    <cfRule type="expression" dxfId="120" priority="168">
      <formula>$AA$7&lt;&gt;""</formula>
    </cfRule>
  </conditionalFormatting>
  <conditionalFormatting sqref="D8:AP8">
    <cfRule type="expression" dxfId="119" priority="169">
      <formula>$AA$8&lt;&gt;""</formula>
    </cfRule>
  </conditionalFormatting>
  <conditionalFormatting sqref="D9:AP9">
    <cfRule type="expression" dxfId="118" priority="170">
      <formula>$AA$9&lt;&gt;""</formula>
    </cfRule>
  </conditionalFormatting>
  <conditionalFormatting sqref="D10:AP10">
    <cfRule type="expression" dxfId="117" priority="171">
      <formula>$AA$10&lt;&gt;""</formula>
    </cfRule>
  </conditionalFormatting>
  <conditionalFormatting sqref="D11:AP11">
    <cfRule type="expression" dxfId="116" priority="172">
      <formula>$AA$11&lt;&gt;""</formula>
    </cfRule>
  </conditionalFormatting>
  <conditionalFormatting sqref="D12:AP12">
    <cfRule type="expression" dxfId="115" priority="173">
      <formula>$AA$12&lt;&gt;""</formula>
    </cfRule>
  </conditionalFormatting>
  <conditionalFormatting sqref="D13:AP13">
    <cfRule type="expression" dxfId="114" priority="174">
      <formula>$AA$13&lt;&gt;""</formula>
    </cfRule>
  </conditionalFormatting>
  <conditionalFormatting sqref="D14:AP14">
    <cfRule type="expression" dxfId="113" priority="175">
      <formula>$AA$14&lt;&gt;""</formula>
    </cfRule>
  </conditionalFormatting>
  <conditionalFormatting sqref="D15:AP15">
    <cfRule type="expression" dxfId="112" priority="213">
      <formula>$AA$15&lt;&gt;""</formula>
    </cfRule>
  </conditionalFormatting>
  <conditionalFormatting sqref="D16:AP16">
    <cfRule type="expression" dxfId="111" priority="176">
      <formula>$AA$16&lt;&gt;""</formula>
    </cfRule>
  </conditionalFormatting>
  <conditionalFormatting sqref="H37:H52">
    <cfRule type="cellIs" dxfId="110" priority="17" operator="equal">
      <formula>0</formula>
    </cfRule>
  </conditionalFormatting>
  <conditionalFormatting sqref="H3:I4">
    <cfRule type="expression" dxfId="109" priority="52">
      <formula>#REF!="MNG"</formula>
    </cfRule>
    <cfRule type="cellIs" dxfId="108" priority="53" operator="equal">
      <formula>0</formula>
    </cfRule>
  </conditionalFormatting>
  <conditionalFormatting sqref="H5:I5">
    <cfRule type="expression" dxfId="107" priority="56">
      <formula>$BK$39="MNG"</formula>
    </cfRule>
    <cfRule type="cellIs" dxfId="106" priority="57" operator="equal">
      <formula>0</formula>
    </cfRule>
  </conditionalFormatting>
  <conditionalFormatting sqref="H6:I6">
    <cfRule type="cellIs" dxfId="105" priority="179" operator="equal">
      <formula>0</formula>
    </cfRule>
    <cfRule type="expression" dxfId="104" priority="178">
      <formula>$AS$61="MNG"</formula>
    </cfRule>
  </conditionalFormatting>
  <conditionalFormatting sqref="H7:I7">
    <cfRule type="cellIs" dxfId="103" priority="181" operator="equal">
      <formula>0</formula>
    </cfRule>
    <cfRule type="expression" dxfId="102" priority="180">
      <formula>$AS$62="MNG"</formula>
    </cfRule>
  </conditionalFormatting>
  <conditionalFormatting sqref="H8:I8">
    <cfRule type="cellIs" dxfId="101" priority="183" operator="equal">
      <formula>0</formula>
    </cfRule>
    <cfRule type="expression" dxfId="100" priority="182">
      <formula>$AS$63="MNG"</formula>
    </cfRule>
  </conditionalFormatting>
  <conditionalFormatting sqref="H9:I9">
    <cfRule type="expression" dxfId="99" priority="45">
      <formula>$AS$64="MNG"</formula>
    </cfRule>
    <cfRule type="cellIs" dxfId="98" priority="46" operator="equal">
      <formula>0</formula>
    </cfRule>
  </conditionalFormatting>
  <conditionalFormatting sqref="H10:I10">
    <cfRule type="expression" dxfId="97" priority="47">
      <formula>$AS$65="MNG"</formula>
    </cfRule>
    <cfRule type="cellIs" dxfId="96" priority="48" operator="equal">
      <formula>0</formula>
    </cfRule>
  </conditionalFormatting>
  <conditionalFormatting sqref="H11:I11">
    <cfRule type="cellIs" dxfId="95" priority="59" operator="equal">
      <formula>0</formula>
    </cfRule>
    <cfRule type="expression" dxfId="94" priority="58">
      <formula>$BK$45="MNG"</formula>
    </cfRule>
  </conditionalFormatting>
  <conditionalFormatting sqref="H12:I12">
    <cfRule type="cellIs" dxfId="93" priority="61" operator="equal">
      <formula>0</formula>
    </cfRule>
    <cfRule type="expression" dxfId="92" priority="60">
      <formula>$BK$46="MNG"</formula>
    </cfRule>
  </conditionalFormatting>
  <conditionalFormatting sqref="H13:I13">
    <cfRule type="cellIs" dxfId="91" priority="63" operator="equal">
      <formula>0</formula>
    </cfRule>
    <cfRule type="expression" dxfId="90" priority="62">
      <formula>$BK$47="MNG"</formula>
    </cfRule>
  </conditionalFormatting>
  <conditionalFormatting sqref="H14:I14">
    <cfRule type="expression" dxfId="89" priority="64">
      <formula>$BK$48="MNG"</formula>
    </cfRule>
  </conditionalFormatting>
  <conditionalFormatting sqref="H14:I15">
    <cfRule type="cellIs" dxfId="88" priority="65" operator="equal">
      <formula>0</formula>
    </cfRule>
  </conditionalFormatting>
  <conditionalFormatting sqref="H18:J18">
    <cfRule type="expression" dxfId="87" priority="200">
      <formula>$D$18="Star Players"</formula>
    </cfRule>
  </conditionalFormatting>
  <conditionalFormatting sqref="H19:J19">
    <cfRule type="expression" dxfId="86" priority="201">
      <formula>$D$19="Star Players"</formula>
    </cfRule>
  </conditionalFormatting>
  <conditionalFormatting sqref="H20:J20">
    <cfRule type="expression" dxfId="85" priority="37">
      <formula>$D$19="Star Players"</formula>
    </cfRule>
  </conditionalFormatting>
  <conditionalFormatting sqref="H2:O19 P18:AN19">
    <cfRule type="cellIs" dxfId="84" priority="49" operator="equal">
      <formula>0</formula>
    </cfRule>
  </conditionalFormatting>
  <conditionalFormatting sqref="H20:AN20">
    <cfRule type="cellIs" dxfId="83" priority="36" operator="equal">
      <formula>0</formula>
    </cfRule>
  </conditionalFormatting>
  <conditionalFormatting sqref="H17:AP17">
    <cfRule type="expression" dxfId="82" priority="177">
      <formula>$AA$17&lt;&gt;""</formula>
    </cfRule>
  </conditionalFormatting>
  <conditionalFormatting sqref="J18:J20">
    <cfRule type="cellIs" dxfId="81" priority="35" operator="equal">
      <formula>2</formula>
    </cfRule>
  </conditionalFormatting>
  <conditionalFormatting sqref="K2:L2">
    <cfRule type="cellIs" dxfId="80" priority="194" operator="lessThan">
      <formula>X61</formula>
    </cfRule>
    <cfRule type="cellIs" dxfId="79" priority="195" operator="greaterThan">
      <formula>X61</formula>
    </cfRule>
  </conditionalFormatting>
  <conditionalFormatting sqref="K3:L14">
    <cfRule type="cellIs" dxfId="78" priority="67" operator="greaterThan">
      <formula>X62</formula>
    </cfRule>
    <cfRule type="cellIs" dxfId="77" priority="66" operator="lessThan">
      <formula>X62</formula>
    </cfRule>
  </conditionalFormatting>
  <conditionalFormatting sqref="K15:L15 O15">
    <cfRule type="cellIs" dxfId="76" priority="204" operator="equal">
      <formula>0</formula>
    </cfRule>
  </conditionalFormatting>
  <conditionalFormatting sqref="K15:L15">
    <cfRule type="cellIs" dxfId="75" priority="206" operator="lessThan">
      <formula>X74</formula>
    </cfRule>
    <cfRule type="cellIs" dxfId="74" priority="207" operator="greaterThan">
      <formula>X74</formula>
    </cfRule>
  </conditionalFormatting>
  <conditionalFormatting sqref="K16:L17">
    <cfRule type="cellIs" dxfId="73" priority="90" operator="lessThan">
      <formula>X75</formula>
    </cfRule>
    <cfRule type="cellIs" dxfId="72" priority="91" operator="greaterThan">
      <formula>X75</formula>
    </cfRule>
  </conditionalFormatting>
  <conditionalFormatting sqref="K18:O19">
    <cfRule type="cellIs" dxfId="71" priority="224" operator="equal">
      <formula>0</formula>
    </cfRule>
  </conditionalFormatting>
  <conditionalFormatting sqref="K20:O20">
    <cfRule type="cellIs" dxfId="70" priority="40" operator="equal">
      <formula>0</formula>
    </cfRule>
  </conditionalFormatting>
  <conditionalFormatting sqref="L37:L52">
    <cfRule type="cellIs" dxfId="69" priority="6" operator="equal">
      <formula>0</formula>
    </cfRule>
  </conditionalFormatting>
  <conditionalFormatting sqref="M2:M17">
    <cfRule type="expression" dxfId="68" priority="192">
      <formula>N61&gt;Z61</formula>
    </cfRule>
    <cfRule type="expression" dxfId="67" priority="193">
      <formula>N61&lt;Z61</formula>
    </cfRule>
  </conditionalFormatting>
  <conditionalFormatting sqref="M2:O17">
    <cfRule type="cellIs" dxfId="66" priority="50" operator="equal">
      <formula>"0+"</formula>
    </cfRule>
  </conditionalFormatting>
  <conditionalFormatting sqref="N2:N17">
    <cfRule type="expression" dxfId="65" priority="215">
      <formula>O61&gt;AA61</formula>
    </cfRule>
    <cfRule type="expression" dxfId="64" priority="216">
      <formula>O61&lt;AA61</formula>
    </cfRule>
  </conditionalFormatting>
  <conditionalFormatting sqref="N37:P52">
    <cfRule type="cellIs" dxfId="63" priority="5" operator="equal">
      <formula>0</formula>
    </cfRule>
  </conditionalFormatting>
  <conditionalFormatting sqref="O2">
    <cfRule type="expression" dxfId="62" priority="199">
      <formula>P61&gt;AB61</formula>
    </cfRule>
    <cfRule type="expression" dxfId="61" priority="198">
      <formula>P61&lt;AB61</formula>
    </cfRule>
  </conditionalFormatting>
  <conditionalFormatting sqref="O3:O14">
    <cfRule type="expression" dxfId="60" priority="98">
      <formula>P62&gt;AB62</formula>
    </cfRule>
    <cfRule type="expression" dxfId="59" priority="97">
      <formula>P62&lt;AB62</formula>
    </cfRule>
  </conditionalFormatting>
  <conditionalFormatting sqref="O15">
    <cfRule type="expression" dxfId="58" priority="211">
      <formula>P74&lt;AB74</formula>
    </cfRule>
    <cfRule type="expression" dxfId="57" priority="212">
      <formula>P74&gt;AB74</formula>
    </cfRule>
  </conditionalFormatting>
  <conditionalFormatting sqref="O16:O17">
    <cfRule type="expression" dxfId="56" priority="158">
      <formula>P75&gt;AB75</formula>
    </cfRule>
    <cfRule type="expression" dxfId="55" priority="157">
      <formula>P75&lt;AB75</formula>
    </cfRule>
  </conditionalFormatting>
  <conditionalFormatting sqref="P2:P17">
    <cfRule type="expression" dxfId="54" priority="191">
      <formula>AX2&lt;&gt;""</formula>
    </cfRule>
    <cfRule type="cellIs" dxfId="53" priority="190" operator="equal">
      <formula>0&amp;BG2</formula>
    </cfRule>
  </conditionalFormatting>
  <conditionalFormatting sqref="P18:AN18">
    <cfRule type="expression" dxfId="52" priority="202">
      <formula>$AT$18&lt;&gt;""</formula>
    </cfRule>
  </conditionalFormatting>
  <conditionalFormatting sqref="P19:AN19">
    <cfRule type="expression" dxfId="51" priority="203">
      <formula>$AT$19&lt;&gt;""</formula>
    </cfRule>
  </conditionalFormatting>
  <conditionalFormatting sqref="P20:AN20">
    <cfRule type="expression" dxfId="50" priority="38">
      <formula>$AT$19&lt;&gt;""</formula>
    </cfRule>
  </conditionalFormatting>
  <conditionalFormatting sqref="R37:T52">
    <cfRule type="cellIs" dxfId="49" priority="4" operator="equal">
      <formula>0</formula>
    </cfRule>
  </conditionalFormatting>
  <conditionalFormatting sqref="V37:X52">
    <cfRule type="cellIs" dxfId="48" priority="3" operator="equal">
      <formula>0</formula>
    </cfRule>
  </conditionalFormatting>
  <conditionalFormatting sqref="X31">
    <cfRule type="expression" dxfId="47" priority="186">
      <formula>$Z$31=0</formula>
    </cfRule>
  </conditionalFormatting>
  <conditionalFormatting sqref="X32">
    <cfRule type="cellIs" dxfId="46" priority="51" operator="equal">
      <formula>0</formula>
    </cfRule>
  </conditionalFormatting>
  <conditionalFormatting sqref="Y22:AB22">
    <cfRule type="expression" dxfId="45" priority="229">
      <formula>$Z$22=0</formula>
    </cfRule>
  </conditionalFormatting>
  <conditionalFormatting sqref="Y31:AB31">
    <cfRule type="expression" dxfId="44" priority="184">
      <formula>$Z$31=0</formula>
    </cfRule>
  </conditionalFormatting>
  <conditionalFormatting sqref="Z37:AG52">
    <cfRule type="cellIs" dxfId="43" priority="8" operator="equal">
      <formula>0</formula>
    </cfRule>
  </conditionalFormatting>
  <conditionalFormatting sqref="AC22:AD22">
    <cfRule type="expression" dxfId="42" priority="230">
      <formula>$Z$22=0</formula>
    </cfRule>
  </conditionalFormatting>
  <conditionalFormatting sqref="AC31:AD31">
    <cfRule type="expression" dxfId="41" priority="185">
      <formula>$Z$31=0</formula>
    </cfRule>
  </conditionalFormatting>
  <conditionalFormatting sqref="AH37:AI52">
    <cfRule type="cellIs" dxfId="40" priority="44" operator="equal">
      <formula>0</formula>
    </cfRule>
  </conditionalFormatting>
  <conditionalFormatting sqref="AJ31">
    <cfRule type="expression" dxfId="39" priority="188">
      <formula>$AL$31=0</formula>
    </cfRule>
  </conditionalFormatting>
  <conditionalFormatting sqref="AK25:AN25">
    <cfRule type="expression" dxfId="38" priority="217">
      <formula>$AL$25=0</formula>
    </cfRule>
  </conditionalFormatting>
  <conditionalFormatting sqref="AK26:AN26">
    <cfRule type="expression" dxfId="37" priority="218">
      <formula>$AL$26=0</formula>
    </cfRule>
  </conditionalFormatting>
  <conditionalFormatting sqref="AK27:AN27">
    <cfRule type="expression" dxfId="36" priority="219">
      <formula>$AL$27=0</formula>
    </cfRule>
  </conditionalFormatting>
  <conditionalFormatting sqref="AK28:AN28">
    <cfRule type="expression" dxfId="35" priority="220">
      <formula>$AL$28=0</formula>
    </cfRule>
  </conditionalFormatting>
  <conditionalFormatting sqref="AK29:AN29">
    <cfRule type="expression" dxfId="34" priority="222">
      <formula>$AL$29=0</formula>
    </cfRule>
  </conditionalFormatting>
  <conditionalFormatting sqref="AK31:AN31">
    <cfRule type="expression" dxfId="33" priority="187">
      <formula>$AL$31=0</formula>
    </cfRule>
  </conditionalFormatting>
  <conditionalFormatting sqref="AO18:AP20">
    <cfRule type="cellIs" dxfId="32" priority="39" operator="equal">
      <formula>0</formula>
    </cfRule>
  </conditionalFormatting>
  <conditionalFormatting sqref="AO25:AP25">
    <cfRule type="expression" dxfId="31" priority="221">
      <formula>$AL$25=0</formula>
    </cfRule>
  </conditionalFormatting>
  <conditionalFormatting sqref="AO26:AP26">
    <cfRule type="expression" dxfId="30" priority="225">
      <formula>$AL$26=0</formula>
    </cfRule>
  </conditionalFormatting>
  <conditionalFormatting sqref="AO27:AP27">
    <cfRule type="expression" dxfId="29" priority="226">
      <formula>$AL$27=0</formula>
    </cfRule>
  </conditionalFormatting>
  <conditionalFormatting sqref="AO28:AP28">
    <cfRule type="expression" dxfId="28" priority="227">
      <formula>$AL$28=0</formula>
    </cfRule>
  </conditionalFormatting>
  <conditionalFormatting sqref="AO29:AP29">
    <cfRule type="expression" dxfId="27" priority="223">
      <formula>$AL$29=0</formula>
    </cfRule>
  </conditionalFormatting>
  <conditionalFormatting sqref="AO31:AP31">
    <cfRule type="expression" dxfId="26" priority="228">
      <formula>$AL$31=0</formula>
    </cfRule>
  </conditionalFormatting>
  <dataValidations disablePrompts="1" count="41">
    <dataValidation type="list" allowBlank="1" showErrorMessage="1" sqref="D2:D17" xr:uid="{00000000-0002-0000-0100-000000000000}">
      <formula1>$BK$2:$BK$14</formula1>
    </dataValidation>
    <dataValidation type="list" allowBlank="1" showErrorMessage="1" sqref="AE25" xr:uid="{00000000-0002-0000-0100-000001000000}">
      <formula1>$BI$59:$BI$71</formula1>
    </dataValidation>
    <dataValidation type="list" allowBlank="1" showErrorMessage="1" sqref="X23" xr:uid="{00000000-0002-0000-0100-000002000000}">
      <formula1>$AZ$62:$AZ$72</formula1>
    </dataValidation>
    <dataValidation type="list" allowBlank="1" showErrorMessage="1" sqref="X25 AJ31" xr:uid="{00000000-0002-0000-0100-000003000000}">
      <formula1>$AZ$62:$AZ$64</formula1>
    </dataValidation>
    <dataValidation type="list" allowBlank="1" showErrorMessage="1" sqref="H55:H57" xr:uid="{00000000-0002-0000-0100-000004000000}">
      <formula1>$BB$68:$BB$69</formula1>
    </dataValidation>
    <dataValidation type="list" allowBlank="1" showErrorMessage="1" sqref="X22 X30:X31 AJ24:AJ28" xr:uid="{00000000-0002-0000-0100-000005000000}">
      <formula1>$AZ$62:$AZ$63</formula1>
    </dataValidation>
    <dataValidation type="list" allowBlank="1" showErrorMessage="1" sqref="AP37:AP52 AL37:AM52" xr:uid="{00000000-0002-0000-0100-000006000000}">
      <formula1>$AJ$62:$AJ$64</formula1>
    </dataValidation>
    <dataValidation type="list" allowBlank="1" showErrorMessage="1" sqref="X26" xr:uid="{00000000-0002-0000-0100-000007000000}">
      <formula1>$AZ$62:$AZ$67</formula1>
    </dataValidation>
    <dataValidation type="list" allowBlank="1" showErrorMessage="1" sqref="AK37:AK52" xr:uid="{00000000-0002-0000-0100-000008000000}">
      <formula1>$AJ$66:$AJ$70</formula1>
    </dataValidation>
    <dataValidation type="list" allowBlank="1" showErrorMessage="1" sqref="AJ22:AJ23 AJ30" xr:uid="{00000000-0002-0000-0100-000009000000}">
      <formula1>$AZ$62:$AZ$70</formula1>
    </dataValidation>
    <dataValidation type="list" allowBlank="1" showErrorMessage="1" sqref="AN37:AO52" xr:uid="{00000000-0002-0000-0100-00000A000000}">
      <formula1>$AJ$66:$AJ$68</formula1>
    </dataValidation>
    <dataValidation type="list" allowBlank="1" showErrorMessage="1" sqref="X28 AJ29" xr:uid="{00000000-0002-0000-0100-00000B000000}">
      <formula1>$AZ$62:$AZ$65</formula1>
    </dataValidation>
    <dataValidation type="list" allowBlank="1" showErrorMessage="1" sqref="AK32" xr:uid="{00000000-0002-0000-0100-00000C000000}">
      <formula1>$BB$76:$BB$81</formula1>
    </dataValidation>
    <dataValidation type="list" allowBlank="1" showErrorMessage="1" sqref="X24 X21" xr:uid="{00000000-0002-0000-0100-00000D000000}">
      <formula1>$AZ$62:$AZ$68</formula1>
    </dataValidation>
    <dataValidation type="list" allowBlank="1" showErrorMessage="1" sqref="AE26:AE27" xr:uid="{00000000-0002-0000-0100-00000E000000}">
      <formula1>$BE$59:$BE$69</formula1>
    </dataValidation>
    <dataValidation type="list" allowBlank="1" showErrorMessage="1" sqref="AA2:AA17" xr:uid="{00000000-0002-0000-0100-00000F000000}">
      <formula1>$BB$67:$BB$68</formula1>
    </dataValidation>
    <dataValidation type="list" allowBlank="1" showErrorMessage="1" sqref="X27 X29" xr:uid="{00000000-0002-0000-0100-000010000000}">
      <formula1>$AZ$62:$AZ$66</formula1>
    </dataValidation>
    <dataValidation type="list" allowBlank="1" showErrorMessage="1" sqref="K21" xr:uid="{00000000-0002-0000-0100-000011000000}">
      <formula1>$BS$59:$BS$67</formula1>
    </dataValidation>
    <dataValidation type="list" allowBlank="1" showErrorMessage="1" sqref="AE28" xr:uid="{00000000-0002-0000-0100-000012000000}">
      <formula1>$BM$59:$BM$64</formula1>
    </dataValidation>
    <dataValidation type="list" allowBlank="1" showErrorMessage="1" sqref="D37:D52 Z37:Z52 V37:V52 R37:R52 N37:N52 H37:H52" xr:uid="{00000000-0002-0000-0100-000013000000}">
      <formula1>$CB$59:$CB$61</formula1>
    </dataValidation>
    <dataValidation type="list" allowBlank="1" showErrorMessage="1" sqref="K25:R25" xr:uid="{00000000-0002-0000-0100-000014000000}">
      <formula1>$BB$62:$BB$66</formula1>
    </dataValidation>
    <dataValidation type="list" allowBlank="1" showInputMessage="1" showErrorMessage="1" sqref="AB37:AC52" xr:uid="{00000000-0002-0000-0100-000015000000}">
      <formula1>$AK$61:$AK$69</formula1>
    </dataValidation>
    <dataValidation type="list" allowBlank="1" showInputMessage="1" showErrorMessage="1" sqref="K22:R22" xr:uid="{00000000-0002-0000-0100-000016000000}">
      <formula1>$BS$70:$BS$75</formula1>
    </dataValidation>
    <dataValidation type="list" allowBlank="1" showErrorMessage="1" sqref="AE29:AI29" xr:uid="{00000000-0002-0000-0100-000017000000}">
      <formula1>$BP$59:$BP$73</formula1>
    </dataValidation>
    <dataValidation type="list" allowBlank="1" showErrorMessage="1" sqref="C37 F37 L37 P37 T37 X37" xr:uid="{00000000-0002-0000-0100-000018000000}">
      <formula1>$CH$60:$CH$139</formula1>
    </dataValidation>
    <dataValidation type="list" allowBlank="1" showErrorMessage="1" sqref="C38 F38 L38 P38 T38 X38" xr:uid="{00000000-0002-0000-0100-000019000000}">
      <formula1>$CI$60:$CI$139</formula1>
    </dataValidation>
    <dataValidation type="list" allowBlank="1" showErrorMessage="1" sqref="C39 F39 L39 P39 T39 X39" xr:uid="{00000000-0002-0000-0100-00001A000000}">
      <formula1>$CJ$60:$CJ$139</formula1>
    </dataValidation>
    <dataValidation type="list" allowBlank="1" showErrorMessage="1" sqref="C40 F40 L40 P40 T40 X40" xr:uid="{00000000-0002-0000-0100-00001B000000}">
      <formula1>$CK$60:$CK$139</formula1>
    </dataValidation>
    <dataValidation type="list" allowBlank="1" showErrorMessage="1" sqref="C41 F41 L41 P41 T41 X41" xr:uid="{00000000-0002-0000-0100-00001C000000}">
      <formula1>$CL$60:$CL$139</formula1>
    </dataValidation>
    <dataValidation type="list" allowBlank="1" showErrorMessage="1" sqref="C42 F42 L42 P42 T42 X42" xr:uid="{00000000-0002-0000-0100-00001D000000}">
      <formula1>$CM$60:$CM$139</formula1>
    </dataValidation>
    <dataValidation type="list" allowBlank="1" showErrorMessage="1" sqref="C43 F43 L43 P43 T43 X43" xr:uid="{00000000-0002-0000-0100-00001E000000}">
      <formula1>$CN$60:$CN$139</formula1>
    </dataValidation>
    <dataValidation type="list" allowBlank="1" showErrorMessage="1" sqref="C44 F44 L44 P44 T44 X44" xr:uid="{00000000-0002-0000-0100-00001F000000}">
      <formula1>$CO$60:$CO$139</formula1>
    </dataValidation>
    <dataValidation type="list" allowBlank="1" showErrorMessage="1" sqref="C45 F45 L45 P45 T45 X45" xr:uid="{00000000-0002-0000-0100-000020000000}">
      <formula1>$CP$60:$CP$139</formula1>
    </dataValidation>
    <dataValidation type="list" allowBlank="1" showErrorMessage="1" sqref="C46 F46 L46 P46 T46 X46" xr:uid="{00000000-0002-0000-0100-000021000000}">
      <formula1>$CQ$60:$CQ$139</formula1>
    </dataValidation>
    <dataValidation type="list" allowBlank="1" showErrorMessage="1" sqref="C47 F47 L47 P47 T47 X47" xr:uid="{00000000-0002-0000-0100-000022000000}">
      <formula1>$CR$60:$CR$139</formula1>
    </dataValidation>
    <dataValidation type="list" allowBlank="1" showErrorMessage="1" sqref="C48 F48 L48 P48 T48 X48" xr:uid="{00000000-0002-0000-0100-000023000000}">
      <formula1>$CS$60:$CS$139</formula1>
    </dataValidation>
    <dataValidation type="list" allowBlank="1" showErrorMessage="1" sqref="C49 F49 L49 P49 T49 X49" xr:uid="{00000000-0002-0000-0100-000024000000}">
      <formula1>$CT$60:$CT$139</formula1>
    </dataValidation>
    <dataValidation type="list" allowBlank="1" showErrorMessage="1" sqref="C50 F50 L50 P50 T50 X50" xr:uid="{00000000-0002-0000-0100-000025000000}">
      <formula1>$CU$60:$CU$139</formula1>
    </dataValidation>
    <dataValidation type="list" allowBlank="1" showErrorMessage="1" sqref="C51 F51 L51 P51 T51 X51" xr:uid="{00000000-0002-0000-0100-000026000000}">
      <formula1>$CV$60:$CV$139</formula1>
    </dataValidation>
    <dataValidation type="list" allowBlank="1" showErrorMessage="1" sqref="C52 F52 L52 P52 T52 X52" xr:uid="{00000000-0002-0000-0100-000027000000}">
      <formula1>$CW$60:$CW$139</formula1>
    </dataValidation>
    <dataValidation type="list" allowBlank="1" showErrorMessage="1" sqref="K23:R23" xr:uid="{00000000-0002-0000-0100-000028000000}">
      <formula1>$BN$3:$BN$36</formula1>
    </dataValidation>
  </dataValidations>
  <pageMargins left="0.19685039370078741" right="0.19685039370078741" top="0.39370078740157483" bottom="0.19685039370078741" header="0.19685039370078741" footer="0.19685039370078741"/>
  <pageSetup paperSize="9" scale="38" orientation="landscape" cellComments="atEnd" r:id="rId1"/>
  <drawing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100-000029000000}">
          <x14:formula1>
            <xm:f>StarPlayers!$C$91:$C$122</xm:f>
          </x14:formula1>
          <xm:sqref>D18:G20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00"/>
  <sheetViews>
    <sheetView zoomScaleNormal="100" workbookViewId="0">
      <selection activeCell="AB7" sqref="AB7:AC7"/>
    </sheetView>
  </sheetViews>
  <sheetFormatPr defaultColWidth="0" defaultRowHeight="15" customHeight="1" zeroHeight="1" x14ac:dyDescent="0.2"/>
  <cols>
    <col min="1" max="3" width="5" customWidth="1"/>
    <col min="4" max="5" width="25" customWidth="1"/>
    <col min="6" max="6" width="5" customWidth="1"/>
    <col min="7" max="7" width="0.7109375" customWidth="1"/>
    <col min="8" max="9" width="5" customWidth="1"/>
    <col min="10" max="10" width="0.7109375" customWidth="1"/>
    <col min="11" max="12" width="5" customWidth="1"/>
    <col min="13" max="13" width="0.7109375" customWidth="1"/>
    <col min="14" max="15" width="5" customWidth="1"/>
    <col min="16" max="16" width="0.7109375" customWidth="1"/>
    <col min="17" max="18" width="5" customWidth="1"/>
    <col min="19" max="19" width="0.7109375" customWidth="1"/>
    <col min="20" max="21" width="5" customWidth="1"/>
    <col min="22" max="22" width="0.7109375" customWidth="1"/>
    <col min="23" max="23" width="5" customWidth="1"/>
    <col min="24" max="27" width="12.85546875" customWidth="1"/>
    <col min="28" max="29" width="18.28515625" customWidth="1"/>
    <col min="30" max="30" width="1.5703125" customWidth="1"/>
    <col min="31" max="36" width="8" hidden="1" customWidth="1"/>
    <col min="37" max="16384" width="14.42578125" hidden="1"/>
  </cols>
  <sheetData>
    <row r="1" spans="1:36" ht="11.25" customHeight="1" thickBot="1" x14ac:dyDescent="0.25">
      <c r="A1" s="70" t="str">
        <f>IF(Roster!$K$25="Italiano","vinte",(IF(Roster!$K$25="Español","gan.",(IF(Roster!$K$25="Deutsch","sieg",(IF(Roster!$K$25="Français","vic.","won")))))))</f>
        <v>won</v>
      </c>
      <c r="B1" s="71" t="str">
        <f>IF(Roster!$K$25="Italiano","par.",(IF(Roster!$K$25="Español","emp.",(IF(Roster!$K$25="Deutsch","une.",(IF(Roster!$K$25="Français","nul","tied")))))))</f>
        <v>tied</v>
      </c>
      <c r="C1" s="72" t="str">
        <f>IF(Roster!$K$25="Italiano","perse",(IF(Roster!$K$25="Español","per.",(IF(Roster!$K$25="Deutsch","nie.",(IF(Roster!$K$25="Français","déf.","lost")))))))</f>
        <v>lost</v>
      </c>
      <c r="D1" s="415" t="str">
        <f>IF(Roster!$K$25="Italiano","STATISTICHE",(IF(Roster!$K$25="Español","ESTADÍSTICAS",(IF(Roster!$K$25="Deutsch","STATISTIK",(IF(Roster!$K$25="Français","STATISITQUES","STATISTICS")))))))</f>
        <v>STATISTICS</v>
      </c>
      <c r="E1" s="416"/>
      <c r="F1" s="435" t="s">
        <v>1196</v>
      </c>
      <c r="G1" s="436"/>
      <c r="H1" s="439"/>
      <c r="I1" s="435" t="str">
        <f>IF(Roster!$K$25="Español","HER",(IF(Roster!$K$25="Deutsch","VER",(IF(Roster!$K$25="Français","BLES","CAS")))))</f>
        <v>CAS</v>
      </c>
      <c r="J1" s="436"/>
      <c r="K1" s="439"/>
      <c r="L1" s="435" t="str">
        <f>IF(Roster!$K$25="Español","HL",(IF(Roster!$K$25="Deutsch","SV",(IF(Roster!$K$25="Français","COM","BH")))))</f>
        <v>BH</v>
      </c>
      <c r="M1" s="436"/>
      <c r="N1" s="437"/>
      <c r="O1" s="438" t="str">
        <f>IF(Roster!$K$25="Español","HG",(IF(Roster!$K$25="Deutsch","BV",(IF(Roster!$K$25="Français","BS","SI")))))</f>
        <v>SI</v>
      </c>
      <c r="P1" s="436"/>
      <c r="Q1" s="437"/>
      <c r="R1" s="438" t="str">
        <f>IF(Roster!$K$25="Italiano","UCCISIONI",(IF(Roster!$K$25="Español","MUERTOS",(IF(Roster!$K$25="Deutsch","TOT",(IF(Roster!$K$25="Français","MORT","KILLS")))))))</f>
        <v>KILLS</v>
      </c>
      <c r="S1" s="436"/>
      <c r="T1" s="439"/>
      <c r="U1" s="435" t="str">
        <f>IF(Roster!$K$25="Italiano","ESPULSI",(IF(Roster!$K$25="Español","EXPULSADOS",(IF(Roster!$K$25="Deutsch","VOM PLATZ G.",(IF(Roster!$K$25="Français","EXPULSÉ","SENT OFF")))))))</f>
        <v>SENT OFF</v>
      </c>
      <c r="V1" s="436"/>
      <c r="W1" s="439"/>
      <c r="X1" s="258" t="str">
        <f>IF(Roster!$K$25="Italiano","TIFOSI S.",(IF(Roster!$K$25="Español","FANS D.",(IF(Roster!$K$25="Deutsch","T. FANS",(IF(Roster!$K$25="Français","FANS D.","D. FANS")))))))</f>
        <v>D. FANS</v>
      </c>
      <c r="Y1" s="258" t="str">
        <f>IF(Roster!$K$25="Italiano","CASSA S.",(IF(Roster!$K$25="Español","TESORERÍA G.",(IF(Roster!$K$25="Deutsch","AUSGEGEBENES B.",(IF(Roster!$K$25="Français","CASH SPENT","TREASURY S.")))))))</f>
        <v>TREASURY S.</v>
      </c>
      <c r="Z1" s="258" t="str">
        <f>IF(Roster!$K$25="Italiano","RICOMPENSE",(IF(Roster!$K$25="Español","GANANCIAS",(IF(Roster!$K$25="Deutsch","GEWINNE",(IF(Roster!$K$25="Français","GAINS","WINNINGS")))))))</f>
        <v>WINNINGS</v>
      </c>
      <c r="AA1" s="258" t="str">
        <f>IF(Roster!$K$25="Italiano","PUNTI",(IF(Roster!$K$25="Español","PUNTOS",(IF(Roster!$K$25="Deutsch","PUNKTE","POINTS")))))</f>
        <v>POINTS</v>
      </c>
      <c r="AB1" s="268" t="str">
        <f>IF(Roster!$K$25="Italiano","LEGA",(IF(Roster!$K$25="Español","LIGA",(IF(Roster!$K$25="Deutsch","LIGA",(IF(Roster!$K$25="Français","LIGUE","LEAGUE")))))))</f>
        <v>LEAGUE</v>
      </c>
      <c r="AC1" s="267"/>
      <c r="AD1" s="434"/>
    </row>
    <row r="2" spans="1:36" ht="12" customHeight="1" thickBot="1" x14ac:dyDescent="0.25">
      <c r="A2" s="73">
        <f>COUNTIF(AJ6:AJ55,"1")</f>
        <v>0</v>
      </c>
      <c r="B2" s="74">
        <f>COUNTIF(AJ6:AJ55,"2")</f>
        <v>1</v>
      </c>
      <c r="C2" s="75">
        <f>COUNTIF(AJ6:AJ55,"3")</f>
        <v>1</v>
      </c>
      <c r="D2" s="417"/>
      <c r="E2" s="418"/>
      <c r="F2" s="76">
        <f>SUM(F6:F55)</f>
        <v>1</v>
      </c>
      <c r="G2" s="77" t="s">
        <v>253</v>
      </c>
      <c r="H2" s="78">
        <f t="shared" ref="H2:I2" si="0">SUM(H6:H55)</f>
        <v>4</v>
      </c>
      <c r="I2" s="79">
        <f t="shared" si="0"/>
        <v>6</v>
      </c>
      <c r="J2" s="77" t="s">
        <v>253</v>
      </c>
      <c r="K2" s="79">
        <f t="shared" ref="K2:L2" si="1">SUM(K6:K55)</f>
        <v>7</v>
      </c>
      <c r="L2" s="76">
        <f t="shared" si="1"/>
        <v>5</v>
      </c>
      <c r="M2" s="77" t="s">
        <v>253</v>
      </c>
      <c r="N2" s="79">
        <f t="shared" ref="N2:O2" si="2">SUM(N6:N55)</f>
        <v>6</v>
      </c>
      <c r="O2" s="80">
        <f t="shared" si="2"/>
        <v>1</v>
      </c>
      <c r="P2" s="77" t="s">
        <v>253</v>
      </c>
      <c r="Q2" s="79">
        <f t="shared" ref="Q2:R2" si="3">SUM(Q6:Q55)</f>
        <v>0</v>
      </c>
      <c r="R2" s="80">
        <f t="shared" si="3"/>
        <v>0</v>
      </c>
      <c r="S2" s="77" t="s">
        <v>253</v>
      </c>
      <c r="T2" s="78">
        <f t="shared" ref="T2:U2" si="4">SUM(T6:T55)</f>
        <v>1</v>
      </c>
      <c r="U2" s="76">
        <f t="shared" si="4"/>
        <v>1</v>
      </c>
      <c r="V2" s="77" t="s">
        <v>253</v>
      </c>
      <c r="W2" s="78">
        <f t="shared" ref="W2:AA2" si="5">SUM(W6:W55)</f>
        <v>0</v>
      </c>
      <c r="X2" s="81">
        <f t="shared" si="5"/>
        <v>0</v>
      </c>
      <c r="Y2" s="82">
        <f t="shared" ref="Y2" si="6">SUM(Y6:Y55)</f>
        <v>0</v>
      </c>
      <c r="Z2" s="82">
        <f t="shared" si="5"/>
        <v>170000</v>
      </c>
      <c r="AA2" s="81">
        <f t="shared" si="5"/>
        <v>3</v>
      </c>
      <c r="AB2" s="268" t="str">
        <f>IF(Roster!$K$25="Italiano","TIFOSI S. LIBERO",(IF(Roster!$K$25="Español","FANS D. GRATIS",(IF(Roster!$K$25="Deutsch","KOSTENLOS T. FANS",(IF(Roster!$K$25="Français","GRATUIT FANS DÉVOUÉS","FREE D. FANS")))))))</f>
        <v>FREE D. FANS</v>
      </c>
      <c r="AC2" s="267">
        <v>0</v>
      </c>
      <c r="AD2" s="434"/>
      <c r="AF2" s="13">
        <v>1</v>
      </c>
      <c r="AI2" s="13"/>
    </row>
    <row r="3" spans="1:36" ht="11.25" customHeight="1" thickBot="1" x14ac:dyDescent="0.25">
      <c r="A3" s="83">
        <f t="shared" ref="A3:C3" si="7">IFERROR((A2/(COUNTA($F$6:$F$55))),0)</f>
        <v>0</v>
      </c>
      <c r="B3" s="84">
        <f t="shared" si="7"/>
        <v>0.5</v>
      </c>
      <c r="C3" s="85">
        <f t="shared" si="7"/>
        <v>0.5</v>
      </c>
      <c r="D3" s="419"/>
      <c r="E3" s="420"/>
      <c r="F3" s="86">
        <f>IFERROR((F2/(COUNTA($F$6:$F$55))),0)</f>
        <v>0.5</v>
      </c>
      <c r="G3" s="87" t="s">
        <v>253</v>
      </c>
      <c r="H3" s="88">
        <f>IFERROR((H2/(COUNTA($H$6:$H$55))),0)</f>
        <v>2</v>
      </c>
      <c r="I3" s="89">
        <f>IFERROR((I2/(COUNTA($I$6:$I$55))),0)</f>
        <v>0.12</v>
      </c>
      <c r="J3" s="87" t="s">
        <v>253</v>
      </c>
      <c r="K3" s="88">
        <f>IFERROR((K2/(COUNTA($K$6:$K$55))),0)</f>
        <v>0.14000000000000001</v>
      </c>
      <c r="L3" s="89">
        <f>IFERROR((L2/(COUNTA($L$6:$L$55))),0)</f>
        <v>2.5</v>
      </c>
      <c r="M3" s="87" t="s">
        <v>253</v>
      </c>
      <c r="N3" s="90">
        <f>IFERROR((N2/(COUNTA($N$6:$N$55))),0)</f>
        <v>3</v>
      </c>
      <c r="O3" s="89">
        <f>IFERROR((O2/(COUNTA($O$6:$O$55))),0)</f>
        <v>0.5</v>
      </c>
      <c r="P3" s="87" t="s">
        <v>253</v>
      </c>
      <c r="Q3" s="90">
        <f>IFERROR((Q2/(COUNTA($Q$6:$Q$55))),0)</f>
        <v>0</v>
      </c>
      <c r="R3" s="89">
        <f>IFERROR((R2/(COUNTA($R$6:$R$55))),0)</f>
        <v>0</v>
      </c>
      <c r="S3" s="87" t="s">
        <v>253</v>
      </c>
      <c r="T3" s="88">
        <f>IFERROR((T2/(COUNTA($T$6:$T$55))),0)</f>
        <v>0.5</v>
      </c>
      <c r="U3" s="89">
        <f>IFERROR((U2/(COUNTA($U$6:$U$55))),0)</f>
        <v>0.5</v>
      </c>
      <c r="V3" s="87" t="s">
        <v>253</v>
      </c>
      <c r="W3" s="88">
        <f>IFERROR((W2/(COUNTA($W$6:$W$55))),0)</f>
        <v>0</v>
      </c>
      <c r="X3" s="91">
        <f>IFERROR((X2/(COUNTA($X$6:$X$55))),0)</f>
        <v>0</v>
      </c>
      <c r="Y3" s="92">
        <f>IFERROR((Y2/(COUNTA($Y$6:$Y$55))),0)</f>
        <v>0</v>
      </c>
      <c r="Z3" s="92">
        <f>IFERROR((Z2/(COUNTA($Z$6:$Z$55))),0)</f>
        <v>85000</v>
      </c>
      <c r="AA3" s="93">
        <f>IFERROR((AA2/(COUNTA($AA$6:$AA$55))),0)</f>
        <v>1.5</v>
      </c>
      <c r="AB3" s="268" t="str">
        <f>IF(Roster!$K$25="Italiano","TESORERIA INIZIALI",(IF(Roster!$K$25="Español","TESORERÍA INICIAL",(IF(Roster!$K$25="Deutsch","ANFÄNGLICHER TEAMKASSE",(IF(Roster!$K$25="Français","INITIAL TRÉSORERIE","STARTINT TREASURY")))))))</f>
        <v>STARTINT TREASURY</v>
      </c>
      <c r="AC3" s="267">
        <v>1000000</v>
      </c>
      <c r="AD3" s="434"/>
    </row>
    <row r="4" spans="1:36" ht="7.5" customHeight="1" thickBot="1" x14ac:dyDescent="0.25">
      <c r="A4" s="440"/>
      <c r="B4" s="432"/>
      <c r="C4" s="432"/>
      <c r="D4" s="432"/>
      <c r="E4" s="432"/>
      <c r="F4" s="432"/>
      <c r="G4" s="432"/>
      <c r="H4" s="432"/>
      <c r="I4" s="432"/>
      <c r="J4" s="432"/>
      <c r="K4" s="432"/>
      <c r="L4" s="432"/>
      <c r="M4" s="432"/>
      <c r="N4" s="432"/>
      <c r="O4" s="432"/>
      <c r="P4" s="432"/>
      <c r="Q4" s="432"/>
      <c r="R4" s="432"/>
      <c r="S4" s="432"/>
      <c r="T4" s="432"/>
      <c r="U4" s="432"/>
      <c r="V4" s="432"/>
      <c r="W4" s="432"/>
      <c r="X4" s="432"/>
      <c r="Y4" s="441"/>
      <c r="Z4" s="432"/>
      <c r="AA4" s="432"/>
      <c r="AB4" s="432"/>
      <c r="AC4" s="441"/>
      <c r="AD4" s="434"/>
    </row>
    <row r="5" spans="1:36" ht="21" customHeight="1" x14ac:dyDescent="0.2">
      <c r="A5" s="445">
        <v>0</v>
      </c>
      <c r="B5" s="446"/>
      <c r="C5" s="447"/>
      <c r="D5" s="255" t="str">
        <f>IF(Roster!$K$25="Italiano","AVVERSARIO",(IF(Roster!$K$25="Español","OPONENTE",(IF(Roster!$K$25="Deutsch","GEGNER",(IF(Roster!$K$25="Français","ADVERSAIRE","OPPONENT")))))))</f>
        <v>OPPONENT</v>
      </c>
      <c r="E5" s="256" t="str">
        <f>IF(Roster!$K$25="Italiano","RAZZA",(IF(Roster!$K$25="Español","RAZA",(IF(Roster!$K$25="Deutsch","RASSE",(IF(Roster!$K$25="Français","TYPE D'ÉQUIPE","RACE")))))))</f>
        <v>RACE</v>
      </c>
      <c r="F5" s="421" t="s">
        <v>1196</v>
      </c>
      <c r="G5" s="422"/>
      <c r="H5" s="423"/>
      <c r="I5" s="421" t="str">
        <f>IF(Roster!$K$25="Español","HER",(IF(Roster!$K$25="Deutsch","VER",(IF(Roster!$K$25="Français","BLES","CAS")))))</f>
        <v>CAS</v>
      </c>
      <c r="J5" s="422"/>
      <c r="K5" s="423"/>
      <c r="L5" s="435" t="str">
        <f>IF(Roster!$K$25="Español","HL",(IF(Roster!$K$25="Deutsch","SV",(IF(Roster!$K$25="Français","COM","BH")))))</f>
        <v>BH</v>
      </c>
      <c r="M5" s="422"/>
      <c r="N5" s="443"/>
      <c r="O5" s="438" t="str">
        <f>IF(Roster!$K$25="Español","HG",(IF(Roster!$K$25="Deutsch","BV",(IF(Roster!$K$25="Français","BS","SI")))))</f>
        <v>SI</v>
      </c>
      <c r="P5" s="422"/>
      <c r="Q5" s="443"/>
      <c r="R5" s="438" t="str">
        <f>IF(Roster!$K$25="Italiano","UCCISIONI",(IF(Roster!$K$25="Español","MUERTOS",(IF(Roster!$K$25="Deutsch","TOT",(IF(Roster!$K$25="Français","MORT","KILLS")))))))</f>
        <v>KILLS</v>
      </c>
      <c r="S5" s="422"/>
      <c r="T5" s="423"/>
      <c r="U5" s="444" t="str">
        <f>IF(Roster!$K$25="Italiano","ESPULSI",(IF(Roster!$K$25="Español","EXPULSADOS",(IF(Roster!$K$25="Deutsch","VOM PLATZ G.",(IF(Roster!$K$25="Français","EXPULSÉ","SENT OFF")))))))</f>
        <v>SENT OFF</v>
      </c>
      <c r="V5" s="422"/>
      <c r="W5" s="423"/>
      <c r="X5" s="257" t="str">
        <f>IF(Roster!$K$25="Italiano","TIFOSI S.",(IF(Roster!$K$25="Español","FANS D.",(IF(Roster!$K$25="Deutsch","T. FANS",(IF(Roster!$K$25="Français","FANS D.","D. FANS")))))))</f>
        <v>D. FANS</v>
      </c>
      <c r="Y5" s="257" t="str">
        <f>IF(Roster!$K$25="Italiano","CASSA SPESA",(IF(Roster!$K$25="Español","TESORERÍA GASTADA",(IF(Roster!$K$25="Deutsch","AUSGEGEBENES BARGELD",(IF(Roster!$K$25="Français","CASH SPENT","TREASURY SPEND")))))))</f>
        <v>TREASURY SPEND</v>
      </c>
      <c r="Z5" s="257" t="str">
        <f>IF(Roster!$K$25="Italiano","RICOMPENSE",(IF(Roster!$K$25="Español","GANANCIAS",(IF(Roster!$K$25="Deutsch","GEWINNE",(IF(Roster!$K$25="Français","GAINS","WINNINGS")))))))</f>
        <v>WINNINGS</v>
      </c>
      <c r="AA5" s="257" t="str">
        <f>IF(Roster!$K$25="Italiano","PUNTI",(IF(Roster!$K$25="Español","PUNTOS",(IF(Roster!$K$25="Deutsch","PUNKTE","POINTS")))))</f>
        <v>POINTS</v>
      </c>
      <c r="AB5" s="442" t="str">
        <f>IF(Roster!$K$25="Italiano","NOTE",(IF(Roster!$K$25="Español","NOTAS",(IF(Roster!$K$25="Deutsch","NOTIZEN","NOTES")))))</f>
        <v>NOTES</v>
      </c>
      <c r="AC5" s="423"/>
      <c r="AD5" s="434"/>
      <c r="AE5" s="94"/>
      <c r="AF5" s="95" t="s">
        <v>254</v>
      </c>
      <c r="AG5" s="95" t="s">
        <v>255</v>
      </c>
      <c r="AH5" s="95" t="s">
        <v>256</v>
      </c>
      <c r="AI5" s="94"/>
      <c r="AJ5" s="94"/>
    </row>
    <row r="6" spans="1:36" ht="21" customHeight="1" x14ac:dyDescent="0.2">
      <c r="A6" s="96">
        <v>1</v>
      </c>
      <c r="B6" s="424" t="str">
        <f>IF(F6&lt;&gt;"",(IF(F6&gt;H6,$A$1,(IF(F6=H6,$B$1,(IF(F6&lt;H6,$C$1,"")))))),"")</f>
        <v>lost</v>
      </c>
      <c r="C6" s="425"/>
      <c r="D6" s="138" t="s">
        <v>1845</v>
      </c>
      <c r="E6" s="139" t="s">
        <v>96</v>
      </c>
      <c r="F6" s="130">
        <v>0</v>
      </c>
      <c r="G6" s="97" t="s">
        <v>253</v>
      </c>
      <c r="H6" s="123">
        <v>3</v>
      </c>
      <c r="I6" s="98">
        <f t="shared" ref="I6:I55" si="8">L6+O6+R6</f>
        <v>1</v>
      </c>
      <c r="J6" s="99" t="s">
        <v>253</v>
      </c>
      <c r="K6" s="100">
        <f t="shared" ref="K6:K55" si="9">N6+Q6+T6</f>
        <v>3</v>
      </c>
      <c r="L6" s="130">
        <v>1</v>
      </c>
      <c r="M6" s="97" t="s">
        <v>253</v>
      </c>
      <c r="N6" s="129">
        <v>2</v>
      </c>
      <c r="O6" s="135">
        <v>0</v>
      </c>
      <c r="P6" s="97" t="s">
        <v>253</v>
      </c>
      <c r="Q6" s="129">
        <v>0</v>
      </c>
      <c r="R6" s="135">
        <v>0</v>
      </c>
      <c r="S6" s="97" t="s">
        <v>253</v>
      </c>
      <c r="T6" s="129">
        <v>1</v>
      </c>
      <c r="U6" s="130">
        <v>1</v>
      </c>
      <c r="V6" s="97" t="s">
        <v>253</v>
      </c>
      <c r="W6" s="123">
        <v>0</v>
      </c>
      <c r="X6" s="123"/>
      <c r="Y6" s="124">
        <v>0</v>
      </c>
      <c r="Z6" s="124">
        <v>85000</v>
      </c>
      <c r="AA6" s="123">
        <v>1</v>
      </c>
      <c r="AB6" s="413" t="s">
        <v>1844</v>
      </c>
      <c r="AC6" s="414"/>
      <c r="AD6" s="434"/>
      <c r="AF6" s="41" t="b">
        <v>0</v>
      </c>
      <c r="AG6" s="41" t="b">
        <v>0</v>
      </c>
      <c r="AH6" s="41" t="b">
        <v>0</v>
      </c>
      <c r="AJ6">
        <f t="shared" ref="AJ6:AJ55" si="10">IF(F6&lt;&gt;"",(IF(F6&gt;H6,1,(IF(F6=H6,2,(IF(F6&lt;H6,3,"")))))),"")</f>
        <v>3</v>
      </c>
    </row>
    <row r="7" spans="1:36" ht="21" customHeight="1" x14ac:dyDescent="0.2">
      <c r="A7" s="101">
        <v>2</v>
      </c>
      <c r="B7" s="424" t="str">
        <f t="shared" ref="B7:B55" si="11">IF(F7&lt;&gt;"",(IF(F7&gt;H7,$A$1,(IF(F7=H7,$B$1,(IF(F7&lt;H7,$C$1,"")))))),"")</f>
        <v>tied</v>
      </c>
      <c r="C7" s="425"/>
      <c r="D7" s="140" t="s">
        <v>1849</v>
      </c>
      <c r="E7" s="139" t="s">
        <v>128</v>
      </c>
      <c r="F7" s="132">
        <v>1</v>
      </c>
      <c r="G7" s="102" t="s">
        <v>253</v>
      </c>
      <c r="H7" s="125">
        <v>1</v>
      </c>
      <c r="I7" s="98">
        <f t="shared" si="8"/>
        <v>5</v>
      </c>
      <c r="J7" s="103" t="s">
        <v>253</v>
      </c>
      <c r="K7" s="100">
        <f t="shared" si="9"/>
        <v>4</v>
      </c>
      <c r="L7" s="132">
        <v>4</v>
      </c>
      <c r="M7" s="102" t="s">
        <v>253</v>
      </c>
      <c r="N7" s="131">
        <v>4</v>
      </c>
      <c r="O7" s="136">
        <v>1</v>
      </c>
      <c r="P7" s="102" t="s">
        <v>253</v>
      </c>
      <c r="Q7" s="131">
        <v>0</v>
      </c>
      <c r="R7" s="136">
        <v>0</v>
      </c>
      <c r="S7" s="102" t="s">
        <v>253</v>
      </c>
      <c r="T7" s="131">
        <v>0</v>
      </c>
      <c r="U7" s="132">
        <v>0</v>
      </c>
      <c r="V7" s="102" t="s">
        <v>253</v>
      </c>
      <c r="W7" s="125">
        <v>0</v>
      </c>
      <c r="X7" s="123"/>
      <c r="Y7" s="126">
        <v>0</v>
      </c>
      <c r="Z7" s="126">
        <v>85000</v>
      </c>
      <c r="AA7" s="125">
        <v>2</v>
      </c>
      <c r="AB7" s="413" t="s">
        <v>1844</v>
      </c>
      <c r="AC7" s="414"/>
      <c r="AD7" s="434"/>
      <c r="AF7" s="41" t="b">
        <v>0</v>
      </c>
      <c r="AG7" s="41" t="b">
        <v>0</v>
      </c>
      <c r="AH7" s="41" t="b">
        <v>0</v>
      </c>
      <c r="AJ7">
        <f t="shared" si="10"/>
        <v>2</v>
      </c>
    </row>
    <row r="8" spans="1:36" ht="21" customHeight="1" x14ac:dyDescent="0.2">
      <c r="A8" s="96">
        <v>3</v>
      </c>
      <c r="B8" s="424" t="str">
        <f t="shared" si="11"/>
        <v/>
      </c>
      <c r="C8" s="425"/>
      <c r="D8" s="138"/>
      <c r="E8" s="139"/>
      <c r="F8" s="130"/>
      <c r="G8" s="97" t="s">
        <v>253</v>
      </c>
      <c r="H8" s="123"/>
      <c r="I8" s="98">
        <f t="shared" si="8"/>
        <v>0</v>
      </c>
      <c r="J8" s="99" t="s">
        <v>253</v>
      </c>
      <c r="K8" s="100">
        <f t="shared" si="9"/>
        <v>0</v>
      </c>
      <c r="L8" s="130"/>
      <c r="M8" s="97" t="s">
        <v>253</v>
      </c>
      <c r="N8" s="129"/>
      <c r="O8" s="135"/>
      <c r="P8" s="97" t="s">
        <v>253</v>
      </c>
      <c r="Q8" s="129"/>
      <c r="R8" s="135"/>
      <c r="S8" s="97" t="s">
        <v>253</v>
      </c>
      <c r="T8" s="129"/>
      <c r="U8" s="130"/>
      <c r="V8" s="97" t="s">
        <v>253</v>
      </c>
      <c r="W8" s="123"/>
      <c r="X8" s="123"/>
      <c r="Y8" s="124"/>
      <c r="Z8" s="124"/>
      <c r="AA8" s="123"/>
      <c r="AB8" s="413"/>
      <c r="AC8" s="414"/>
      <c r="AD8" s="434"/>
      <c r="AF8" s="41" t="b">
        <v>0</v>
      </c>
      <c r="AG8" s="41" t="b">
        <v>0</v>
      </c>
      <c r="AH8" s="41" t="b">
        <v>0</v>
      </c>
      <c r="AJ8" t="str">
        <f t="shared" si="10"/>
        <v/>
      </c>
    </row>
    <row r="9" spans="1:36" ht="21" customHeight="1" x14ac:dyDescent="0.2">
      <c r="A9" s="96">
        <v>4</v>
      </c>
      <c r="B9" s="424" t="str">
        <f t="shared" si="11"/>
        <v/>
      </c>
      <c r="C9" s="425"/>
      <c r="D9" s="138"/>
      <c r="E9" s="139"/>
      <c r="F9" s="130"/>
      <c r="G9" s="97" t="s">
        <v>253</v>
      </c>
      <c r="H9" s="123"/>
      <c r="I9" s="98">
        <f t="shared" si="8"/>
        <v>0</v>
      </c>
      <c r="J9" s="99" t="s">
        <v>253</v>
      </c>
      <c r="K9" s="100">
        <f t="shared" si="9"/>
        <v>0</v>
      </c>
      <c r="L9" s="130"/>
      <c r="M9" s="97" t="s">
        <v>253</v>
      </c>
      <c r="N9" s="129"/>
      <c r="O9" s="135"/>
      <c r="P9" s="97" t="s">
        <v>253</v>
      </c>
      <c r="Q9" s="129"/>
      <c r="R9" s="135"/>
      <c r="S9" s="97" t="s">
        <v>253</v>
      </c>
      <c r="T9" s="129"/>
      <c r="U9" s="130"/>
      <c r="V9" s="97" t="s">
        <v>253</v>
      </c>
      <c r="W9" s="123"/>
      <c r="X9" s="123"/>
      <c r="Y9" s="124"/>
      <c r="Z9" s="124"/>
      <c r="AA9" s="123"/>
      <c r="AB9" s="413"/>
      <c r="AC9" s="414"/>
      <c r="AD9" s="434"/>
      <c r="AF9" s="41" t="b">
        <v>0</v>
      </c>
      <c r="AG9" s="41" t="b">
        <v>0</v>
      </c>
      <c r="AH9" s="41" t="b">
        <v>0</v>
      </c>
      <c r="AJ9" t="str">
        <f t="shared" si="10"/>
        <v/>
      </c>
    </row>
    <row r="10" spans="1:36" ht="21" customHeight="1" x14ac:dyDescent="0.2">
      <c r="A10" s="101">
        <v>5</v>
      </c>
      <c r="B10" s="424" t="str">
        <f t="shared" si="11"/>
        <v/>
      </c>
      <c r="C10" s="425"/>
      <c r="D10" s="138"/>
      <c r="E10" s="139"/>
      <c r="F10" s="130"/>
      <c r="G10" s="97" t="s">
        <v>253</v>
      </c>
      <c r="H10" s="123"/>
      <c r="I10" s="98">
        <f t="shared" si="8"/>
        <v>0</v>
      </c>
      <c r="J10" s="99" t="s">
        <v>253</v>
      </c>
      <c r="K10" s="100">
        <f t="shared" si="9"/>
        <v>0</v>
      </c>
      <c r="L10" s="130"/>
      <c r="M10" s="97" t="s">
        <v>253</v>
      </c>
      <c r="N10" s="129"/>
      <c r="O10" s="135"/>
      <c r="P10" s="97" t="s">
        <v>253</v>
      </c>
      <c r="Q10" s="129"/>
      <c r="R10" s="135"/>
      <c r="S10" s="97" t="s">
        <v>253</v>
      </c>
      <c r="T10" s="129"/>
      <c r="U10" s="130"/>
      <c r="V10" s="97" t="s">
        <v>253</v>
      </c>
      <c r="W10" s="123"/>
      <c r="X10" s="123"/>
      <c r="Y10" s="124"/>
      <c r="Z10" s="124"/>
      <c r="AA10" s="123"/>
      <c r="AB10" s="413"/>
      <c r="AC10" s="414"/>
      <c r="AD10" s="434"/>
      <c r="AF10" s="41" t="b">
        <v>0</v>
      </c>
      <c r="AG10" s="41" t="b">
        <v>0</v>
      </c>
      <c r="AH10" s="41" t="b">
        <v>0</v>
      </c>
      <c r="AJ10" t="str">
        <f t="shared" si="10"/>
        <v/>
      </c>
    </row>
    <row r="11" spans="1:36" ht="21" customHeight="1" x14ac:dyDescent="0.2">
      <c r="A11" s="96">
        <v>6</v>
      </c>
      <c r="B11" s="424" t="str">
        <f t="shared" si="11"/>
        <v/>
      </c>
      <c r="C11" s="425"/>
      <c r="D11" s="138"/>
      <c r="E11" s="139"/>
      <c r="F11" s="130"/>
      <c r="G11" s="97" t="s">
        <v>253</v>
      </c>
      <c r="H11" s="123"/>
      <c r="I11" s="98">
        <f t="shared" si="8"/>
        <v>0</v>
      </c>
      <c r="J11" s="99" t="s">
        <v>253</v>
      </c>
      <c r="K11" s="100">
        <f t="shared" si="9"/>
        <v>0</v>
      </c>
      <c r="L11" s="130"/>
      <c r="M11" s="97" t="s">
        <v>253</v>
      </c>
      <c r="N11" s="129"/>
      <c r="O11" s="135"/>
      <c r="P11" s="97" t="s">
        <v>253</v>
      </c>
      <c r="Q11" s="129"/>
      <c r="R11" s="135"/>
      <c r="S11" s="97" t="s">
        <v>253</v>
      </c>
      <c r="T11" s="129"/>
      <c r="U11" s="130"/>
      <c r="V11" s="97" t="s">
        <v>253</v>
      </c>
      <c r="W11" s="123"/>
      <c r="X11" s="123"/>
      <c r="Y11" s="124"/>
      <c r="Z11" s="124"/>
      <c r="AA11" s="123"/>
      <c r="AB11" s="413"/>
      <c r="AC11" s="414"/>
      <c r="AD11" s="434"/>
      <c r="AF11" s="41" t="b">
        <v>0</v>
      </c>
      <c r="AG11" s="41" t="b">
        <v>0</v>
      </c>
      <c r="AH11" s="41" t="b">
        <v>0</v>
      </c>
      <c r="AJ11" t="str">
        <f t="shared" si="10"/>
        <v/>
      </c>
    </row>
    <row r="12" spans="1:36" ht="21" customHeight="1" x14ac:dyDescent="0.2">
      <c r="A12" s="96">
        <v>7</v>
      </c>
      <c r="B12" s="424" t="str">
        <f t="shared" si="11"/>
        <v/>
      </c>
      <c r="C12" s="425"/>
      <c r="D12" s="138"/>
      <c r="E12" s="139"/>
      <c r="F12" s="130"/>
      <c r="G12" s="97" t="s">
        <v>253</v>
      </c>
      <c r="H12" s="123"/>
      <c r="I12" s="98">
        <f t="shared" si="8"/>
        <v>0</v>
      </c>
      <c r="J12" s="99" t="s">
        <v>253</v>
      </c>
      <c r="K12" s="100">
        <f t="shared" si="9"/>
        <v>0</v>
      </c>
      <c r="L12" s="130"/>
      <c r="M12" s="97" t="s">
        <v>253</v>
      </c>
      <c r="N12" s="129"/>
      <c r="O12" s="135"/>
      <c r="P12" s="97" t="s">
        <v>253</v>
      </c>
      <c r="Q12" s="129"/>
      <c r="R12" s="135"/>
      <c r="S12" s="97" t="s">
        <v>253</v>
      </c>
      <c r="T12" s="129"/>
      <c r="U12" s="130"/>
      <c r="V12" s="97" t="s">
        <v>253</v>
      </c>
      <c r="W12" s="123"/>
      <c r="X12" s="123"/>
      <c r="Y12" s="124"/>
      <c r="Z12" s="124"/>
      <c r="AA12" s="123"/>
      <c r="AB12" s="413"/>
      <c r="AC12" s="414"/>
      <c r="AD12" s="434"/>
      <c r="AF12" s="41" t="b">
        <v>0</v>
      </c>
      <c r="AG12" s="41" t="b">
        <v>0</v>
      </c>
      <c r="AH12" s="41" t="b">
        <v>0</v>
      </c>
      <c r="AJ12" t="str">
        <f t="shared" si="10"/>
        <v/>
      </c>
    </row>
    <row r="13" spans="1:36" ht="21" customHeight="1" x14ac:dyDescent="0.2">
      <c r="A13" s="101">
        <v>8</v>
      </c>
      <c r="B13" s="424" t="str">
        <f t="shared" si="11"/>
        <v/>
      </c>
      <c r="C13" s="425"/>
      <c r="D13" s="138"/>
      <c r="E13" s="139"/>
      <c r="F13" s="130"/>
      <c r="G13" s="97" t="s">
        <v>253</v>
      </c>
      <c r="H13" s="123"/>
      <c r="I13" s="98">
        <f t="shared" si="8"/>
        <v>0</v>
      </c>
      <c r="J13" s="99" t="s">
        <v>253</v>
      </c>
      <c r="K13" s="100">
        <f t="shared" si="9"/>
        <v>0</v>
      </c>
      <c r="L13" s="130"/>
      <c r="M13" s="97" t="s">
        <v>253</v>
      </c>
      <c r="N13" s="129"/>
      <c r="O13" s="135"/>
      <c r="P13" s="97" t="s">
        <v>253</v>
      </c>
      <c r="Q13" s="129"/>
      <c r="R13" s="135"/>
      <c r="S13" s="97" t="s">
        <v>253</v>
      </c>
      <c r="T13" s="129"/>
      <c r="U13" s="130"/>
      <c r="V13" s="97" t="s">
        <v>253</v>
      </c>
      <c r="W13" s="123"/>
      <c r="X13" s="123"/>
      <c r="Y13" s="124"/>
      <c r="Z13" s="124"/>
      <c r="AA13" s="123"/>
      <c r="AB13" s="413"/>
      <c r="AC13" s="414"/>
      <c r="AD13" s="434"/>
      <c r="AF13" s="41" t="b">
        <v>0</v>
      </c>
      <c r="AG13" s="41" t="b">
        <v>0</v>
      </c>
      <c r="AH13" s="41" t="b">
        <v>0</v>
      </c>
      <c r="AJ13" t="str">
        <f t="shared" si="10"/>
        <v/>
      </c>
    </row>
    <row r="14" spans="1:36" ht="21" customHeight="1" x14ac:dyDescent="0.2">
      <c r="A14" s="96">
        <v>9</v>
      </c>
      <c r="B14" s="424" t="str">
        <f t="shared" si="11"/>
        <v/>
      </c>
      <c r="C14" s="425"/>
      <c r="D14" s="138"/>
      <c r="E14" s="139"/>
      <c r="F14" s="130"/>
      <c r="G14" s="97" t="s">
        <v>253</v>
      </c>
      <c r="H14" s="123"/>
      <c r="I14" s="98">
        <f t="shared" si="8"/>
        <v>0</v>
      </c>
      <c r="J14" s="99" t="s">
        <v>253</v>
      </c>
      <c r="K14" s="100">
        <f t="shared" si="9"/>
        <v>0</v>
      </c>
      <c r="L14" s="130"/>
      <c r="M14" s="97" t="s">
        <v>253</v>
      </c>
      <c r="N14" s="129"/>
      <c r="O14" s="135"/>
      <c r="P14" s="97" t="s">
        <v>253</v>
      </c>
      <c r="Q14" s="129"/>
      <c r="R14" s="135"/>
      <c r="S14" s="97" t="s">
        <v>253</v>
      </c>
      <c r="T14" s="129"/>
      <c r="U14" s="130"/>
      <c r="V14" s="97" t="s">
        <v>253</v>
      </c>
      <c r="W14" s="123"/>
      <c r="X14" s="123"/>
      <c r="Y14" s="124"/>
      <c r="Z14" s="124"/>
      <c r="AA14" s="123"/>
      <c r="AB14" s="413"/>
      <c r="AC14" s="414"/>
      <c r="AD14" s="434"/>
      <c r="AF14" s="41" t="b">
        <v>0</v>
      </c>
      <c r="AG14" s="41" t="b">
        <v>0</v>
      </c>
      <c r="AH14" s="41" t="b">
        <v>0</v>
      </c>
      <c r="AJ14" t="str">
        <f t="shared" si="10"/>
        <v/>
      </c>
    </row>
    <row r="15" spans="1:36" ht="21" customHeight="1" x14ac:dyDescent="0.2">
      <c r="A15" s="96">
        <v>10</v>
      </c>
      <c r="B15" s="424" t="str">
        <f t="shared" si="11"/>
        <v/>
      </c>
      <c r="C15" s="425"/>
      <c r="D15" s="138"/>
      <c r="E15" s="139"/>
      <c r="F15" s="130"/>
      <c r="G15" s="97" t="s">
        <v>253</v>
      </c>
      <c r="H15" s="123"/>
      <c r="I15" s="98">
        <f t="shared" si="8"/>
        <v>0</v>
      </c>
      <c r="J15" s="99" t="s">
        <v>253</v>
      </c>
      <c r="K15" s="100">
        <f t="shared" si="9"/>
        <v>0</v>
      </c>
      <c r="L15" s="130"/>
      <c r="M15" s="97" t="s">
        <v>253</v>
      </c>
      <c r="N15" s="129"/>
      <c r="O15" s="135"/>
      <c r="P15" s="97" t="s">
        <v>253</v>
      </c>
      <c r="Q15" s="129"/>
      <c r="R15" s="135"/>
      <c r="S15" s="97" t="s">
        <v>253</v>
      </c>
      <c r="T15" s="129"/>
      <c r="U15" s="130"/>
      <c r="V15" s="97" t="s">
        <v>253</v>
      </c>
      <c r="W15" s="123"/>
      <c r="X15" s="123"/>
      <c r="Y15" s="124"/>
      <c r="Z15" s="124"/>
      <c r="AA15" s="123"/>
      <c r="AB15" s="413"/>
      <c r="AC15" s="414"/>
      <c r="AD15" s="434"/>
      <c r="AF15" s="41" t="b">
        <v>0</v>
      </c>
      <c r="AG15" s="41" t="b">
        <v>0</v>
      </c>
      <c r="AH15" s="41" t="b">
        <v>0</v>
      </c>
      <c r="AJ15" t="str">
        <f t="shared" si="10"/>
        <v/>
      </c>
    </row>
    <row r="16" spans="1:36" ht="21" customHeight="1" x14ac:dyDescent="0.2">
      <c r="A16" s="101">
        <v>11</v>
      </c>
      <c r="B16" s="424" t="str">
        <f t="shared" si="11"/>
        <v/>
      </c>
      <c r="C16" s="425"/>
      <c r="D16" s="138"/>
      <c r="E16" s="139"/>
      <c r="F16" s="130"/>
      <c r="G16" s="97" t="s">
        <v>253</v>
      </c>
      <c r="H16" s="123"/>
      <c r="I16" s="98">
        <f t="shared" si="8"/>
        <v>0</v>
      </c>
      <c r="J16" s="99" t="s">
        <v>253</v>
      </c>
      <c r="K16" s="100">
        <f t="shared" si="9"/>
        <v>0</v>
      </c>
      <c r="L16" s="130"/>
      <c r="M16" s="97" t="s">
        <v>253</v>
      </c>
      <c r="N16" s="129"/>
      <c r="O16" s="135"/>
      <c r="P16" s="97" t="s">
        <v>253</v>
      </c>
      <c r="Q16" s="129"/>
      <c r="R16" s="135"/>
      <c r="S16" s="97" t="s">
        <v>253</v>
      </c>
      <c r="T16" s="129"/>
      <c r="U16" s="130"/>
      <c r="V16" s="97" t="s">
        <v>253</v>
      </c>
      <c r="W16" s="123"/>
      <c r="X16" s="123"/>
      <c r="Y16" s="124"/>
      <c r="Z16" s="124"/>
      <c r="AA16" s="123"/>
      <c r="AB16" s="413"/>
      <c r="AC16" s="414"/>
      <c r="AD16" s="434"/>
      <c r="AF16" s="41" t="b">
        <v>0</v>
      </c>
      <c r="AG16" s="41" t="b">
        <v>0</v>
      </c>
      <c r="AH16" s="41" t="b">
        <v>0</v>
      </c>
      <c r="AJ16" t="str">
        <f t="shared" si="10"/>
        <v/>
      </c>
    </row>
    <row r="17" spans="1:36" ht="21" customHeight="1" x14ac:dyDescent="0.2">
      <c r="A17" s="96">
        <v>12</v>
      </c>
      <c r="B17" s="424" t="str">
        <f t="shared" si="11"/>
        <v/>
      </c>
      <c r="C17" s="425"/>
      <c r="D17" s="138"/>
      <c r="E17" s="139"/>
      <c r="F17" s="130"/>
      <c r="G17" s="97" t="s">
        <v>253</v>
      </c>
      <c r="H17" s="123"/>
      <c r="I17" s="98">
        <f t="shared" si="8"/>
        <v>0</v>
      </c>
      <c r="J17" s="99" t="s">
        <v>253</v>
      </c>
      <c r="K17" s="100">
        <f t="shared" si="9"/>
        <v>0</v>
      </c>
      <c r="L17" s="130"/>
      <c r="M17" s="97" t="s">
        <v>253</v>
      </c>
      <c r="N17" s="129"/>
      <c r="O17" s="135"/>
      <c r="P17" s="97" t="s">
        <v>253</v>
      </c>
      <c r="Q17" s="129"/>
      <c r="R17" s="135"/>
      <c r="S17" s="97" t="s">
        <v>253</v>
      </c>
      <c r="T17" s="129"/>
      <c r="U17" s="130"/>
      <c r="V17" s="97" t="s">
        <v>253</v>
      </c>
      <c r="W17" s="123"/>
      <c r="X17" s="123"/>
      <c r="Y17" s="124"/>
      <c r="Z17" s="124"/>
      <c r="AA17" s="123"/>
      <c r="AB17" s="413"/>
      <c r="AC17" s="414"/>
      <c r="AD17" s="434"/>
      <c r="AF17" s="41" t="b">
        <v>0</v>
      </c>
      <c r="AG17" s="41" t="b">
        <v>0</v>
      </c>
      <c r="AH17" s="41" t="b">
        <v>0</v>
      </c>
      <c r="AJ17" t="str">
        <f t="shared" si="10"/>
        <v/>
      </c>
    </row>
    <row r="18" spans="1:36" ht="21" customHeight="1" x14ac:dyDescent="0.2">
      <c r="A18" s="96">
        <v>13</v>
      </c>
      <c r="B18" s="424" t="str">
        <f t="shared" si="11"/>
        <v/>
      </c>
      <c r="C18" s="425"/>
      <c r="D18" s="141"/>
      <c r="E18" s="139"/>
      <c r="F18" s="134"/>
      <c r="G18" s="104" t="s">
        <v>253</v>
      </c>
      <c r="H18" s="127"/>
      <c r="I18" s="105">
        <f t="shared" si="8"/>
        <v>0</v>
      </c>
      <c r="J18" s="106" t="s">
        <v>253</v>
      </c>
      <c r="K18" s="107">
        <f t="shared" si="9"/>
        <v>0</v>
      </c>
      <c r="L18" s="134"/>
      <c r="M18" s="104" t="s">
        <v>253</v>
      </c>
      <c r="N18" s="133"/>
      <c r="O18" s="137"/>
      <c r="P18" s="104" t="s">
        <v>253</v>
      </c>
      <c r="Q18" s="133"/>
      <c r="R18" s="137"/>
      <c r="S18" s="104" t="s">
        <v>253</v>
      </c>
      <c r="T18" s="133"/>
      <c r="U18" s="134"/>
      <c r="V18" s="104" t="s">
        <v>253</v>
      </c>
      <c r="W18" s="127"/>
      <c r="X18" s="123"/>
      <c r="Y18" s="128"/>
      <c r="Z18" s="128"/>
      <c r="AA18" s="127"/>
      <c r="AB18" s="413"/>
      <c r="AC18" s="414"/>
      <c r="AD18" s="434"/>
      <c r="AF18" s="41" t="b">
        <v>0</v>
      </c>
      <c r="AG18" s="41" t="b">
        <v>0</v>
      </c>
      <c r="AH18" s="41" t="b">
        <v>0</v>
      </c>
      <c r="AJ18" t="str">
        <f t="shared" si="10"/>
        <v/>
      </c>
    </row>
    <row r="19" spans="1:36" ht="21" customHeight="1" x14ac:dyDescent="0.2">
      <c r="A19" s="101">
        <v>14</v>
      </c>
      <c r="B19" s="424" t="str">
        <f t="shared" si="11"/>
        <v/>
      </c>
      <c r="C19" s="425"/>
      <c r="D19" s="138"/>
      <c r="E19" s="139"/>
      <c r="F19" s="130"/>
      <c r="G19" s="97" t="s">
        <v>253</v>
      </c>
      <c r="H19" s="123"/>
      <c r="I19" s="98">
        <f t="shared" si="8"/>
        <v>0</v>
      </c>
      <c r="J19" s="99" t="s">
        <v>253</v>
      </c>
      <c r="K19" s="100">
        <f t="shared" si="9"/>
        <v>0</v>
      </c>
      <c r="L19" s="130"/>
      <c r="M19" s="97" t="s">
        <v>253</v>
      </c>
      <c r="N19" s="129"/>
      <c r="O19" s="135"/>
      <c r="P19" s="97" t="s">
        <v>253</v>
      </c>
      <c r="Q19" s="129"/>
      <c r="R19" s="135"/>
      <c r="S19" s="97" t="s">
        <v>253</v>
      </c>
      <c r="T19" s="129"/>
      <c r="U19" s="130"/>
      <c r="V19" s="97" t="s">
        <v>253</v>
      </c>
      <c r="W19" s="123"/>
      <c r="X19" s="123"/>
      <c r="Y19" s="124"/>
      <c r="Z19" s="124"/>
      <c r="AA19" s="123"/>
      <c r="AB19" s="413"/>
      <c r="AC19" s="414"/>
      <c r="AD19" s="434"/>
      <c r="AF19" s="41" t="b">
        <v>0</v>
      </c>
      <c r="AG19" s="41" t="b">
        <v>0</v>
      </c>
      <c r="AH19" s="41" t="b">
        <v>0</v>
      </c>
      <c r="AJ19" t="str">
        <f t="shared" si="10"/>
        <v/>
      </c>
    </row>
    <row r="20" spans="1:36" ht="21" customHeight="1" x14ac:dyDescent="0.2">
      <c r="A20" s="96">
        <v>15</v>
      </c>
      <c r="B20" s="424" t="str">
        <f t="shared" si="11"/>
        <v/>
      </c>
      <c r="C20" s="425"/>
      <c r="D20" s="140"/>
      <c r="E20" s="139"/>
      <c r="F20" s="132"/>
      <c r="G20" s="97" t="s">
        <v>253</v>
      </c>
      <c r="H20" s="125"/>
      <c r="I20" s="98">
        <f t="shared" si="8"/>
        <v>0</v>
      </c>
      <c r="J20" s="103" t="s">
        <v>253</v>
      </c>
      <c r="K20" s="100">
        <f t="shared" si="9"/>
        <v>0</v>
      </c>
      <c r="L20" s="132"/>
      <c r="M20" s="102" t="s">
        <v>253</v>
      </c>
      <c r="N20" s="131"/>
      <c r="O20" s="136"/>
      <c r="P20" s="102" t="s">
        <v>253</v>
      </c>
      <c r="Q20" s="131"/>
      <c r="R20" s="136"/>
      <c r="S20" s="102" t="s">
        <v>253</v>
      </c>
      <c r="T20" s="131"/>
      <c r="U20" s="132"/>
      <c r="V20" s="102" t="s">
        <v>253</v>
      </c>
      <c r="W20" s="125"/>
      <c r="X20" s="123"/>
      <c r="Y20" s="126"/>
      <c r="Z20" s="126"/>
      <c r="AA20" s="125"/>
      <c r="AB20" s="413"/>
      <c r="AC20" s="414"/>
      <c r="AD20" s="434"/>
      <c r="AF20" s="41" t="b">
        <v>0</v>
      </c>
      <c r="AG20" s="41" t="b">
        <v>0</v>
      </c>
      <c r="AH20" s="41" t="b">
        <v>0</v>
      </c>
      <c r="AJ20" t="str">
        <f t="shared" si="10"/>
        <v/>
      </c>
    </row>
    <row r="21" spans="1:36" ht="21" customHeight="1" x14ac:dyDescent="0.2">
      <c r="A21" s="96">
        <v>16</v>
      </c>
      <c r="B21" s="424" t="str">
        <f t="shared" si="11"/>
        <v/>
      </c>
      <c r="C21" s="425"/>
      <c r="D21" s="138"/>
      <c r="E21" s="139"/>
      <c r="F21" s="130"/>
      <c r="G21" s="97" t="s">
        <v>253</v>
      </c>
      <c r="H21" s="123"/>
      <c r="I21" s="98">
        <f t="shared" si="8"/>
        <v>0</v>
      </c>
      <c r="J21" s="99" t="s">
        <v>253</v>
      </c>
      <c r="K21" s="100">
        <f t="shared" si="9"/>
        <v>0</v>
      </c>
      <c r="L21" s="130"/>
      <c r="M21" s="97" t="s">
        <v>253</v>
      </c>
      <c r="N21" s="129"/>
      <c r="O21" s="135"/>
      <c r="P21" s="97" t="s">
        <v>253</v>
      </c>
      <c r="Q21" s="129"/>
      <c r="R21" s="135"/>
      <c r="S21" s="97" t="s">
        <v>253</v>
      </c>
      <c r="T21" s="129"/>
      <c r="U21" s="130"/>
      <c r="V21" s="97" t="s">
        <v>253</v>
      </c>
      <c r="W21" s="123"/>
      <c r="X21" s="123"/>
      <c r="Y21" s="124"/>
      <c r="Z21" s="124"/>
      <c r="AA21" s="123"/>
      <c r="AB21" s="413"/>
      <c r="AC21" s="414"/>
      <c r="AD21" s="434"/>
      <c r="AF21" s="41" t="b">
        <v>0</v>
      </c>
      <c r="AG21" s="41" t="b">
        <v>0</v>
      </c>
      <c r="AH21" s="41" t="b">
        <v>0</v>
      </c>
      <c r="AJ21" t="str">
        <f t="shared" si="10"/>
        <v/>
      </c>
    </row>
    <row r="22" spans="1:36" ht="21" customHeight="1" x14ac:dyDescent="0.2">
      <c r="A22" s="101">
        <v>17</v>
      </c>
      <c r="B22" s="424" t="str">
        <f t="shared" si="11"/>
        <v/>
      </c>
      <c r="C22" s="425"/>
      <c r="D22" s="138"/>
      <c r="E22" s="139"/>
      <c r="F22" s="130"/>
      <c r="G22" s="97" t="s">
        <v>253</v>
      </c>
      <c r="H22" s="123"/>
      <c r="I22" s="98">
        <f t="shared" si="8"/>
        <v>0</v>
      </c>
      <c r="J22" s="99" t="s">
        <v>253</v>
      </c>
      <c r="K22" s="100">
        <f t="shared" si="9"/>
        <v>0</v>
      </c>
      <c r="L22" s="130"/>
      <c r="M22" s="97" t="s">
        <v>253</v>
      </c>
      <c r="N22" s="129"/>
      <c r="O22" s="135"/>
      <c r="P22" s="97" t="s">
        <v>253</v>
      </c>
      <c r="Q22" s="129"/>
      <c r="R22" s="135"/>
      <c r="S22" s="97" t="s">
        <v>253</v>
      </c>
      <c r="T22" s="129"/>
      <c r="U22" s="130"/>
      <c r="V22" s="97" t="s">
        <v>253</v>
      </c>
      <c r="W22" s="123"/>
      <c r="X22" s="123"/>
      <c r="Y22" s="124"/>
      <c r="Z22" s="124"/>
      <c r="AA22" s="123"/>
      <c r="AB22" s="413"/>
      <c r="AC22" s="414"/>
      <c r="AD22" s="434"/>
      <c r="AF22" s="41" t="b">
        <v>0</v>
      </c>
      <c r="AG22" s="41" t="b">
        <v>0</v>
      </c>
      <c r="AH22" s="41" t="b">
        <v>0</v>
      </c>
      <c r="AJ22" t="str">
        <f t="shared" si="10"/>
        <v/>
      </c>
    </row>
    <row r="23" spans="1:36" ht="21" customHeight="1" x14ac:dyDescent="0.2">
      <c r="A23" s="96">
        <v>18</v>
      </c>
      <c r="B23" s="424" t="str">
        <f t="shared" si="11"/>
        <v/>
      </c>
      <c r="C23" s="425"/>
      <c r="D23" s="138"/>
      <c r="E23" s="139"/>
      <c r="F23" s="130"/>
      <c r="G23" s="97" t="s">
        <v>253</v>
      </c>
      <c r="H23" s="123"/>
      <c r="I23" s="98">
        <f t="shared" si="8"/>
        <v>0</v>
      </c>
      <c r="J23" s="99" t="s">
        <v>253</v>
      </c>
      <c r="K23" s="100">
        <f t="shared" si="9"/>
        <v>0</v>
      </c>
      <c r="L23" s="130"/>
      <c r="M23" s="97" t="s">
        <v>253</v>
      </c>
      <c r="N23" s="129"/>
      <c r="O23" s="135"/>
      <c r="P23" s="97" t="s">
        <v>253</v>
      </c>
      <c r="Q23" s="129"/>
      <c r="R23" s="135"/>
      <c r="S23" s="97" t="s">
        <v>253</v>
      </c>
      <c r="T23" s="129"/>
      <c r="U23" s="130"/>
      <c r="V23" s="97" t="s">
        <v>253</v>
      </c>
      <c r="W23" s="123"/>
      <c r="X23" s="123"/>
      <c r="Y23" s="124"/>
      <c r="Z23" s="124"/>
      <c r="AA23" s="123"/>
      <c r="AB23" s="413"/>
      <c r="AC23" s="414"/>
      <c r="AD23" s="434"/>
      <c r="AF23" s="41" t="b">
        <v>0</v>
      </c>
      <c r="AG23" s="41" t="b">
        <v>0</v>
      </c>
      <c r="AH23" s="41" t="b">
        <v>0</v>
      </c>
      <c r="AJ23" t="str">
        <f t="shared" si="10"/>
        <v/>
      </c>
    </row>
    <row r="24" spans="1:36" ht="21" customHeight="1" x14ac:dyDescent="0.2">
      <c r="A24" s="96">
        <v>19</v>
      </c>
      <c r="B24" s="424" t="str">
        <f t="shared" si="11"/>
        <v/>
      </c>
      <c r="C24" s="425"/>
      <c r="D24" s="138"/>
      <c r="E24" s="139"/>
      <c r="F24" s="130"/>
      <c r="G24" s="97" t="s">
        <v>253</v>
      </c>
      <c r="H24" s="123"/>
      <c r="I24" s="98">
        <f t="shared" si="8"/>
        <v>0</v>
      </c>
      <c r="J24" s="99" t="s">
        <v>253</v>
      </c>
      <c r="K24" s="100">
        <f t="shared" si="9"/>
        <v>0</v>
      </c>
      <c r="L24" s="130"/>
      <c r="M24" s="97" t="s">
        <v>253</v>
      </c>
      <c r="N24" s="129"/>
      <c r="O24" s="135"/>
      <c r="P24" s="97" t="s">
        <v>253</v>
      </c>
      <c r="Q24" s="129"/>
      <c r="R24" s="135"/>
      <c r="S24" s="97" t="s">
        <v>253</v>
      </c>
      <c r="T24" s="129"/>
      <c r="U24" s="130"/>
      <c r="V24" s="97" t="s">
        <v>253</v>
      </c>
      <c r="W24" s="123"/>
      <c r="X24" s="123"/>
      <c r="Y24" s="124"/>
      <c r="Z24" s="124"/>
      <c r="AA24" s="123"/>
      <c r="AB24" s="413"/>
      <c r="AC24" s="414"/>
      <c r="AD24" s="434"/>
      <c r="AF24" s="41" t="b">
        <v>0</v>
      </c>
      <c r="AG24" s="41" t="b">
        <v>0</v>
      </c>
      <c r="AH24" s="41" t="b">
        <v>0</v>
      </c>
      <c r="AJ24" t="str">
        <f t="shared" si="10"/>
        <v/>
      </c>
    </row>
    <row r="25" spans="1:36" ht="21" customHeight="1" x14ac:dyDescent="0.2">
      <c r="A25" s="101">
        <v>20</v>
      </c>
      <c r="B25" s="424" t="str">
        <f t="shared" si="11"/>
        <v/>
      </c>
      <c r="C25" s="425"/>
      <c r="D25" s="138"/>
      <c r="E25" s="139"/>
      <c r="F25" s="130"/>
      <c r="G25" s="97" t="s">
        <v>253</v>
      </c>
      <c r="H25" s="123"/>
      <c r="I25" s="98">
        <f t="shared" si="8"/>
        <v>0</v>
      </c>
      <c r="J25" s="99" t="s">
        <v>253</v>
      </c>
      <c r="K25" s="100">
        <f t="shared" si="9"/>
        <v>0</v>
      </c>
      <c r="L25" s="130"/>
      <c r="M25" s="97" t="s">
        <v>253</v>
      </c>
      <c r="N25" s="129"/>
      <c r="O25" s="135"/>
      <c r="P25" s="97" t="s">
        <v>253</v>
      </c>
      <c r="Q25" s="129"/>
      <c r="R25" s="135"/>
      <c r="S25" s="97" t="s">
        <v>253</v>
      </c>
      <c r="T25" s="129"/>
      <c r="U25" s="130"/>
      <c r="V25" s="97" t="s">
        <v>253</v>
      </c>
      <c r="W25" s="123"/>
      <c r="X25" s="123"/>
      <c r="Y25" s="124"/>
      <c r="Z25" s="124"/>
      <c r="AA25" s="123"/>
      <c r="AB25" s="413"/>
      <c r="AC25" s="414"/>
      <c r="AD25" s="434"/>
      <c r="AF25" s="41" t="b">
        <v>0</v>
      </c>
      <c r="AG25" s="41" t="b">
        <v>0</v>
      </c>
      <c r="AH25" s="41" t="b">
        <v>0</v>
      </c>
      <c r="AJ25" t="str">
        <f t="shared" si="10"/>
        <v/>
      </c>
    </row>
    <row r="26" spans="1:36" ht="21" customHeight="1" x14ac:dyDescent="0.2">
      <c r="A26" s="96">
        <v>21</v>
      </c>
      <c r="B26" s="424" t="str">
        <f t="shared" si="11"/>
        <v/>
      </c>
      <c r="C26" s="425"/>
      <c r="D26" s="138"/>
      <c r="E26" s="139"/>
      <c r="F26" s="130"/>
      <c r="G26" s="97" t="s">
        <v>253</v>
      </c>
      <c r="H26" s="123"/>
      <c r="I26" s="98">
        <f t="shared" si="8"/>
        <v>0</v>
      </c>
      <c r="J26" s="99" t="s">
        <v>253</v>
      </c>
      <c r="K26" s="100">
        <f t="shared" si="9"/>
        <v>0</v>
      </c>
      <c r="L26" s="130"/>
      <c r="M26" s="97" t="s">
        <v>253</v>
      </c>
      <c r="N26" s="129"/>
      <c r="O26" s="135"/>
      <c r="P26" s="97" t="s">
        <v>253</v>
      </c>
      <c r="Q26" s="129"/>
      <c r="R26" s="135"/>
      <c r="S26" s="97" t="s">
        <v>253</v>
      </c>
      <c r="T26" s="129"/>
      <c r="U26" s="130"/>
      <c r="V26" s="97" t="s">
        <v>253</v>
      </c>
      <c r="W26" s="123"/>
      <c r="X26" s="123"/>
      <c r="Y26" s="124"/>
      <c r="Z26" s="124"/>
      <c r="AA26" s="123"/>
      <c r="AB26" s="413"/>
      <c r="AC26" s="414"/>
      <c r="AD26" s="434"/>
      <c r="AF26" s="41" t="b">
        <v>0</v>
      </c>
      <c r="AG26" s="41" t="b">
        <v>0</v>
      </c>
      <c r="AH26" s="41" t="b">
        <v>0</v>
      </c>
      <c r="AJ26" t="str">
        <f t="shared" si="10"/>
        <v/>
      </c>
    </row>
    <row r="27" spans="1:36" ht="21" customHeight="1" x14ac:dyDescent="0.2">
      <c r="A27" s="96">
        <v>22</v>
      </c>
      <c r="B27" s="424" t="str">
        <f t="shared" si="11"/>
        <v/>
      </c>
      <c r="C27" s="425"/>
      <c r="D27" s="138"/>
      <c r="E27" s="139"/>
      <c r="F27" s="130"/>
      <c r="G27" s="97" t="s">
        <v>253</v>
      </c>
      <c r="H27" s="123"/>
      <c r="I27" s="98">
        <f t="shared" si="8"/>
        <v>0</v>
      </c>
      <c r="J27" s="99" t="s">
        <v>253</v>
      </c>
      <c r="K27" s="100">
        <f t="shared" si="9"/>
        <v>0</v>
      </c>
      <c r="L27" s="130"/>
      <c r="M27" s="97" t="s">
        <v>253</v>
      </c>
      <c r="N27" s="129"/>
      <c r="O27" s="135"/>
      <c r="P27" s="97" t="s">
        <v>253</v>
      </c>
      <c r="Q27" s="129"/>
      <c r="R27" s="135"/>
      <c r="S27" s="97" t="s">
        <v>253</v>
      </c>
      <c r="T27" s="129"/>
      <c r="U27" s="130"/>
      <c r="V27" s="97" t="s">
        <v>253</v>
      </c>
      <c r="W27" s="123"/>
      <c r="X27" s="123"/>
      <c r="Y27" s="124"/>
      <c r="Z27" s="124"/>
      <c r="AA27" s="123"/>
      <c r="AB27" s="413"/>
      <c r="AC27" s="414"/>
      <c r="AD27" s="434"/>
      <c r="AF27" s="41" t="b">
        <v>0</v>
      </c>
      <c r="AG27" s="41" t="b">
        <v>0</v>
      </c>
      <c r="AH27" s="41" t="b">
        <v>0</v>
      </c>
      <c r="AJ27" t="str">
        <f t="shared" si="10"/>
        <v/>
      </c>
    </row>
    <row r="28" spans="1:36" ht="21" customHeight="1" x14ac:dyDescent="0.2">
      <c r="A28" s="101">
        <v>23</v>
      </c>
      <c r="B28" s="424" t="str">
        <f t="shared" si="11"/>
        <v/>
      </c>
      <c r="C28" s="425"/>
      <c r="D28" s="138"/>
      <c r="E28" s="139"/>
      <c r="F28" s="130"/>
      <c r="G28" s="97" t="s">
        <v>253</v>
      </c>
      <c r="H28" s="123"/>
      <c r="I28" s="98">
        <f t="shared" si="8"/>
        <v>0</v>
      </c>
      <c r="J28" s="99" t="s">
        <v>253</v>
      </c>
      <c r="K28" s="100">
        <f t="shared" si="9"/>
        <v>0</v>
      </c>
      <c r="L28" s="130"/>
      <c r="M28" s="97" t="s">
        <v>253</v>
      </c>
      <c r="N28" s="129"/>
      <c r="O28" s="135"/>
      <c r="P28" s="97" t="s">
        <v>253</v>
      </c>
      <c r="Q28" s="129"/>
      <c r="R28" s="135"/>
      <c r="S28" s="97" t="s">
        <v>253</v>
      </c>
      <c r="T28" s="129"/>
      <c r="U28" s="130"/>
      <c r="V28" s="97" t="s">
        <v>253</v>
      </c>
      <c r="W28" s="123"/>
      <c r="X28" s="123"/>
      <c r="Y28" s="124"/>
      <c r="Z28" s="124"/>
      <c r="AA28" s="123"/>
      <c r="AB28" s="413"/>
      <c r="AC28" s="414"/>
      <c r="AD28" s="434"/>
      <c r="AF28" s="41" t="b">
        <v>0</v>
      </c>
      <c r="AG28" s="41" t="b">
        <v>0</v>
      </c>
      <c r="AH28" s="41" t="b">
        <v>0</v>
      </c>
      <c r="AJ28" t="str">
        <f t="shared" si="10"/>
        <v/>
      </c>
    </row>
    <row r="29" spans="1:36" ht="21" customHeight="1" x14ac:dyDescent="0.2">
      <c r="A29" s="96">
        <v>24</v>
      </c>
      <c r="B29" s="424" t="str">
        <f t="shared" si="11"/>
        <v/>
      </c>
      <c r="C29" s="425"/>
      <c r="D29" s="138"/>
      <c r="E29" s="139"/>
      <c r="F29" s="130"/>
      <c r="G29" s="97" t="s">
        <v>253</v>
      </c>
      <c r="H29" s="123"/>
      <c r="I29" s="98">
        <f t="shared" si="8"/>
        <v>0</v>
      </c>
      <c r="J29" s="99" t="s">
        <v>253</v>
      </c>
      <c r="K29" s="100">
        <f t="shared" si="9"/>
        <v>0</v>
      </c>
      <c r="L29" s="130"/>
      <c r="M29" s="97" t="s">
        <v>253</v>
      </c>
      <c r="N29" s="129"/>
      <c r="O29" s="135"/>
      <c r="P29" s="97" t="s">
        <v>253</v>
      </c>
      <c r="Q29" s="129"/>
      <c r="R29" s="135"/>
      <c r="S29" s="97" t="s">
        <v>253</v>
      </c>
      <c r="T29" s="129"/>
      <c r="U29" s="130"/>
      <c r="V29" s="97" t="s">
        <v>253</v>
      </c>
      <c r="W29" s="123"/>
      <c r="X29" s="123"/>
      <c r="Y29" s="124"/>
      <c r="Z29" s="124"/>
      <c r="AA29" s="123"/>
      <c r="AB29" s="413"/>
      <c r="AC29" s="414"/>
      <c r="AD29" s="434"/>
      <c r="AF29" s="41" t="b">
        <v>0</v>
      </c>
      <c r="AG29" s="41" t="b">
        <v>0</v>
      </c>
      <c r="AH29" s="41" t="b">
        <v>0</v>
      </c>
      <c r="AJ29" t="str">
        <f t="shared" si="10"/>
        <v/>
      </c>
    </row>
    <row r="30" spans="1:36" ht="21" customHeight="1" x14ac:dyDescent="0.2">
      <c r="A30" s="96">
        <v>25</v>
      </c>
      <c r="B30" s="424" t="str">
        <f t="shared" si="11"/>
        <v/>
      </c>
      <c r="C30" s="425"/>
      <c r="D30" s="138"/>
      <c r="E30" s="139"/>
      <c r="F30" s="130"/>
      <c r="G30" s="97" t="s">
        <v>253</v>
      </c>
      <c r="H30" s="123"/>
      <c r="I30" s="98">
        <f t="shared" si="8"/>
        <v>0</v>
      </c>
      <c r="J30" s="99" t="s">
        <v>253</v>
      </c>
      <c r="K30" s="100">
        <f t="shared" si="9"/>
        <v>0</v>
      </c>
      <c r="L30" s="130"/>
      <c r="M30" s="97" t="s">
        <v>253</v>
      </c>
      <c r="N30" s="129"/>
      <c r="O30" s="135"/>
      <c r="P30" s="97" t="s">
        <v>253</v>
      </c>
      <c r="Q30" s="129"/>
      <c r="R30" s="135"/>
      <c r="S30" s="97" t="s">
        <v>253</v>
      </c>
      <c r="T30" s="129"/>
      <c r="U30" s="130"/>
      <c r="V30" s="97" t="s">
        <v>253</v>
      </c>
      <c r="W30" s="123"/>
      <c r="X30" s="123"/>
      <c r="Y30" s="124"/>
      <c r="Z30" s="124"/>
      <c r="AA30" s="123"/>
      <c r="AB30" s="413"/>
      <c r="AC30" s="414"/>
      <c r="AD30" s="434"/>
      <c r="AF30" s="41" t="b">
        <v>0</v>
      </c>
      <c r="AG30" s="41" t="b">
        <v>0</v>
      </c>
      <c r="AH30" s="41" t="b">
        <v>0</v>
      </c>
      <c r="AJ30" t="str">
        <f t="shared" si="10"/>
        <v/>
      </c>
    </row>
    <row r="31" spans="1:36" ht="21" customHeight="1" x14ac:dyDescent="0.2">
      <c r="A31" s="101">
        <v>26</v>
      </c>
      <c r="B31" s="424" t="str">
        <f t="shared" si="11"/>
        <v/>
      </c>
      <c r="C31" s="425"/>
      <c r="D31" s="141"/>
      <c r="E31" s="139"/>
      <c r="F31" s="134"/>
      <c r="G31" s="104" t="s">
        <v>253</v>
      </c>
      <c r="H31" s="127"/>
      <c r="I31" s="105">
        <f t="shared" si="8"/>
        <v>0</v>
      </c>
      <c r="J31" s="106" t="s">
        <v>253</v>
      </c>
      <c r="K31" s="107">
        <f t="shared" si="9"/>
        <v>0</v>
      </c>
      <c r="L31" s="134"/>
      <c r="M31" s="104" t="s">
        <v>253</v>
      </c>
      <c r="N31" s="133"/>
      <c r="O31" s="137"/>
      <c r="P31" s="104" t="s">
        <v>253</v>
      </c>
      <c r="Q31" s="133"/>
      <c r="R31" s="137"/>
      <c r="S31" s="104" t="s">
        <v>253</v>
      </c>
      <c r="T31" s="133"/>
      <c r="U31" s="134"/>
      <c r="V31" s="104" t="s">
        <v>253</v>
      </c>
      <c r="W31" s="127"/>
      <c r="X31" s="123"/>
      <c r="Y31" s="128"/>
      <c r="Z31" s="128"/>
      <c r="AA31" s="127"/>
      <c r="AB31" s="413"/>
      <c r="AC31" s="414"/>
      <c r="AD31" s="434"/>
      <c r="AF31" s="41" t="b">
        <v>0</v>
      </c>
      <c r="AG31" s="41" t="b">
        <v>0</v>
      </c>
      <c r="AH31" s="41" t="b">
        <v>0</v>
      </c>
      <c r="AJ31" t="str">
        <f t="shared" si="10"/>
        <v/>
      </c>
    </row>
    <row r="32" spans="1:36" ht="21" customHeight="1" x14ac:dyDescent="0.2">
      <c r="A32" s="96">
        <v>27</v>
      </c>
      <c r="B32" s="424" t="str">
        <f t="shared" si="11"/>
        <v/>
      </c>
      <c r="C32" s="425"/>
      <c r="D32" s="138"/>
      <c r="E32" s="139"/>
      <c r="F32" s="130"/>
      <c r="G32" s="97" t="s">
        <v>253</v>
      </c>
      <c r="H32" s="123"/>
      <c r="I32" s="98">
        <f t="shared" si="8"/>
        <v>0</v>
      </c>
      <c r="J32" s="99" t="s">
        <v>253</v>
      </c>
      <c r="K32" s="100">
        <f t="shared" si="9"/>
        <v>0</v>
      </c>
      <c r="L32" s="130"/>
      <c r="M32" s="97" t="s">
        <v>253</v>
      </c>
      <c r="N32" s="129"/>
      <c r="O32" s="135"/>
      <c r="P32" s="97" t="s">
        <v>253</v>
      </c>
      <c r="Q32" s="129"/>
      <c r="R32" s="135"/>
      <c r="S32" s="97" t="s">
        <v>253</v>
      </c>
      <c r="T32" s="129"/>
      <c r="U32" s="130"/>
      <c r="V32" s="97" t="s">
        <v>253</v>
      </c>
      <c r="W32" s="123"/>
      <c r="X32" s="123"/>
      <c r="Y32" s="124"/>
      <c r="Z32" s="124"/>
      <c r="AA32" s="123"/>
      <c r="AB32" s="413"/>
      <c r="AC32" s="414"/>
      <c r="AD32" s="434"/>
      <c r="AF32" s="41" t="b">
        <v>0</v>
      </c>
      <c r="AG32" s="41" t="b">
        <v>0</v>
      </c>
      <c r="AH32" s="41" t="b">
        <v>0</v>
      </c>
      <c r="AJ32" t="str">
        <f t="shared" si="10"/>
        <v/>
      </c>
    </row>
    <row r="33" spans="1:36" ht="21" customHeight="1" x14ac:dyDescent="0.2">
      <c r="A33" s="96">
        <v>28</v>
      </c>
      <c r="B33" s="424" t="str">
        <f t="shared" si="11"/>
        <v/>
      </c>
      <c r="C33" s="425"/>
      <c r="D33" s="140"/>
      <c r="E33" s="139"/>
      <c r="F33" s="132"/>
      <c r="G33" s="97" t="s">
        <v>253</v>
      </c>
      <c r="H33" s="125"/>
      <c r="I33" s="98">
        <f t="shared" si="8"/>
        <v>0</v>
      </c>
      <c r="J33" s="103" t="s">
        <v>253</v>
      </c>
      <c r="K33" s="100">
        <f t="shared" si="9"/>
        <v>0</v>
      </c>
      <c r="L33" s="132"/>
      <c r="M33" s="102" t="s">
        <v>253</v>
      </c>
      <c r="N33" s="131"/>
      <c r="O33" s="136"/>
      <c r="P33" s="102" t="s">
        <v>253</v>
      </c>
      <c r="Q33" s="131"/>
      <c r="R33" s="136"/>
      <c r="S33" s="102" t="s">
        <v>253</v>
      </c>
      <c r="T33" s="131"/>
      <c r="U33" s="132"/>
      <c r="V33" s="102" t="s">
        <v>253</v>
      </c>
      <c r="W33" s="125"/>
      <c r="X33" s="123"/>
      <c r="Y33" s="126"/>
      <c r="Z33" s="126"/>
      <c r="AA33" s="125"/>
      <c r="AB33" s="413"/>
      <c r="AC33" s="414"/>
      <c r="AD33" s="434"/>
      <c r="AF33" s="41" t="b">
        <v>0</v>
      </c>
      <c r="AG33" s="41" t="b">
        <v>0</v>
      </c>
      <c r="AH33" s="41" t="b">
        <v>0</v>
      </c>
      <c r="AJ33" t="str">
        <f t="shared" si="10"/>
        <v/>
      </c>
    </row>
    <row r="34" spans="1:36" ht="21" customHeight="1" x14ac:dyDescent="0.2">
      <c r="A34" s="101">
        <v>29</v>
      </c>
      <c r="B34" s="424" t="str">
        <f t="shared" si="11"/>
        <v/>
      </c>
      <c r="C34" s="425"/>
      <c r="D34" s="138"/>
      <c r="E34" s="139"/>
      <c r="F34" s="130"/>
      <c r="G34" s="97" t="s">
        <v>253</v>
      </c>
      <c r="H34" s="123"/>
      <c r="I34" s="98">
        <f t="shared" si="8"/>
        <v>0</v>
      </c>
      <c r="J34" s="99" t="s">
        <v>253</v>
      </c>
      <c r="K34" s="100">
        <f t="shared" si="9"/>
        <v>0</v>
      </c>
      <c r="L34" s="130"/>
      <c r="M34" s="97" t="s">
        <v>253</v>
      </c>
      <c r="N34" s="129"/>
      <c r="O34" s="135"/>
      <c r="P34" s="97" t="s">
        <v>253</v>
      </c>
      <c r="Q34" s="129"/>
      <c r="R34" s="135"/>
      <c r="S34" s="97" t="s">
        <v>253</v>
      </c>
      <c r="T34" s="129"/>
      <c r="U34" s="130"/>
      <c r="V34" s="97" t="s">
        <v>253</v>
      </c>
      <c r="W34" s="123"/>
      <c r="X34" s="123"/>
      <c r="Y34" s="124"/>
      <c r="Z34" s="124"/>
      <c r="AA34" s="123"/>
      <c r="AB34" s="413"/>
      <c r="AC34" s="414"/>
      <c r="AD34" s="434"/>
      <c r="AF34" s="41" t="b">
        <v>0</v>
      </c>
      <c r="AG34" s="41" t="b">
        <v>0</v>
      </c>
      <c r="AH34" s="41" t="b">
        <v>0</v>
      </c>
      <c r="AJ34" t="str">
        <f t="shared" si="10"/>
        <v/>
      </c>
    </row>
    <row r="35" spans="1:36" ht="21" customHeight="1" x14ac:dyDescent="0.2">
      <c r="A35" s="96">
        <v>30</v>
      </c>
      <c r="B35" s="424" t="str">
        <f t="shared" si="11"/>
        <v/>
      </c>
      <c r="C35" s="425"/>
      <c r="D35" s="138"/>
      <c r="E35" s="139"/>
      <c r="F35" s="130"/>
      <c r="G35" s="97" t="s">
        <v>253</v>
      </c>
      <c r="H35" s="123"/>
      <c r="I35" s="98">
        <f t="shared" si="8"/>
        <v>0</v>
      </c>
      <c r="J35" s="99" t="s">
        <v>253</v>
      </c>
      <c r="K35" s="100">
        <f t="shared" si="9"/>
        <v>0</v>
      </c>
      <c r="L35" s="130"/>
      <c r="M35" s="97" t="s">
        <v>253</v>
      </c>
      <c r="N35" s="129"/>
      <c r="O35" s="135"/>
      <c r="P35" s="97" t="s">
        <v>253</v>
      </c>
      <c r="Q35" s="129"/>
      <c r="R35" s="135"/>
      <c r="S35" s="97" t="s">
        <v>253</v>
      </c>
      <c r="T35" s="129"/>
      <c r="U35" s="130"/>
      <c r="V35" s="97" t="s">
        <v>253</v>
      </c>
      <c r="W35" s="123"/>
      <c r="X35" s="123"/>
      <c r="Y35" s="124"/>
      <c r="Z35" s="124"/>
      <c r="AA35" s="123"/>
      <c r="AB35" s="413"/>
      <c r="AC35" s="414"/>
      <c r="AD35" s="434"/>
      <c r="AF35" s="41" t="b">
        <v>0</v>
      </c>
      <c r="AG35" s="41" t="b">
        <v>0</v>
      </c>
      <c r="AH35" s="41" t="b">
        <v>0</v>
      </c>
      <c r="AJ35" t="str">
        <f t="shared" si="10"/>
        <v/>
      </c>
    </row>
    <row r="36" spans="1:36" ht="21" customHeight="1" x14ac:dyDescent="0.2">
      <c r="A36" s="96">
        <v>31</v>
      </c>
      <c r="B36" s="424" t="str">
        <f t="shared" si="11"/>
        <v/>
      </c>
      <c r="C36" s="425"/>
      <c r="D36" s="138"/>
      <c r="E36" s="139"/>
      <c r="F36" s="130"/>
      <c r="G36" s="97" t="s">
        <v>253</v>
      </c>
      <c r="H36" s="123"/>
      <c r="I36" s="98">
        <f t="shared" si="8"/>
        <v>0</v>
      </c>
      <c r="J36" s="99" t="s">
        <v>253</v>
      </c>
      <c r="K36" s="100">
        <f t="shared" si="9"/>
        <v>0</v>
      </c>
      <c r="L36" s="130"/>
      <c r="M36" s="97" t="s">
        <v>253</v>
      </c>
      <c r="N36" s="129"/>
      <c r="O36" s="135"/>
      <c r="P36" s="97" t="s">
        <v>253</v>
      </c>
      <c r="Q36" s="129"/>
      <c r="R36" s="135"/>
      <c r="S36" s="97" t="s">
        <v>253</v>
      </c>
      <c r="T36" s="129"/>
      <c r="U36" s="130"/>
      <c r="V36" s="97" t="s">
        <v>253</v>
      </c>
      <c r="W36" s="123"/>
      <c r="X36" s="123"/>
      <c r="Y36" s="124"/>
      <c r="Z36" s="124"/>
      <c r="AA36" s="123"/>
      <c r="AB36" s="413"/>
      <c r="AC36" s="414"/>
      <c r="AD36" s="434"/>
      <c r="AF36" s="41" t="b">
        <v>0</v>
      </c>
      <c r="AG36" s="41" t="b">
        <v>0</v>
      </c>
      <c r="AH36" s="41" t="b">
        <v>0</v>
      </c>
      <c r="AJ36" t="str">
        <f t="shared" si="10"/>
        <v/>
      </c>
    </row>
    <row r="37" spans="1:36" ht="21" customHeight="1" x14ac:dyDescent="0.2">
      <c r="A37" s="101">
        <v>32</v>
      </c>
      <c r="B37" s="424" t="str">
        <f t="shared" si="11"/>
        <v/>
      </c>
      <c r="C37" s="425"/>
      <c r="D37" s="138"/>
      <c r="E37" s="139"/>
      <c r="F37" s="130"/>
      <c r="G37" s="97" t="s">
        <v>253</v>
      </c>
      <c r="H37" s="123"/>
      <c r="I37" s="98">
        <f t="shared" si="8"/>
        <v>0</v>
      </c>
      <c r="J37" s="99" t="s">
        <v>253</v>
      </c>
      <c r="K37" s="100">
        <f t="shared" si="9"/>
        <v>0</v>
      </c>
      <c r="L37" s="130"/>
      <c r="M37" s="97" t="s">
        <v>253</v>
      </c>
      <c r="N37" s="129"/>
      <c r="O37" s="135"/>
      <c r="P37" s="97" t="s">
        <v>253</v>
      </c>
      <c r="Q37" s="129"/>
      <c r="R37" s="135"/>
      <c r="S37" s="97" t="s">
        <v>253</v>
      </c>
      <c r="T37" s="129"/>
      <c r="U37" s="130"/>
      <c r="V37" s="97" t="s">
        <v>253</v>
      </c>
      <c r="W37" s="123"/>
      <c r="X37" s="123"/>
      <c r="Y37" s="124"/>
      <c r="Z37" s="124"/>
      <c r="AA37" s="123"/>
      <c r="AB37" s="413"/>
      <c r="AC37" s="414"/>
      <c r="AD37" s="434"/>
      <c r="AF37" s="41" t="b">
        <v>0</v>
      </c>
      <c r="AG37" s="41" t="b">
        <v>0</v>
      </c>
      <c r="AH37" s="41" t="b">
        <v>0</v>
      </c>
      <c r="AJ37" t="str">
        <f t="shared" si="10"/>
        <v/>
      </c>
    </row>
    <row r="38" spans="1:36" ht="21" customHeight="1" x14ac:dyDescent="0.2">
      <c r="A38" s="96">
        <v>33</v>
      </c>
      <c r="B38" s="424" t="str">
        <f t="shared" si="11"/>
        <v/>
      </c>
      <c r="C38" s="425"/>
      <c r="D38" s="138"/>
      <c r="E38" s="139"/>
      <c r="F38" s="130"/>
      <c r="G38" s="97" t="s">
        <v>253</v>
      </c>
      <c r="H38" s="123"/>
      <c r="I38" s="98">
        <f t="shared" si="8"/>
        <v>0</v>
      </c>
      <c r="J38" s="99" t="s">
        <v>253</v>
      </c>
      <c r="K38" s="100">
        <f t="shared" si="9"/>
        <v>0</v>
      </c>
      <c r="L38" s="130"/>
      <c r="M38" s="97" t="s">
        <v>253</v>
      </c>
      <c r="N38" s="129"/>
      <c r="O38" s="135"/>
      <c r="P38" s="97" t="s">
        <v>253</v>
      </c>
      <c r="Q38" s="129"/>
      <c r="R38" s="135"/>
      <c r="S38" s="97" t="s">
        <v>253</v>
      </c>
      <c r="T38" s="129"/>
      <c r="U38" s="130"/>
      <c r="V38" s="97" t="s">
        <v>253</v>
      </c>
      <c r="W38" s="123"/>
      <c r="X38" s="123"/>
      <c r="Y38" s="124"/>
      <c r="Z38" s="124"/>
      <c r="AA38" s="123"/>
      <c r="AB38" s="413"/>
      <c r="AC38" s="414"/>
      <c r="AD38" s="434"/>
      <c r="AF38" s="41" t="b">
        <v>0</v>
      </c>
      <c r="AG38" s="41" t="b">
        <v>0</v>
      </c>
      <c r="AH38" s="41" t="b">
        <v>0</v>
      </c>
      <c r="AJ38" t="str">
        <f t="shared" si="10"/>
        <v/>
      </c>
    </row>
    <row r="39" spans="1:36" ht="21" customHeight="1" x14ac:dyDescent="0.2">
      <c r="A39" s="96">
        <v>34</v>
      </c>
      <c r="B39" s="424" t="str">
        <f t="shared" si="11"/>
        <v/>
      </c>
      <c r="C39" s="425"/>
      <c r="D39" s="138"/>
      <c r="E39" s="139"/>
      <c r="F39" s="130"/>
      <c r="G39" s="97" t="s">
        <v>253</v>
      </c>
      <c r="H39" s="123"/>
      <c r="I39" s="98">
        <f t="shared" si="8"/>
        <v>0</v>
      </c>
      <c r="J39" s="99" t="s">
        <v>253</v>
      </c>
      <c r="K39" s="100">
        <f t="shared" si="9"/>
        <v>0</v>
      </c>
      <c r="L39" s="130"/>
      <c r="M39" s="97" t="s">
        <v>253</v>
      </c>
      <c r="N39" s="129"/>
      <c r="O39" s="135"/>
      <c r="P39" s="97" t="s">
        <v>253</v>
      </c>
      <c r="Q39" s="129"/>
      <c r="R39" s="135"/>
      <c r="S39" s="97" t="s">
        <v>253</v>
      </c>
      <c r="T39" s="129"/>
      <c r="U39" s="130"/>
      <c r="V39" s="97" t="s">
        <v>253</v>
      </c>
      <c r="W39" s="123"/>
      <c r="X39" s="123"/>
      <c r="Y39" s="124"/>
      <c r="Z39" s="124"/>
      <c r="AA39" s="123"/>
      <c r="AB39" s="413"/>
      <c r="AC39" s="414"/>
      <c r="AD39" s="434"/>
      <c r="AF39" s="41" t="b">
        <v>0</v>
      </c>
      <c r="AG39" s="41" t="b">
        <v>0</v>
      </c>
      <c r="AH39" s="41" t="b">
        <v>0</v>
      </c>
      <c r="AJ39" t="str">
        <f t="shared" si="10"/>
        <v/>
      </c>
    </row>
    <row r="40" spans="1:36" ht="21" customHeight="1" x14ac:dyDescent="0.2">
      <c r="A40" s="101">
        <v>35</v>
      </c>
      <c r="B40" s="424" t="str">
        <f t="shared" si="11"/>
        <v/>
      </c>
      <c r="C40" s="425"/>
      <c r="D40" s="138"/>
      <c r="E40" s="139"/>
      <c r="F40" s="130"/>
      <c r="G40" s="97" t="s">
        <v>253</v>
      </c>
      <c r="H40" s="123"/>
      <c r="I40" s="98">
        <f t="shared" si="8"/>
        <v>0</v>
      </c>
      <c r="J40" s="99" t="s">
        <v>253</v>
      </c>
      <c r="K40" s="100">
        <f t="shared" si="9"/>
        <v>0</v>
      </c>
      <c r="L40" s="130"/>
      <c r="M40" s="97" t="s">
        <v>253</v>
      </c>
      <c r="N40" s="129"/>
      <c r="O40" s="135"/>
      <c r="P40" s="97" t="s">
        <v>253</v>
      </c>
      <c r="Q40" s="129"/>
      <c r="R40" s="135"/>
      <c r="S40" s="97" t="s">
        <v>253</v>
      </c>
      <c r="T40" s="129"/>
      <c r="U40" s="130"/>
      <c r="V40" s="97" t="s">
        <v>253</v>
      </c>
      <c r="W40" s="123"/>
      <c r="X40" s="123"/>
      <c r="Y40" s="124"/>
      <c r="Z40" s="124"/>
      <c r="AA40" s="123"/>
      <c r="AB40" s="413"/>
      <c r="AC40" s="414"/>
      <c r="AD40" s="434"/>
      <c r="AF40" s="41" t="b">
        <v>0</v>
      </c>
      <c r="AG40" s="41" t="b">
        <v>0</v>
      </c>
      <c r="AH40" s="41" t="b">
        <v>0</v>
      </c>
      <c r="AJ40" t="str">
        <f t="shared" si="10"/>
        <v/>
      </c>
    </row>
    <row r="41" spans="1:36" ht="21" customHeight="1" x14ac:dyDescent="0.2">
      <c r="A41" s="96">
        <v>36</v>
      </c>
      <c r="B41" s="424" t="str">
        <f t="shared" si="11"/>
        <v/>
      </c>
      <c r="C41" s="425"/>
      <c r="D41" s="138"/>
      <c r="E41" s="139"/>
      <c r="F41" s="130"/>
      <c r="G41" s="97" t="s">
        <v>253</v>
      </c>
      <c r="H41" s="123"/>
      <c r="I41" s="98">
        <f t="shared" si="8"/>
        <v>0</v>
      </c>
      <c r="J41" s="99" t="s">
        <v>253</v>
      </c>
      <c r="K41" s="100">
        <f t="shared" si="9"/>
        <v>0</v>
      </c>
      <c r="L41" s="130"/>
      <c r="M41" s="97" t="s">
        <v>253</v>
      </c>
      <c r="N41" s="129"/>
      <c r="O41" s="135"/>
      <c r="P41" s="97" t="s">
        <v>253</v>
      </c>
      <c r="Q41" s="129"/>
      <c r="R41" s="135"/>
      <c r="S41" s="97" t="s">
        <v>253</v>
      </c>
      <c r="T41" s="129"/>
      <c r="U41" s="130"/>
      <c r="V41" s="97" t="s">
        <v>253</v>
      </c>
      <c r="W41" s="123"/>
      <c r="X41" s="123"/>
      <c r="Y41" s="124"/>
      <c r="Z41" s="124"/>
      <c r="AA41" s="123"/>
      <c r="AB41" s="413"/>
      <c r="AC41" s="414"/>
      <c r="AD41" s="434"/>
      <c r="AF41" s="41" t="b">
        <v>0</v>
      </c>
      <c r="AG41" s="41" t="b">
        <v>0</v>
      </c>
      <c r="AH41" s="41" t="b">
        <v>0</v>
      </c>
      <c r="AJ41" t="str">
        <f t="shared" si="10"/>
        <v/>
      </c>
    </row>
    <row r="42" spans="1:36" ht="21" customHeight="1" x14ac:dyDescent="0.2">
      <c r="A42" s="96">
        <v>37</v>
      </c>
      <c r="B42" s="424" t="str">
        <f t="shared" si="11"/>
        <v/>
      </c>
      <c r="C42" s="425"/>
      <c r="D42" s="138"/>
      <c r="E42" s="139"/>
      <c r="F42" s="130"/>
      <c r="G42" s="97" t="s">
        <v>253</v>
      </c>
      <c r="H42" s="123"/>
      <c r="I42" s="98">
        <f t="shared" si="8"/>
        <v>0</v>
      </c>
      <c r="J42" s="99" t="s">
        <v>253</v>
      </c>
      <c r="K42" s="100">
        <f t="shared" si="9"/>
        <v>0</v>
      </c>
      <c r="L42" s="130"/>
      <c r="M42" s="97" t="s">
        <v>253</v>
      </c>
      <c r="N42" s="129"/>
      <c r="O42" s="135"/>
      <c r="P42" s="97" t="s">
        <v>253</v>
      </c>
      <c r="Q42" s="129"/>
      <c r="R42" s="135"/>
      <c r="S42" s="97" t="s">
        <v>253</v>
      </c>
      <c r="T42" s="129"/>
      <c r="U42" s="130"/>
      <c r="V42" s="97" t="s">
        <v>253</v>
      </c>
      <c r="W42" s="123"/>
      <c r="X42" s="123"/>
      <c r="Y42" s="124"/>
      <c r="Z42" s="124"/>
      <c r="AA42" s="123"/>
      <c r="AB42" s="413"/>
      <c r="AC42" s="414"/>
      <c r="AD42" s="434"/>
      <c r="AF42" s="41" t="b">
        <v>0</v>
      </c>
      <c r="AG42" s="41" t="b">
        <v>0</v>
      </c>
      <c r="AH42" s="41" t="b">
        <v>0</v>
      </c>
      <c r="AJ42" t="str">
        <f t="shared" si="10"/>
        <v/>
      </c>
    </row>
    <row r="43" spans="1:36" ht="21" customHeight="1" x14ac:dyDescent="0.2">
      <c r="A43" s="101">
        <v>38</v>
      </c>
      <c r="B43" s="424" t="str">
        <f t="shared" si="11"/>
        <v/>
      </c>
      <c r="C43" s="425"/>
      <c r="D43" s="138"/>
      <c r="E43" s="139"/>
      <c r="F43" s="130"/>
      <c r="G43" s="97" t="s">
        <v>253</v>
      </c>
      <c r="H43" s="123"/>
      <c r="I43" s="98">
        <f t="shared" si="8"/>
        <v>0</v>
      </c>
      <c r="J43" s="99" t="s">
        <v>253</v>
      </c>
      <c r="K43" s="100">
        <f t="shared" si="9"/>
        <v>0</v>
      </c>
      <c r="L43" s="130"/>
      <c r="M43" s="97" t="s">
        <v>253</v>
      </c>
      <c r="N43" s="129"/>
      <c r="O43" s="135"/>
      <c r="P43" s="97" t="s">
        <v>253</v>
      </c>
      <c r="Q43" s="129"/>
      <c r="R43" s="135"/>
      <c r="S43" s="97" t="s">
        <v>253</v>
      </c>
      <c r="T43" s="129"/>
      <c r="U43" s="130"/>
      <c r="V43" s="97" t="s">
        <v>253</v>
      </c>
      <c r="W43" s="123"/>
      <c r="X43" s="123"/>
      <c r="Y43" s="124"/>
      <c r="Z43" s="124"/>
      <c r="AA43" s="123"/>
      <c r="AB43" s="413"/>
      <c r="AC43" s="414"/>
      <c r="AD43" s="434"/>
      <c r="AF43" s="41" t="b">
        <v>0</v>
      </c>
      <c r="AG43" s="41" t="b">
        <v>0</v>
      </c>
      <c r="AH43" s="41" t="b">
        <v>0</v>
      </c>
      <c r="AJ43" t="str">
        <f t="shared" si="10"/>
        <v/>
      </c>
    </row>
    <row r="44" spans="1:36" ht="21" customHeight="1" x14ac:dyDescent="0.2">
      <c r="A44" s="96">
        <v>39</v>
      </c>
      <c r="B44" s="424" t="str">
        <f t="shared" si="11"/>
        <v/>
      </c>
      <c r="C44" s="425"/>
      <c r="D44" s="141"/>
      <c r="E44" s="139"/>
      <c r="F44" s="134"/>
      <c r="G44" s="104" t="s">
        <v>253</v>
      </c>
      <c r="H44" s="127"/>
      <c r="I44" s="105">
        <f t="shared" si="8"/>
        <v>0</v>
      </c>
      <c r="J44" s="106" t="s">
        <v>253</v>
      </c>
      <c r="K44" s="107">
        <f t="shared" si="9"/>
        <v>0</v>
      </c>
      <c r="L44" s="134"/>
      <c r="M44" s="104" t="s">
        <v>253</v>
      </c>
      <c r="N44" s="133"/>
      <c r="O44" s="137"/>
      <c r="P44" s="104" t="s">
        <v>253</v>
      </c>
      <c r="Q44" s="133"/>
      <c r="R44" s="137"/>
      <c r="S44" s="104" t="s">
        <v>253</v>
      </c>
      <c r="T44" s="133"/>
      <c r="U44" s="134"/>
      <c r="V44" s="104" t="s">
        <v>253</v>
      </c>
      <c r="W44" s="127"/>
      <c r="X44" s="123"/>
      <c r="Y44" s="128"/>
      <c r="Z44" s="128"/>
      <c r="AA44" s="127"/>
      <c r="AB44" s="413"/>
      <c r="AC44" s="414"/>
      <c r="AD44" s="434"/>
      <c r="AF44" s="41" t="b">
        <v>0</v>
      </c>
      <c r="AG44" s="41" t="b">
        <v>0</v>
      </c>
      <c r="AH44" s="41" t="b">
        <v>0</v>
      </c>
      <c r="AJ44" t="str">
        <f t="shared" si="10"/>
        <v/>
      </c>
    </row>
    <row r="45" spans="1:36" ht="21" customHeight="1" x14ac:dyDescent="0.2">
      <c r="A45" s="96">
        <v>40</v>
      </c>
      <c r="B45" s="424" t="str">
        <f t="shared" si="11"/>
        <v/>
      </c>
      <c r="C45" s="425"/>
      <c r="D45" s="138"/>
      <c r="E45" s="139"/>
      <c r="F45" s="130"/>
      <c r="G45" s="97" t="s">
        <v>253</v>
      </c>
      <c r="H45" s="123"/>
      <c r="I45" s="98">
        <f t="shared" si="8"/>
        <v>0</v>
      </c>
      <c r="J45" s="99" t="s">
        <v>253</v>
      </c>
      <c r="K45" s="100">
        <f t="shared" si="9"/>
        <v>0</v>
      </c>
      <c r="L45" s="130"/>
      <c r="M45" s="97" t="s">
        <v>253</v>
      </c>
      <c r="N45" s="129"/>
      <c r="O45" s="135"/>
      <c r="P45" s="97" t="s">
        <v>253</v>
      </c>
      <c r="Q45" s="129"/>
      <c r="R45" s="135"/>
      <c r="S45" s="97" t="s">
        <v>253</v>
      </c>
      <c r="T45" s="129"/>
      <c r="U45" s="130"/>
      <c r="V45" s="97" t="s">
        <v>253</v>
      </c>
      <c r="W45" s="123"/>
      <c r="X45" s="123"/>
      <c r="Y45" s="124"/>
      <c r="Z45" s="124"/>
      <c r="AA45" s="123"/>
      <c r="AB45" s="413"/>
      <c r="AC45" s="414"/>
      <c r="AD45" s="434"/>
      <c r="AF45" s="41" t="b">
        <v>0</v>
      </c>
      <c r="AG45" s="41" t="b">
        <v>0</v>
      </c>
      <c r="AH45" s="41" t="b">
        <v>0</v>
      </c>
      <c r="AJ45" t="str">
        <f t="shared" si="10"/>
        <v/>
      </c>
    </row>
    <row r="46" spans="1:36" ht="21" customHeight="1" x14ac:dyDescent="0.2">
      <c r="A46" s="101">
        <v>41</v>
      </c>
      <c r="B46" s="424" t="str">
        <f t="shared" si="11"/>
        <v/>
      </c>
      <c r="C46" s="425"/>
      <c r="D46" s="140"/>
      <c r="E46" s="139"/>
      <c r="F46" s="132"/>
      <c r="G46" s="97" t="s">
        <v>253</v>
      </c>
      <c r="H46" s="125"/>
      <c r="I46" s="98">
        <f t="shared" si="8"/>
        <v>0</v>
      </c>
      <c r="J46" s="103" t="s">
        <v>253</v>
      </c>
      <c r="K46" s="100">
        <f t="shared" si="9"/>
        <v>0</v>
      </c>
      <c r="L46" s="132"/>
      <c r="M46" s="102" t="s">
        <v>253</v>
      </c>
      <c r="N46" s="131"/>
      <c r="O46" s="136"/>
      <c r="P46" s="102" t="s">
        <v>253</v>
      </c>
      <c r="Q46" s="131"/>
      <c r="R46" s="136"/>
      <c r="S46" s="102" t="s">
        <v>253</v>
      </c>
      <c r="T46" s="131"/>
      <c r="U46" s="132"/>
      <c r="V46" s="102" t="s">
        <v>253</v>
      </c>
      <c r="W46" s="125"/>
      <c r="X46" s="123"/>
      <c r="Y46" s="126"/>
      <c r="Z46" s="126"/>
      <c r="AA46" s="125"/>
      <c r="AB46" s="413"/>
      <c r="AC46" s="414"/>
      <c r="AD46" s="434"/>
      <c r="AF46" s="41" t="b">
        <v>0</v>
      </c>
      <c r="AG46" s="41" t="b">
        <v>0</v>
      </c>
      <c r="AH46" s="41" t="b">
        <v>0</v>
      </c>
      <c r="AJ46" t="str">
        <f t="shared" si="10"/>
        <v/>
      </c>
    </row>
    <row r="47" spans="1:36" ht="21" customHeight="1" x14ac:dyDescent="0.2">
      <c r="A47" s="96">
        <v>42</v>
      </c>
      <c r="B47" s="424" t="str">
        <f t="shared" si="11"/>
        <v/>
      </c>
      <c r="C47" s="425"/>
      <c r="D47" s="138"/>
      <c r="E47" s="139"/>
      <c r="F47" s="130"/>
      <c r="G47" s="97" t="s">
        <v>253</v>
      </c>
      <c r="H47" s="123"/>
      <c r="I47" s="98">
        <f t="shared" si="8"/>
        <v>0</v>
      </c>
      <c r="J47" s="99" t="s">
        <v>253</v>
      </c>
      <c r="K47" s="100">
        <f t="shared" si="9"/>
        <v>0</v>
      </c>
      <c r="L47" s="130"/>
      <c r="M47" s="97" t="s">
        <v>253</v>
      </c>
      <c r="N47" s="129"/>
      <c r="O47" s="135"/>
      <c r="P47" s="97" t="s">
        <v>253</v>
      </c>
      <c r="Q47" s="129"/>
      <c r="R47" s="135"/>
      <c r="S47" s="97" t="s">
        <v>253</v>
      </c>
      <c r="T47" s="129"/>
      <c r="U47" s="130"/>
      <c r="V47" s="97" t="s">
        <v>253</v>
      </c>
      <c r="W47" s="123"/>
      <c r="X47" s="123"/>
      <c r="Y47" s="124"/>
      <c r="Z47" s="124"/>
      <c r="AA47" s="123"/>
      <c r="AB47" s="413"/>
      <c r="AC47" s="414"/>
      <c r="AD47" s="434"/>
      <c r="AF47" s="41" t="b">
        <v>0</v>
      </c>
      <c r="AG47" s="41" t="b">
        <v>0</v>
      </c>
      <c r="AH47" s="41" t="b">
        <v>0</v>
      </c>
      <c r="AJ47" t="str">
        <f t="shared" si="10"/>
        <v/>
      </c>
    </row>
    <row r="48" spans="1:36" ht="21" customHeight="1" x14ac:dyDescent="0.2">
      <c r="A48" s="96">
        <v>43</v>
      </c>
      <c r="B48" s="424" t="str">
        <f t="shared" si="11"/>
        <v/>
      </c>
      <c r="C48" s="425"/>
      <c r="D48" s="138"/>
      <c r="E48" s="139"/>
      <c r="F48" s="130"/>
      <c r="G48" s="97" t="s">
        <v>253</v>
      </c>
      <c r="H48" s="123"/>
      <c r="I48" s="98">
        <f t="shared" si="8"/>
        <v>0</v>
      </c>
      <c r="J48" s="99" t="s">
        <v>253</v>
      </c>
      <c r="K48" s="100">
        <f t="shared" si="9"/>
        <v>0</v>
      </c>
      <c r="L48" s="130"/>
      <c r="M48" s="97" t="s">
        <v>253</v>
      </c>
      <c r="N48" s="129"/>
      <c r="O48" s="135"/>
      <c r="P48" s="97" t="s">
        <v>253</v>
      </c>
      <c r="Q48" s="129"/>
      <c r="R48" s="135"/>
      <c r="S48" s="97" t="s">
        <v>253</v>
      </c>
      <c r="T48" s="129"/>
      <c r="U48" s="130"/>
      <c r="V48" s="97" t="s">
        <v>253</v>
      </c>
      <c r="W48" s="123"/>
      <c r="X48" s="123"/>
      <c r="Y48" s="124"/>
      <c r="Z48" s="124"/>
      <c r="AA48" s="123"/>
      <c r="AB48" s="413"/>
      <c r="AC48" s="414"/>
      <c r="AD48" s="434"/>
      <c r="AF48" s="41" t="b">
        <v>0</v>
      </c>
      <c r="AG48" s="41" t="b">
        <v>0</v>
      </c>
      <c r="AH48" s="41" t="b">
        <v>0</v>
      </c>
      <c r="AJ48" t="str">
        <f t="shared" si="10"/>
        <v/>
      </c>
    </row>
    <row r="49" spans="1:36" ht="21" customHeight="1" x14ac:dyDescent="0.2">
      <c r="A49" s="101">
        <v>44</v>
      </c>
      <c r="B49" s="424" t="str">
        <f t="shared" si="11"/>
        <v/>
      </c>
      <c r="C49" s="425"/>
      <c r="D49" s="138"/>
      <c r="E49" s="139"/>
      <c r="F49" s="130"/>
      <c r="G49" s="97" t="s">
        <v>253</v>
      </c>
      <c r="H49" s="123"/>
      <c r="I49" s="98">
        <f t="shared" si="8"/>
        <v>0</v>
      </c>
      <c r="J49" s="99" t="s">
        <v>253</v>
      </c>
      <c r="K49" s="100">
        <f t="shared" si="9"/>
        <v>0</v>
      </c>
      <c r="L49" s="130"/>
      <c r="M49" s="97" t="s">
        <v>253</v>
      </c>
      <c r="N49" s="129"/>
      <c r="O49" s="135"/>
      <c r="P49" s="97" t="s">
        <v>253</v>
      </c>
      <c r="Q49" s="129"/>
      <c r="R49" s="135"/>
      <c r="S49" s="97" t="s">
        <v>253</v>
      </c>
      <c r="T49" s="129"/>
      <c r="U49" s="130"/>
      <c r="V49" s="97" t="s">
        <v>253</v>
      </c>
      <c r="W49" s="123"/>
      <c r="X49" s="123"/>
      <c r="Y49" s="124"/>
      <c r="Z49" s="124"/>
      <c r="AA49" s="123"/>
      <c r="AB49" s="413"/>
      <c r="AC49" s="414"/>
      <c r="AD49" s="434"/>
      <c r="AF49" s="41" t="b">
        <v>0</v>
      </c>
      <c r="AG49" s="41" t="b">
        <v>0</v>
      </c>
      <c r="AH49" s="41" t="b">
        <v>0</v>
      </c>
      <c r="AJ49" t="str">
        <f t="shared" si="10"/>
        <v/>
      </c>
    </row>
    <row r="50" spans="1:36" ht="21" customHeight="1" x14ac:dyDescent="0.2">
      <c r="A50" s="96">
        <v>45</v>
      </c>
      <c r="B50" s="424" t="str">
        <f t="shared" si="11"/>
        <v/>
      </c>
      <c r="C50" s="425"/>
      <c r="D50" s="138"/>
      <c r="E50" s="139"/>
      <c r="F50" s="130"/>
      <c r="G50" s="97" t="s">
        <v>253</v>
      </c>
      <c r="H50" s="123"/>
      <c r="I50" s="98">
        <f t="shared" si="8"/>
        <v>0</v>
      </c>
      <c r="J50" s="99" t="s">
        <v>253</v>
      </c>
      <c r="K50" s="100">
        <f t="shared" si="9"/>
        <v>0</v>
      </c>
      <c r="L50" s="130"/>
      <c r="M50" s="97" t="s">
        <v>253</v>
      </c>
      <c r="N50" s="129"/>
      <c r="O50" s="135"/>
      <c r="P50" s="97" t="s">
        <v>253</v>
      </c>
      <c r="Q50" s="129"/>
      <c r="R50" s="135"/>
      <c r="S50" s="97" t="s">
        <v>253</v>
      </c>
      <c r="T50" s="129"/>
      <c r="U50" s="130"/>
      <c r="V50" s="97" t="s">
        <v>253</v>
      </c>
      <c r="W50" s="123"/>
      <c r="X50" s="123"/>
      <c r="Y50" s="124"/>
      <c r="Z50" s="124"/>
      <c r="AA50" s="123"/>
      <c r="AB50" s="413"/>
      <c r="AC50" s="414"/>
      <c r="AD50" s="434"/>
      <c r="AF50" s="41" t="b">
        <v>0</v>
      </c>
      <c r="AG50" s="41" t="b">
        <v>0</v>
      </c>
      <c r="AH50" s="41" t="b">
        <v>0</v>
      </c>
      <c r="AJ50" t="str">
        <f t="shared" si="10"/>
        <v/>
      </c>
    </row>
    <row r="51" spans="1:36" ht="21" customHeight="1" x14ac:dyDescent="0.2">
      <c r="A51" s="96">
        <v>46</v>
      </c>
      <c r="B51" s="424" t="str">
        <f t="shared" si="11"/>
        <v/>
      </c>
      <c r="C51" s="425"/>
      <c r="D51" s="138"/>
      <c r="E51" s="139"/>
      <c r="F51" s="130"/>
      <c r="G51" s="97" t="s">
        <v>253</v>
      </c>
      <c r="H51" s="123"/>
      <c r="I51" s="98">
        <f t="shared" si="8"/>
        <v>0</v>
      </c>
      <c r="J51" s="99" t="s">
        <v>253</v>
      </c>
      <c r="K51" s="100">
        <f t="shared" si="9"/>
        <v>0</v>
      </c>
      <c r="L51" s="130"/>
      <c r="M51" s="97" t="s">
        <v>253</v>
      </c>
      <c r="N51" s="129"/>
      <c r="O51" s="135"/>
      <c r="P51" s="97" t="s">
        <v>253</v>
      </c>
      <c r="Q51" s="129"/>
      <c r="R51" s="135"/>
      <c r="S51" s="97" t="s">
        <v>253</v>
      </c>
      <c r="T51" s="129"/>
      <c r="U51" s="130"/>
      <c r="V51" s="97" t="s">
        <v>253</v>
      </c>
      <c r="W51" s="123"/>
      <c r="X51" s="123"/>
      <c r="Y51" s="124"/>
      <c r="Z51" s="124"/>
      <c r="AA51" s="123"/>
      <c r="AB51" s="413"/>
      <c r="AC51" s="414"/>
      <c r="AD51" s="434"/>
      <c r="AF51" s="41" t="b">
        <v>0</v>
      </c>
      <c r="AG51" s="41" t="b">
        <v>0</v>
      </c>
      <c r="AH51" s="41" t="b">
        <v>0</v>
      </c>
      <c r="AJ51" t="str">
        <f t="shared" si="10"/>
        <v/>
      </c>
    </row>
    <row r="52" spans="1:36" ht="21" customHeight="1" x14ac:dyDescent="0.2">
      <c r="A52" s="101">
        <v>47</v>
      </c>
      <c r="B52" s="424" t="str">
        <f t="shared" si="11"/>
        <v/>
      </c>
      <c r="C52" s="425"/>
      <c r="D52" s="138"/>
      <c r="E52" s="139"/>
      <c r="F52" s="130"/>
      <c r="G52" s="97" t="s">
        <v>253</v>
      </c>
      <c r="H52" s="123"/>
      <c r="I52" s="98">
        <f t="shared" si="8"/>
        <v>0</v>
      </c>
      <c r="J52" s="99" t="s">
        <v>253</v>
      </c>
      <c r="K52" s="100">
        <f t="shared" si="9"/>
        <v>0</v>
      </c>
      <c r="L52" s="130"/>
      <c r="M52" s="97" t="s">
        <v>253</v>
      </c>
      <c r="N52" s="129"/>
      <c r="O52" s="135"/>
      <c r="P52" s="97" t="s">
        <v>253</v>
      </c>
      <c r="Q52" s="129"/>
      <c r="R52" s="135"/>
      <c r="S52" s="97" t="s">
        <v>253</v>
      </c>
      <c r="T52" s="129"/>
      <c r="U52" s="130"/>
      <c r="V52" s="97" t="s">
        <v>253</v>
      </c>
      <c r="W52" s="123"/>
      <c r="X52" s="123"/>
      <c r="Y52" s="124"/>
      <c r="Z52" s="124"/>
      <c r="AA52" s="123"/>
      <c r="AB52" s="413"/>
      <c r="AC52" s="414"/>
      <c r="AD52" s="434"/>
      <c r="AF52" s="41" t="b">
        <v>0</v>
      </c>
      <c r="AG52" s="41" t="b">
        <v>0</v>
      </c>
      <c r="AH52" s="41" t="b">
        <v>0</v>
      </c>
      <c r="AJ52" t="str">
        <f t="shared" si="10"/>
        <v/>
      </c>
    </row>
    <row r="53" spans="1:36" ht="21" customHeight="1" x14ac:dyDescent="0.2">
      <c r="A53" s="96">
        <v>48</v>
      </c>
      <c r="B53" s="424" t="str">
        <f t="shared" si="11"/>
        <v/>
      </c>
      <c r="C53" s="425"/>
      <c r="D53" s="138"/>
      <c r="E53" s="139"/>
      <c r="F53" s="130"/>
      <c r="G53" s="97" t="s">
        <v>253</v>
      </c>
      <c r="H53" s="123"/>
      <c r="I53" s="98">
        <f t="shared" si="8"/>
        <v>0</v>
      </c>
      <c r="J53" s="99" t="s">
        <v>253</v>
      </c>
      <c r="K53" s="100">
        <f t="shared" si="9"/>
        <v>0</v>
      </c>
      <c r="L53" s="130"/>
      <c r="M53" s="97" t="s">
        <v>253</v>
      </c>
      <c r="N53" s="129"/>
      <c r="O53" s="135"/>
      <c r="P53" s="97" t="s">
        <v>253</v>
      </c>
      <c r="Q53" s="129"/>
      <c r="R53" s="135"/>
      <c r="S53" s="97" t="s">
        <v>253</v>
      </c>
      <c r="T53" s="129"/>
      <c r="U53" s="130"/>
      <c r="V53" s="97" t="s">
        <v>253</v>
      </c>
      <c r="W53" s="123"/>
      <c r="X53" s="123"/>
      <c r="Y53" s="124"/>
      <c r="Z53" s="124"/>
      <c r="AA53" s="123"/>
      <c r="AB53" s="413"/>
      <c r="AC53" s="414"/>
      <c r="AD53" s="434"/>
      <c r="AF53" s="41" t="b">
        <v>0</v>
      </c>
      <c r="AG53" s="41" t="b">
        <v>0</v>
      </c>
      <c r="AH53" s="41" t="b">
        <v>0</v>
      </c>
      <c r="AJ53" t="str">
        <f t="shared" si="10"/>
        <v/>
      </c>
    </row>
    <row r="54" spans="1:36" ht="21" customHeight="1" x14ac:dyDescent="0.2">
      <c r="A54" s="96">
        <v>49</v>
      </c>
      <c r="B54" s="424" t="str">
        <f t="shared" si="11"/>
        <v/>
      </c>
      <c r="C54" s="425"/>
      <c r="D54" s="138"/>
      <c r="E54" s="139"/>
      <c r="F54" s="130"/>
      <c r="G54" s="97" t="s">
        <v>253</v>
      </c>
      <c r="H54" s="123"/>
      <c r="I54" s="98">
        <f t="shared" si="8"/>
        <v>0</v>
      </c>
      <c r="J54" s="99" t="s">
        <v>253</v>
      </c>
      <c r="K54" s="100">
        <f t="shared" si="9"/>
        <v>0</v>
      </c>
      <c r="L54" s="130"/>
      <c r="M54" s="97" t="s">
        <v>253</v>
      </c>
      <c r="N54" s="129"/>
      <c r="O54" s="135"/>
      <c r="P54" s="97" t="s">
        <v>253</v>
      </c>
      <c r="Q54" s="129"/>
      <c r="R54" s="135"/>
      <c r="S54" s="97" t="s">
        <v>253</v>
      </c>
      <c r="T54" s="129"/>
      <c r="U54" s="130"/>
      <c r="V54" s="97" t="s">
        <v>253</v>
      </c>
      <c r="W54" s="123"/>
      <c r="X54" s="123"/>
      <c r="Y54" s="124"/>
      <c r="Z54" s="124"/>
      <c r="AA54" s="123"/>
      <c r="AB54" s="413"/>
      <c r="AC54" s="414"/>
      <c r="AD54" s="434"/>
      <c r="AF54" s="41" t="b">
        <v>0</v>
      </c>
      <c r="AG54" s="41" t="b">
        <v>0</v>
      </c>
      <c r="AH54" s="41" t="b">
        <v>0</v>
      </c>
      <c r="AJ54" t="str">
        <f t="shared" si="10"/>
        <v/>
      </c>
    </row>
    <row r="55" spans="1:36" ht="21" customHeight="1" thickBot="1" x14ac:dyDescent="0.25">
      <c r="A55" s="101">
        <v>50</v>
      </c>
      <c r="B55" s="424" t="str">
        <f t="shared" si="11"/>
        <v/>
      </c>
      <c r="C55" s="425"/>
      <c r="D55" s="138"/>
      <c r="E55" s="139"/>
      <c r="F55" s="130"/>
      <c r="G55" s="97" t="s">
        <v>253</v>
      </c>
      <c r="H55" s="123"/>
      <c r="I55" s="98">
        <f t="shared" si="8"/>
        <v>0</v>
      </c>
      <c r="J55" s="99" t="s">
        <v>253</v>
      </c>
      <c r="K55" s="100">
        <f t="shared" si="9"/>
        <v>0</v>
      </c>
      <c r="L55" s="130"/>
      <c r="M55" s="97" t="s">
        <v>253</v>
      </c>
      <c r="N55" s="129"/>
      <c r="O55" s="135"/>
      <c r="P55" s="97" t="s">
        <v>253</v>
      </c>
      <c r="Q55" s="129"/>
      <c r="R55" s="135"/>
      <c r="S55" s="97" t="s">
        <v>253</v>
      </c>
      <c r="T55" s="129"/>
      <c r="U55" s="130"/>
      <c r="V55" s="97" t="s">
        <v>253</v>
      </c>
      <c r="W55" s="123"/>
      <c r="X55" s="123"/>
      <c r="Y55" s="124"/>
      <c r="Z55" s="124"/>
      <c r="AA55" s="123"/>
      <c r="AB55" s="413"/>
      <c r="AC55" s="414"/>
      <c r="AD55" s="434"/>
      <c r="AF55" s="41" t="b">
        <v>0</v>
      </c>
      <c r="AG55" s="41" t="b">
        <v>0</v>
      </c>
      <c r="AH55" s="41" t="b">
        <v>0</v>
      </c>
      <c r="AJ55" t="str">
        <f t="shared" si="10"/>
        <v/>
      </c>
    </row>
    <row r="56" spans="1:36" ht="21" customHeight="1" thickBot="1" x14ac:dyDescent="0.25">
      <c r="A56" s="431" t="str">
        <f>IF(Roster!K25="Italiano","  Note",(IF(Roster!K25="Español","  Notas",(IF(Roster!K25="Deutsch","  Notizen","  Notes")))))</f>
        <v xml:space="preserve">  Notes</v>
      </c>
      <c r="B56" s="432"/>
      <c r="C56" s="433"/>
      <c r="D56" s="426"/>
      <c r="E56" s="427"/>
      <c r="F56" s="427"/>
      <c r="G56" s="427"/>
      <c r="H56" s="427"/>
      <c r="I56" s="427"/>
      <c r="J56" s="427"/>
      <c r="K56" s="427"/>
      <c r="L56" s="427"/>
      <c r="M56" s="427"/>
      <c r="N56" s="427"/>
      <c r="O56" s="427"/>
      <c r="P56" s="427"/>
      <c r="Q56" s="427"/>
      <c r="R56" s="427"/>
      <c r="S56" s="427"/>
      <c r="T56" s="427"/>
      <c r="U56" s="427"/>
      <c r="V56" s="427"/>
      <c r="W56" s="427"/>
      <c r="X56" s="427"/>
      <c r="Y56" s="428"/>
      <c r="Z56" s="427"/>
      <c r="AA56" s="427"/>
      <c r="AB56" s="427"/>
      <c r="AC56" s="429"/>
      <c r="AD56" s="434"/>
      <c r="AF56" s="13"/>
      <c r="AG56" s="13"/>
      <c r="AH56" s="13"/>
    </row>
    <row r="57" spans="1:36" ht="8.25" customHeight="1" x14ac:dyDescent="0.2">
      <c r="A57" s="430"/>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291"/>
      <c r="Z57" s="303"/>
      <c r="AA57" s="303"/>
      <c r="AB57" s="303"/>
      <c r="AC57" s="303"/>
      <c r="AD57" s="304"/>
    </row>
    <row r="58" spans="1:36" ht="30" hidden="1" customHeight="1" x14ac:dyDescent="0.2">
      <c r="A58" s="108"/>
      <c r="B58" s="448"/>
      <c r="C58" s="385"/>
      <c r="D58" s="109"/>
      <c r="E58" s="109"/>
      <c r="F58" s="110"/>
      <c r="G58" s="111"/>
      <c r="H58" s="110"/>
      <c r="I58" s="112"/>
      <c r="J58" s="111"/>
      <c r="K58" s="110"/>
      <c r="L58" s="113"/>
      <c r="M58" s="111"/>
      <c r="N58" s="114"/>
      <c r="O58" s="113"/>
      <c r="P58" s="111"/>
      <c r="Q58" s="114"/>
      <c r="R58" s="113"/>
      <c r="S58" s="111"/>
      <c r="T58" s="114"/>
      <c r="U58" s="110"/>
      <c r="V58" s="111"/>
      <c r="W58" s="110"/>
      <c r="X58" s="110"/>
      <c r="Y58" s="110"/>
      <c r="Z58" s="110"/>
      <c r="AA58" s="110"/>
      <c r="AB58" s="115"/>
      <c r="AC58" s="115"/>
      <c r="AD58" s="115"/>
    </row>
    <row r="59" spans="1:36" ht="30" hidden="1" customHeight="1" x14ac:dyDescent="0.2">
      <c r="A59" s="108"/>
      <c r="B59" s="448"/>
      <c r="C59" s="385"/>
      <c r="D59" s="109"/>
      <c r="E59" s="109"/>
      <c r="F59" s="110"/>
      <c r="G59" s="111"/>
      <c r="H59" s="110"/>
      <c r="I59" s="112"/>
      <c r="J59" s="111"/>
      <c r="K59" s="110"/>
      <c r="L59" s="113"/>
      <c r="M59" s="111"/>
      <c r="N59" s="114"/>
      <c r="O59" s="113"/>
      <c r="P59" s="111"/>
      <c r="Q59" s="114"/>
      <c r="R59" s="113"/>
      <c r="S59" s="111"/>
      <c r="T59" s="114"/>
      <c r="U59" s="110"/>
      <c r="V59" s="111"/>
      <c r="W59" s="110"/>
      <c r="X59" s="110"/>
      <c r="Y59" s="110"/>
      <c r="Z59" s="110"/>
      <c r="AA59" s="110"/>
      <c r="AB59" s="115"/>
      <c r="AC59" s="115"/>
      <c r="AD59" s="115"/>
    </row>
    <row r="60" spans="1:36" ht="30" hidden="1" customHeight="1" x14ac:dyDescent="0.2">
      <c r="A60" s="108"/>
      <c r="B60" s="448"/>
      <c r="C60" s="385"/>
      <c r="D60" s="109"/>
      <c r="E60" s="109"/>
      <c r="F60" s="110"/>
      <c r="G60" s="111"/>
      <c r="H60" s="110"/>
      <c r="I60" s="112"/>
      <c r="J60" s="111"/>
      <c r="K60" s="110"/>
      <c r="L60" s="113"/>
      <c r="M60" s="111"/>
      <c r="N60" s="114"/>
      <c r="O60" s="113"/>
      <c r="P60" s="111"/>
      <c r="Q60" s="114"/>
      <c r="R60" s="113"/>
      <c r="S60" s="111"/>
      <c r="T60" s="114"/>
      <c r="U60" s="110"/>
      <c r="V60" s="111"/>
      <c r="W60" s="110"/>
      <c r="X60" s="110"/>
      <c r="Y60" s="110"/>
      <c r="Z60" s="110"/>
      <c r="AA60" s="110"/>
      <c r="AB60" s="115"/>
      <c r="AC60" s="115"/>
      <c r="AD60" s="115"/>
    </row>
    <row r="61" spans="1:36" ht="30" hidden="1" customHeight="1" x14ac:dyDescent="0.2">
      <c r="A61" s="108"/>
      <c r="B61" s="448"/>
      <c r="C61" s="385"/>
      <c r="D61" s="109"/>
      <c r="E61" s="109"/>
      <c r="F61" s="110"/>
      <c r="G61" s="111"/>
      <c r="H61" s="110"/>
      <c r="I61" s="112"/>
      <c r="J61" s="111"/>
      <c r="K61" s="110"/>
      <c r="L61" s="113"/>
      <c r="M61" s="111"/>
      <c r="N61" s="114"/>
      <c r="O61" s="113"/>
      <c r="P61" s="111"/>
      <c r="Q61" s="114"/>
      <c r="R61" s="113"/>
      <c r="S61" s="111"/>
      <c r="T61" s="114"/>
      <c r="U61" s="110"/>
      <c r="V61" s="111"/>
      <c r="W61" s="110"/>
      <c r="X61" s="110"/>
      <c r="Y61" s="110"/>
      <c r="Z61" s="110"/>
      <c r="AA61" s="110"/>
      <c r="AB61" s="115"/>
      <c r="AC61" s="115"/>
      <c r="AD61" s="115"/>
    </row>
    <row r="62" spans="1:36" ht="30" hidden="1" customHeight="1" x14ac:dyDescent="0.2">
      <c r="A62" s="108"/>
      <c r="B62" s="448"/>
      <c r="C62" s="385"/>
      <c r="D62" s="109"/>
      <c r="E62" s="109"/>
      <c r="F62" s="110"/>
      <c r="G62" s="111"/>
      <c r="H62" s="110"/>
      <c r="I62" s="112"/>
      <c r="J62" s="111"/>
      <c r="K62" s="110"/>
      <c r="L62" s="113"/>
      <c r="M62" s="111"/>
      <c r="N62" s="114"/>
      <c r="O62" s="113"/>
      <c r="P62" s="111"/>
      <c r="Q62" s="114"/>
      <c r="R62" s="113"/>
      <c r="S62" s="111"/>
      <c r="T62" s="114"/>
      <c r="U62" s="110"/>
      <c r="V62" s="111"/>
      <c r="W62" s="110"/>
      <c r="X62" s="110"/>
      <c r="Y62" s="110"/>
      <c r="Z62" s="110"/>
      <c r="AA62" s="110"/>
      <c r="AB62" s="115"/>
      <c r="AC62" s="115"/>
      <c r="AD62" s="115"/>
    </row>
    <row r="63" spans="1:36" ht="30" hidden="1" customHeight="1" x14ac:dyDescent="0.2">
      <c r="A63" s="108"/>
      <c r="B63" s="448"/>
      <c r="C63" s="385"/>
      <c r="D63" s="109"/>
      <c r="E63" s="109"/>
      <c r="F63" s="110"/>
      <c r="G63" s="111"/>
      <c r="H63" s="110"/>
      <c r="I63" s="112"/>
      <c r="J63" s="111"/>
      <c r="K63" s="110"/>
      <c r="L63" s="113"/>
      <c r="M63" s="111"/>
      <c r="N63" s="114"/>
      <c r="O63" s="113"/>
      <c r="P63" s="111"/>
      <c r="Q63" s="114"/>
      <c r="R63" s="113"/>
      <c r="S63" s="111"/>
      <c r="T63" s="114"/>
      <c r="U63" s="110"/>
      <c r="V63" s="111"/>
      <c r="W63" s="110"/>
      <c r="X63" s="110"/>
      <c r="Y63" s="110"/>
      <c r="Z63" s="110"/>
      <c r="AA63" s="110"/>
      <c r="AB63" s="115"/>
      <c r="AC63" s="115"/>
      <c r="AD63" s="115"/>
    </row>
    <row r="64" spans="1:36" ht="30" hidden="1" customHeight="1" x14ac:dyDescent="0.2">
      <c r="A64" s="108"/>
      <c r="B64" s="448"/>
      <c r="C64" s="385"/>
      <c r="D64" s="109"/>
      <c r="E64" s="109"/>
      <c r="F64" s="110"/>
      <c r="G64" s="111"/>
      <c r="H64" s="110"/>
      <c r="I64" s="112"/>
      <c r="J64" s="111"/>
      <c r="K64" s="110"/>
      <c r="L64" s="113"/>
      <c r="M64" s="111"/>
      <c r="N64" s="114"/>
      <c r="O64" s="113"/>
      <c r="P64" s="111"/>
      <c r="Q64" s="114"/>
      <c r="R64" s="113"/>
      <c r="S64" s="111"/>
      <c r="T64" s="114"/>
      <c r="U64" s="110"/>
      <c r="V64" s="111"/>
      <c r="W64" s="110"/>
      <c r="X64" s="110"/>
      <c r="Y64" s="110"/>
      <c r="Z64" s="110"/>
      <c r="AA64" s="110"/>
      <c r="AB64" s="115"/>
      <c r="AC64" s="115"/>
      <c r="AD64" s="115"/>
    </row>
    <row r="65" spans="1:30" ht="30" hidden="1" customHeight="1" x14ac:dyDescent="0.2">
      <c r="A65" s="108"/>
      <c r="B65" s="448"/>
      <c r="C65" s="385"/>
      <c r="D65" s="109"/>
      <c r="E65" s="109"/>
      <c r="F65" s="110"/>
      <c r="G65" s="111"/>
      <c r="H65" s="110"/>
      <c r="I65" s="112"/>
      <c r="J65" s="111"/>
      <c r="K65" s="110"/>
      <c r="L65" s="113"/>
      <c r="M65" s="111"/>
      <c r="N65" s="114"/>
      <c r="O65" s="113"/>
      <c r="P65" s="111"/>
      <c r="Q65" s="114"/>
      <c r="R65" s="113"/>
      <c r="S65" s="111"/>
      <c r="T65" s="114"/>
      <c r="U65" s="110"/>
      <c r="V65" s="111"/>
      <c r="W65" s="110"/>
      <c r="X65" s="110"/>
      <c r="Y65" s="110"/>
      <c r="Z65" s="110"/>
      <c r="AA65" s="110"/>
      <c r="AB65" s="115"/>
      <c r="AC65" s="115"/>
      <c r="AD65" s="115"/>
    </row>
    <row r="66" spans="1:30" ht="30" hidden="1" customHeight="1" x14ac:dyDescent="0.2">
      <c r="A66" s="108"/>
      <c r="B66" s="448"/>
      <c r="C66" s="385"/>
      <c r="D66" s="109"/>
      <c r="E66" s="109"/>
      <c r="F66" s="110"/>
      <c r="G66" s="111"/>
      <c r="H66" s="110"/>
      <c r="I66" s="112"/>
      <c r="J66" s="111"/>
      <c r="K66" s="110"/>
      <c r="L66" s="113"/>
      <c r="M66" s="111"/>
      <c r="N66" s="114"/>
      <c r="O66" s="113"/>
      <c r="P66" s="111"/>
      <c r="Q66" s="114"/>
      <c r="R66" s="113"/>
      <c r="S66" s="111"/>
      <c r="T66" s="114"/>
      <c r="U66" s="110"/>
      <c r="V66" s="111"/>
      <c r="W66" s="110"/>
      <c r="X66" s="110"/>
      <c r="Y66" s="110"/>
      <c r="Z66" s="110"/>
      <c r="AA66" s="110"/>
      <c r="AB66" s="115"/>
      <c r="AC66" s="115"/>
      <c r="AD66" s="115"/>
    </row>
    <row r="67" spans="1:30" ht="30" hidden="1" customHeight="1" x14ac:dyDescent="0.2">
      <c r="A67" s="108"/>
      <c r="B67" s="448"/>
      <c r="C67" s="385"/>
      <c r="D67" s="109"/>
      <c r="E67" s="109"/>
      <c r="F67" s="110"/>
      <c r="G67" s="111"/>
      <c r="H67" s="110"/>
      <c r="I67" s="112"/>
      <c r="J67" s="111"/>
      <c r="K67" s="110"/>
      <c r="L67" s="113"/>
      <c r="M67" s="111"/>
      <c r="N67" s="114"/>
      <c r="O67" s="113"/>
      <c r="P67" s="111"/>
      <c r="Q67" s="114"/>
      <c r="R67" s="113"/>
      <c r="S67" s="111"/>
      <c r="T67" s="114"/>
      <c r="U67" s="110"/>
      <c r="V67" s="111"/>
      <c r="W67" s="110"/>
      <c r="X67" s="110"/>
      <c r="Y67" s="110"/>
      <c r="Z67" s="110"/>
      <c r="AA67" s="110"/>
      <c r="AB67" s="115"/>
      <c r="AC67" s="115"/>
      <c r="AD67" s="115"/>
    </row>
    <row r="68" spans="1:30" ht="30" hidden="1" customHeight="1" x14ac:dyDescent="0.2">
      <c r="A68" s="108"/>
      <c r="B68" s="448"/>
      <c r="C68" s="385"/>
      <c r="D68" s="109"/>
      <c r="E68" s="109"/>
      <c r="F68" s="110"/>
      <c r="G68" s="111"/>
      <c r="H68" s="110"/>
      <c r="I68" s="112"/>
      <c r="J68" s="111"/>
      <c r="K68" s="110"/>
      <c r="L68" s="113"/>
      <c r="M68" s="111"/>
      <c r="N68" s="114"/>
      <c r="O68" s="113"/>
      <c r="P68" s="111"/>
      <c r="Q68" s="114"/>
      <c r="R68" s="113"/>
      <c r="S68" s="111"/>
      <c r="T68" s="114"/>
      <c r="U68" s="110"/>
      <c r="V68" s="111"/>
      <c r="W68" s="110"/>
      <c r="X68" s="110"/>
      <c r="Y68" s="110"/>
      <c r="Z68" s="110"/>
      <c r="AA68" s="110"/>
      <c r="AB68" s="115"/>
      <c r="AC68" s="115"/>
      <c r="AD68" s="115"/>
    </row>
    <row r="69" spans="1:30" ht="30" hidden="1" customHeight="1" x14ac:dyDescent="0.2">
      <c r="A69" s="108"/>
      <c r="B69" s="448"/>
      <c r="C69" s="385"/>
      <c r="D69" s="109"/>
      <c r="E69" s="109"/>
      <c r="F69" s="110"/>
      <c r="G69" s="111"/>
      <c r="H69" s="110"/>
      <c r="I69" s="112"/>
      <c r="J69" s="111"/>
      <c r="K69" s="110"/>
      <c r="L69" s="113"/>
      <c r="M69" s="111"/>
      <c r="N69" s="114"/>
      <c r="O69" s="113"/>
      <c r="P69" s="111"/>
      <c r="Q69" s="114"/>
      <c r="R69" s="113"/>
      <c r="S69" s="111"/>
      <c r="T69" s="114"/>
      <c r="U69" s="110"/>
      <c r="V69" s="111"/>
      <c r="W69" s="110"/>
      <c r="X69" s="110"/>
      <c r="Y69" s="110"/>
      <c r="Z69" s="110"/>
      <c r="AA69" s="110"/>
      <c r="AB69" s="115"/>
      <c r="AC69" s="115"/>
      <c r="AD69" s="115"/>
    </row>
    <row r="70" spans="1:30" ht="30" hidden="1" customHeight="1" x14ac:dyDescent="0.2">
      <c r="A70" s="108"/>
      <c r="B70" s="448"/>
      <c r="C70" s="385"/>
      <c r="D70" s="109"/>
      <c r="E70" s="109"/>
      <c r="F70" s="110"/>
      <c r="G70" s="111"/>
      <c r="H70" s="110"/>
      <c r="I70" s="112"/>
      <c r="J70" s="111"/>
      <c r="K70" s="110"/>
      <c r="L70" s="113"/>
      <c r="M70" s="111"/>
      <c r="N70" s="114"/>
      <c r="O70" s="113"/>
      <c r="P70" s="111"/>
      <c r="Q70" s="114"/>
      <c r="R70" s="113"/>
      <c r="S70" s="111"/>
      <c r="T70" s="114"/>
      <c r="U70" s="110"/>
      <c r="V70" s="111"/>
      <c r="W70" s="110"/>
      <c r="X70" s="110"/>
      <c r="Y70" s="110"/>
      <c r="Z70" s="110"/>
      <c r="AA70" s="110"/>
      <c r="AB70" s="115"/>
      <c r="AC70" s="115"/>
      <c r="AD70" s="115"/>
    </row>
    <row r="71" spans="1:30" ht="30" hidden="1" customHeight="1" x14ac:dyDescent="0.2">
      <c r="A71" s="108"/>
      <c r="B71" s="448"/>
      <c r="C71" s="385"/>
      <c r="D71" s="109"/>
      <c r="E71" s="109"/>
      <c r="F71" s="110"/>
      <c r="G71" s="111"/>
      <c r="H71" s="110"/>
      <c r="I71" s="112"/>
      <c r="J71" s="111"/>
      <c r="K71" s="110"/>
      <c r="L71" s="113"/>
      <c r="M71" s="111"/>
      <c r="N71" s="114"/>
      <c r="O71" s="113"/>
      <c r="P71" s="111"/>
      <c r="Q71" s="114"/>
      <c r="R71" s="113"/>
      <c r="S71" s="111"/>
      <c r="T71" s="114"/>
      <c r="U71" s="110"/>
      <c r="V71" s="111"/>
      <c r="W71" s="110"/>
      <c r="X71" s="110"/>
      <c r="Y71" s="110"/>
      <c r="Z71" s="110"/>
      <c r="AA71" s="110"/>
      <c r="AB71" s="115"/>
      <c r="AC71" s="115"/>
      <c r="AD71" s="115"/>
    </row>
    <row r="72" spans="1:30" ht="30" hidden="1" customHeight="1" x14ac:dyDescent="0.2">
      <c r="A72" s="108"/>
      <c r="B72" s="448"/>
      <c r="C72" s="385"/>
      <c r="D72" s="109"/>
      <c r="E72" s="109"/>
      <c r="F72" s="110"/>
      <c r="G72" s="111"/>
      <c r="H72" s="110"/>
      <c r="I72" s="112"/>
      <c r="J72" s="111"/>
      <c r="K72" s="110"/>
      <c r="L72" s="113"/>
      <c r="M72" s="111"/>
      <c r="N72" s="114"/>
      <c r="O72" s="113"/>
      <c r="P72" s="111"/>
      <c r="Q72" s="114"/>
      <c r="R72" s="113"/>
      <c r="S72" s="111"/>
      <c r="T72" s="114"/>
      <c r="U72" s="110"/>
      <c r="V72" s="111"/>
      <c r="W72" s="110"/>
      <c r="X72" s="110"/>
      <c r="Y72" s="110"/>
      <c r="Z72" s="110"/>
      <c r="AA72" s="110"/>
      <c r="AB72" s="115"/>
      <c r="AC72" s="115"/>
      <c r="AD72" s="115"/>
    </row>
    <row r="73" spans="1:30" ht="30" hidden="1" customHeight="1" x14ac:dyDescent="0.2">
      <c r="A73" s="108"/>
      <c r="B73" s="448"/>
      <c r="C73" s="385"/>
      <c r="D73" s="109"/>
      <c r="E73" s="109"/>
      <c r="F73" s="110"/>
      <c r="G73" s="111"/>
      <c r="H73" s="110"/>
      <c r="I73" s="112"/>
      <c r="J73" s="111"/>
      <c r="K73" s="110"/>
      <c r="L73" s="113"/>
      <c r="M73" s="111"/>
      <c r="N73" s="114"/>
      <c r="O73" s="113"/>
      <c r="P73" s="111"/>
      <c r="Q73" s="114"/>
      <c r="R73" s="113"/>
      <c r="S73" s="111"/>
      <c r="T73" s="114"/>
      <c r="U73" s="110"/>
      <c r="V73" s="111"/>
      <c r="W73" s="110"/>
      <c r="X73" s="110"/>
      <c r="Y73" s="110"/>
      <c r="Z73" s="110"/>
      <c r="AA73" s="110"/>
      <c r="AB73" s="115"/>
      <c r="AC73" s="115"/>
      <c r="AD73" s="115"/>
    </row>
    <row r="74" spans="1:30" ht="30" hidden="1" customHeight="1" x14ac:dyDescent="0.2">
      <c r="A74" s="108"/>
      <c r="B74" s="448"/>
      <c r="C74" s="385"/>
      <c r="D74" s="109"/>
      <c r="E74" s="109"/>
      <c r="F74" s="110"/>
      <c r="G74" s="111"/>
      <c r="H74" s="110"/>
      <c r="I74" s="112"/>
      <c r="J74" s="111"/>
      <c r="K74" s="110"/>
      <c r="L74" s="113"/>
      <c r="M74" s="111"/>
      <c r="N74" s="114"/>
      <c r="O74" s="113"/>
      <c r="P74" s="111"/>
      <c r="Q74" s="114"/>
      <c r="R74" s="113"/>
      <c r="S74" s="111"/>
      <c r="T74" s="114"/>
      <c r="U74" s="110"/>
      <c r="V74" s="111"/>
      <c r="W74" s="110"/>
      <c r="X74" s="110"/>
      <c r="Y74" s="110"/>
      <c r="Z74" s="110"/>
      <c r="AA74" s="110"/>
      <c r="AB74" s="115"/>
      <c r="AC74" s="115"/>
      <c r="AD74" s="115"/>
    </row>
    <row r="75" spans="1:30" ht="30" hidden="1" customHeight="1" x14ac:dyDescent="0.2">
      <c r="A75" s="108"/>
      <c r="B75" s="448"/>
      <c r="C75" s="385"/>
      <c r="D75" s="109"/>
      <c r="E75" s="109"/>
      <c r="F75" s="110"/>
      <c r="G75" s="111"/>
      <c r="H75" s="110"/>
      <c r="I75" s="112"/>
      <c r="J75" s="111"/>
      <c r="K75" s="110"/>
      <c r="L75" s="113"/>
      <c r="M75" s="111"/>
      <c r="N75" s="114"/>
      <c r="O75" s="113"/>
      <c r="P75" s="111"/>
      <c r="Q75" s="114"/>
      <c r="R75" s="113"/>
      <c r="S75" s="111"/>
      <c r="T75" s="114"/>
      <c r="U75" s="110"/>
      <c r="V75" s="111"/>
      <c r="W75" s="110"/>
      <c r="X75" s="110"/>
      <c r="Y75" s="110"/>
      <c r="Z75" s="110"/>
      <c r="AA75" s="110"/>
      <c r="AB75" s="115"/>
      <c r="AC75" s="115"/>
      <c r="AD75" s="115"/>
    </row>
    <row r="76" spans="1:30" ht="30" hidden="1" customHeight="1" x14ac:dyDescent="0.2">
      <c r="A76" s="108"/>
      <c r="B76" s="448"/>
      <c r="C76" s="385"/>
      <c r="D76" s="109"/>
      <c r="E76" s="109"/>
      <c r="F76" s="110"/>
      <c r="G76" s="111"/>
      <c r="H76" s="110"/>
      <c r="I76" s="112"/>
      <c r="J76" s="111"/>
      <c r="K76" s="110"/>
      <c r="L76" s="113"/>
      <c r="M76" s="111"/>
      <c r="N76" s="114"/>
      <c r="O76" s="113"/>
      <c r="P76" s="111"/>
      <c r="Q76" s="114"/>
      <c r="R76" s="113"/>
      <c r="S76" s="111"/>
      <c r="T76" s="114"/>
      <c r="U76" s="110"/>
      <c r="V76" s="111"/>
      <c r="W76" s="110"/>
      <c r="X76" s="110"/>
      <c r="Y76" s="110"/>
      <c r="Z76" s="110"/>
      <c r="AA76" s="110"/>
      <c r="AB76" s="115"/>
      <c r="AC76" s="115"/>
      <c r="AD76" s="115"/>
    </row>
    <row r="77" spans="1:30" ht="30" hidden="1" customHeight="1" x14ac:dyDescent="0.2">
      <c r="A77" s="108"/>
      <c r="B77" s="448"/>
      <c r="C77" s="385"/>
      <c r="D77" s="109"/>
      <c r="E77" s="109"/>
      <c r="F77" s="110"/>
      <c r="G77" s="111"/>
      <c r="H77" s="110"/>
      <c r="I77" s="112"/>
      <c r="J77" s="111"/>
      <c r="K77" s="110"/>
      <c r="L77" s="113"/>
      <c r="M77" s="111"/>
      <c r="N77" s="114"/>
      <c r="O77" s="113"/>
      <c r="P77" s="111"/>
      <c r="Q77" s="114"/>
      <c r="R77" s="113"/>
      <c r="S77" s="111"/>
      <c r="T77" s="114"/>
      <c r="U77" s="110"/>
      <c r="V77" s="111"/>
      <c r="W77" s="110"/>
      <c r="X77" s="110"/>
      <c r="Y77" s="110"/>
      <c r="Z77" s="110"/>
      <c r="AA77" s="110"/>
      <c r="AB77" s="115"/>
      <c r="AC77" s="115"/>
      <c r="AD77" s="115"/>
    </row>
    <row r="78" spans="1:30" ht="30" hidden="1" customHeight="1" x14ac:dyDescent="0.2">
      <c r="A78" s="108"/>
      <c r="B78" s="448"/>
      <c r="C78" s="385"/>
      <c r="D78" s="109"/>
      <c r="E78" s="109"/>
      <c r="F78" s="110"/>
      <c r="G78" s="111"/>
      <c r="H78" s="110"/>
      <c r="I78" s="112"/>
      <c r="J78" s="111"/>
      <c r="K78" s="110"/>
      <c r="L78" s="113"/>
      <c r="M78" s="111"/>
      <c r="N78" s="114"/>
      <c r="O78" s="113"/>
      <c r="P78" s="111"/>
      <c r="Q78" s="114"/>
      <c r="R78" s="113"/>
      <c r="S78" s="111"/>
      <c r="T78" s="114"/>
      <c r="U78" s="110"/>
      <c r="V78" s="111"/>
      <c r="W78" s="110"/>
      <c r="X78" s="110"/>
      <c r="Y78" s="110"/>
      <c r="Z78" s="110"/>
      <c r="AA78" s="110"/>
      <c r="AB78" s="115"/>
      <c r="AC78" s="115"/>
      <c r="AD78" s="115"/>
    </row>
    <row r="79" spans="1:30" ht="30" hidden="1" customHeight="1" x14ac:dyDescent="0.2">
      <c r="A79" s="108"/>
      <c r="B79" s="448"/>
      <c r="C79" s="385"/>
      <c r="D79" s="109"/>
      <c r="E79" s="109"/>
      <c r="F79" s="110"/>
      <c r="G79" s="111"/>
      <c r="H79" s="110"/>
      <c r="I79" s="112"/>
      <c r="J79" s="111"/>
      <c r="K79" s="110"/>
      <c r="L79" s="113"/>
      <c r="M79" s="111"/>
      <c r="N79" s="114"/>
      <c r="O79" s="113"/>
      <c r="P79" s="111"/>
      <c r="Q79" s="114"/>
      <c r="R79" s="113"/>
      <c r="S79" s="111"/>
      <c r="T79" s="114"/>
      <c r="U79" s="110"/>
      <c r="V79" s="111"/>
      <c r="W79" s="110"/>
      <c r="X79" s="110"/>
      <c r="Y79" s="110"/>
      <c r="Z79" s="110"/>
      <c r="AA79" s="110"/>
      <c r="AB79" s="115"/>
      <c r="AC79" s="115"/>
      <c r="AD79" s="115"/>
    </row>
    <row r="80" spans="1:30" ht="30" hidden="1" customHeight="1" x14ac:dyDescent="0.2">
      <c r="A80" s="108"/>
      <c r="B80" s="448"/>
      <c r="C80" s="385"/>
      <c r="D80" s="109"/>
      <c r="E80" s="109"/>
      <c r="F80" s="110"/>
      <c r="G80" s="111"/>
      <c r="H80" s="110"/>
      <c r="I80" s="112"/>
      <c r="J80" s="111"/>
      <c r="K80" s="110"/>
      <c r="L80" s="113"/>
      <c r="M80" s="111"/>
      <c r="N80" s="114"/>
      <c r="O80" s="113"/>
      <c r="P80" s="111"/>
      <c r="Q80" s="114"/>
      <c r="R80" s="113"/>
      <c r="S80" s="111"/>
      <c r="T80" s="114"/>
      <c r="U80" s="110"/>
      <c r="V80" s="111"/>
      <c r="W80" s="110"/>
      <c r="X80" s="110"/>
      <c r="Y80" s="110"/>
      <c r="Z80" s="110"/>
      <c r="AA80" s="110"/>
      <c r="AB80" s="115"/>
      <c r="AC80" s="115"/>
      <c r="AD80" s="115"/>
    </row>
    <row r="81" spans="1:30" ht="30" hidden="1" customHeight="1" x14ac:dyDescent="0.2">
      <c r="A81" s="108"/>
      <c r="B81" s="448"/>
      <c r="C81" s="385"/>
      <c r="D81" s="109"/>
      <c r="E81" s="109"/>
      <c r="F81" s="110"/>
      <c r="G81" s="111"/>
      <c r="H81" s="110"/>
      <c r="I81" s="112"/>
      <c r="J81" s="111"/>
      <c r="K81" s="110"/>
      <c r="L81" s="113"/>
      <c r="M81" s="111"/>
      <c r="N81" s="114"/>
      <c r="O81" s="113"/>
      <c r="P81" s="111"/>
      <c r="Q81" s="114"/>
      <c r="R81" s="113"/>
      <c r="S81" s="111"/>
      <c r="T81" s="114"/>
      <c r="U81" s="110"/>
      <c r="V81" s="111"/>
      <c r="W81" s="110"/>
      <c r="X81" s="110"/>
      <c r="Y81" s="110"/>
      <c r="Z81" s="110"/>
      <c r="AA81" s="110"/>
      <c r="AB81" s="115"/>
      <c r="AC81" s="115"/>
      <c r="AD81" s="115"/>
    </row>
    <row r="82" spans="1:30" ht="30" hidden="1" customHeight="1" x14ac:dyDescent="0.2">
      <c r="A82" s="108"/>
      <c r="B82" s="448"/>
      <c r="C82" s="385"/>
      <c r="D82" s="109"/>
      <c r="E82" s="109"/>
      <c r="F82" s="110"/>
      <c r="G82" s="111"/>
      <c r="H82" s="110"/>
      <c r="I82" s="112"/>
      <c r="J82" s="111"/>
      <c r="K82" s="110"/>
      <c r="L82" s="113"/>
      <c r="M82" s="111"/>
      <c r="N82" s="114"/>
      <c r="O82" s="113"/>
      <c r="P82" s="111"/>
      <c r="Q82" s="114"/>
      <c r="R82" s="113"/>
      <c r="S82" s="111"/>
      <c r="T82" s="114"/>
      <c r="U82" s="110"/>
      <c r="V82" s="111"/>
      <c r="W82" s="110"/>
      <c r="X82" s="110"/>
      <c r="Y82" s="110"/>
      <c r="Z82" s="110"/>
      <c r="AA82" s="110"/>
      <c r="AB82" s="115"/>
      <c r="AC82" s="115"/>
      <c r="AD82" s="115"/>
    </row>
    <row r="83" spans="1:30" ht="30" hidden="1" customHeight="1" x14ac:dyDescent="0.2">
      <c r="A83" s="108"/>
      <c r="B83" s="448"/>
      <c r="C83" s="385"/>
      <c r="D83" s="109"/>
      <c r="E83" s="109"/>
      <c r="F83" s="110"/>
      <c r="G83" s="111"/>
      <c r="H83" s="110"/>
      <c r="I83" s="112"/>
      <c r="J83" s="111"/>
      <c r="K83" s="110"/>
      <c r="L83" s="113"/>
      <c r="M83" s="111"/>
      <c r="N83" s="114"/>
      <c r="O83" s="113"/>
      <c r="P83" s="111"/>
      <c r="Q83" s="114"/>
      <c r="R83" s="113"/>
      <c r="S83" s="111"/>
      <c r="T83" s="114"/>
      <c r="U83" s="110"/>
      <c r="V83" s="111"/>
      <c r="W83" s="110"/>
      <c r="X83" s="110"/>
      <c r="Y83" s="110"/>
      <c r="Z83" s="110"/>
      <c r="AA83" s="110"/>
      <c r="AB83" s="115"/>
      <c r="AC83" s="115"/>
      <c r="AD83" s="115"/>
    </row>
    <row r="84" spans="1:30" ht="30" hidden="1" customHeight="1" x14ac:dyDescent="0.2">
      <c r="A84" s="108"/>
      <c r="B84" s="448"/>
      <c r="C84" s="385"/>
      <c r="D84" s="109"/>
      <c r="E84" s="109"/>
      <c r="F84" s="110"/>
      <c r="G84" s="111"/>
      <c r="H84" s="110"/>
      <c r="I84" s="112"/>
      <c r="J84" s="111"/>
      <c r="K84" s="110"/>
      <c r="L84" s="113"/>
      <c r="M84" s="111"/>
      <c r="N84" s="114"/>
      <c r="O84" s="113"/>
      <c r="P84" s="111"/>
      <c r="Q84" s="114"/>
      <c r="R84" s="113"/>
      <c r="S84" s="111"/>
      <c r="T84" s="114"/>
      <c r="U84" s="110"/>
      <c r="V84" s="111"/>
      <c r="W84" s="110"/>
      <c r="X84" s="110"/>
      <c r="Y84" s="110"/>
      <c r="Z84" s="110"/>
      <c r="AA84" s="110"/>
      <c r="AB84" s="115"/>
      <c r="AC84" s="115"/>
      <c r="AD84" s="115"/>
    </row>
    <row r="85" spans="1:30" ht="30" hidden="1" customHeight="1" x14ac:dyDescent="0.2">
      <c r="A85" s="108"/>
      <c r="B85" s="448"/>
      <c r="C85" s="385"/>
      <c r="D85" s="109"/>
      <c r="E85" s="109"/>
      <c r="F85" s="110"/>
      <c r="G85" s="111"/>
      <c r="H85" s="110"/>
      <c r="I85" s="112"/>
      <c r="J85" s="111"/>
      <c r="K85" s="110"/>
      <c r="L85" s="113"/>
      <c r="M85" s="111"/>
      <c r="N85" s="114"/>
      <c r="O85" s="113"/>
      <c r="P85" s="111"/>
      <c r="Q85" s="114"/>
      <c r="R85" s="113"/>
      <c r="S85" s="111"/>
      <c r="T85" s="114"/>
      <c r="U85" s="110"/>
      <c r="V85" s="111"/>
      <c r="W85" s="110"/>
      <c r="X85" s="110"/>
      <c r="Y85" s="110"/>
      <c r="Z85" s="110"/>
      <c r="AA85" s="110"/>
      <c r="AB85" s="115"/>
      <c r="AC85" s="115"/>
      <c r="AD85" s="115"/>
    </row>
    <row r="86" spans="1:30" ht="30" hidden="1" customHeight="1" x14ac:dyDescent="0.2">
      <c r="A86" s="108"/>
      <c r="B86" s="448"/>
      <c r="C86" s="385"/>
      <c r="D86" s="109"/>
      <c r="E86" s="109"/>
      <c r="F86" s="110"/>
      <c r="G86" s="111"/>
      <c r="H86" s="110"/>
      <c r="I86" s="112"/>
      <c r="J86" s="111"/>
      <c r="K86" s="110"/>
      <c r="L86" s="113"/>
      <c r="M86" s="111"/>
      <c r="N86" s="114"/>
      <c r="O86" s="113"/>
      <c r="P86" s="111"/>
      <c r="Q86" s="114"/>
      <c r="R86" s="113"/>
      <c r="S86" s="111"/>
      <c r="T86" s="114"/>
      <c r="U86" s="110"/>
      <c r="V86" s="111"/>
      <c r="W86" s="110"/>
      <c r="X86" s="110"/>
      <c r="Y86" s="110"/>
      <c r="Z86" s="110"/>
      <c r="AA86" s="110"/>
      <c r="AB86" s="115"/>
      <c r="AC86" s="115"/>
      <c r="AD86" s="115"/>
    </row>
    <row r="87" spans="1:30" ht="30" hidden="1" customHeight="1" x14ac:dyDescent="0.2">
      <c r="A87" s="108"/>
      <c r="B87" s="448"/>
      <c r="C87" s="385"/>
      <c r="D87" s="109"/>
      <c r="E87" s="109"/>
      <c r="F87" s="110"/>
      <c r="G87" s="111"/>
      <c r="H87" s="110"/>
      <c r="I87" s="112"/>
      <c r="J87" s="111"/>
      <c r="K87" s="110"/>
      <c r="L87" s="113"/>
      <c r="M87" s="111"/>
      <c r="N87" s="114"/>
      <c r="O87" s="113"/>
      <c r="P87" s="111"/>
      <c r="Q87" s="114"/>
      <c r="R87" s="113"/>
      <c r="S87" s="111"/>
      <c r="T87" s="114"/>
      <c r="U87" s="110"/>
      <c r="V87" s="111"/>
      <c r="W87" s="110"/>
      <c r="X87" s="110"/>
      <c r="Y87" s="110"/>
      <c r="Z87" s="110"/>
      <c r="AA87" s="110"/>
      <c r="AB87" s="115"/>
      <c r="AC87" s="115"/>
      <c r="AD87" s="115"/>
    </row>
    <row r="88" spans="1:30" ht="30" hidden="1" customHeight="1" x14ac:dyDescent="0.2">
      <c r="A88" s="108"/>
      <c r="B88" s="448"/>
      <c r="C88" s="385"/>
      <c r="D88" s="109"/>
      <c r="E88" s="109"/>
      <c r="F88" s="110"/>
      <c r="G88" s="111"/>
      <c r="H88" s="110"/>
      <c r="I88" s="112"/>
      <c r="J88" s="111"/>
      <c r="K88" s="110"/>
      <c r="L88" s="113"/>
      <c r="M88" s="111"/>
      <c r="N88" s="114"/>
      <c r="O88" s="113"/>
      <c r="P88" s="111"/>
      <c r="Q88" s="114"/>
      <c r="R88" s="113"/>
      <c r="S88" s="111"/>
      <c r="T88" s="114"/>
      <c r="U88" s="110"/>
      <c r="V88" s="111"/>
      <c r="W88" s="110"/>
      <c r="X88" s="110"/>
      <c r="Y88" s="110"/>
      <c r="Z88" s="110"/>
      <c r="AA88" s="110"/>
      <c r="AB88" s="115"/>
      <c r="AC88" s="115"/>
      <c r="AD88" s="115"/>
    </row>
    <row r="89" spans="1:30" ht="30" hidden="1" customHeight="1" x14ac:dyDescent="0.2">
      <c r="A89" s="108"/>
      <c r="B89" s="448"/>
      <c r="C89" s="385"/>
      <c r="D89" s="109"/>
      <c r="E89" s="109"/>
      <c r="F89" s="110"/>
      <c r="G89" s="111"/>
      <c r="H89" s="110"/>
      <c r="I89" s="112"/>
      <c r="J89" s="111"/>
      <c r="K89" s="110"/>
      <c r="L89" s="113"/>
      <c r="M89" s="111"/>
      <c r="N89" s="114"/>
      <c r="O89" s="113"/>
      <c r="P89" s="111"/>
      <c r="Q89" s="114"/>
      <c r="R89" s="113"/>
      <c r="S89" s="111"/>
      <c r="T89" s="114"/>
      <c r="U89" s="110"/>
      <c r="V89" s="111"/>
      <c r="W89" s="110"/>
      <c r="X89" s="110"/>
      <c r="Y89" s="110"/>
      <c r="Z89" s="110"/>
      <c r="AA89" s="110"/>
      <c r="AB89" s="115"/>
      <c r="AC89" s="115"/>
      <c r="AD89" s="115"/>
    </row>
    <row r="90" spans="1:30" ht="30" hidden="1" customHeight="1" x14ac:dyDescent="0.2">
      <c r="A90" s="108"/>
      <c r="B90" s="448"/>
      <c r="C90" s="385"/>
      <c r="D90" s="109"/>
      <c r="E90" s="109"/>
      <c r="F90" s="110"/>
      <c r="G90" s="111"/>
      <c r="H90" s="110"/>
      <c r="I90" s="112"/>
      <c r="J90" s="111"/>
      <c r="K90" s="110"/>
      <c r="L90" s="113"/>
      <c r="M90" s="111"/>
      <c r="N90" s="114"/>
      <c r="O90" s="113"/>
      <c r="P90" s="111"/>
      <c r="Q90" s="114"/>
      <c r="R90" s="113"/>
      <c r="S90" s="111"/>
      <c r="T90" s="114"/>
      <c r="U90" s="110"/>
      <c r="V90" s="111"/>
      <c r="W90" s="110"/>
      <c r="X90" s="110"/>
      <c r="Y90" s="110"/>
      <c r="Z90" s="110"/>
      <c r="AA90" s="110"/>
      <c r="AB90" s="115"/>
      <c r="AC90" s="115"/>
      <c r="AD90" s="115"/>
    </row>
    <row r="91" spans="1:30" ht="30" hidden="1" customHeight="1" x14ac:dyDescent="0.2">
      <c r="A91" s="108"/>
      <c r="B91" s="448"/>
      <c r="C91" s="385"/>
      <c r="D91" s="109"/>
      <c r="E91" s="109"/>
      <c r="F91" s="110"/>
      <c r="G91" s="111"/>
      <c r="H91" s="110"/>
      <c r="I91" s="112"/>
      <c r="J91" s="111"/>
      <c r="K91" s="110"/>
      <c r="L91" s="113"/>
      <c r="M91" s="111"/>
      <c r="N91" s="114"/>
      <c r="O91" s="113"/>
      <c r="P91" s="111"/>
      <c r="Q91" s="114"/>
      <c r="R91" s="113"/>
      <c r="S91" s="111"/>
      <c r="T91" s="114"/>
      <c r="U91" s="110"/>
      <c r="V91" s="111"/>
      <c r="W91" s="110"/>
      <c r="X91" s="110"/>
      <c r="Y91" s="110"/>
      <c r="Z91" s="110"/>
      <c r="AA91" s="110"/>
      <c r="AB91" s="115"/>
      <c r="AC91" s="115"/>
      <c r="AD91" s="115"/>
    </row>
    <row r="92" spans="1:30" ht="30" hidden="1" customHeight="1" x14ac:dyDescent="0.2">
      <c r="A92" s="108"/>
      <c r="B92" s="448"/>
      <c r="C92" s="385"/>
      <c r="D92" s="109"/>
      <c r="E92" s="109"/>
      <c r="F92" s="110"/>
      <c r="G92" s="111"/>
      <c r="H92" s="110"/>
      <c r="I92" s="112"/>
      <c r="J92" s="111"/>
      <c r="K92" s="110"/>
      <c r="L92" s="113"/>
      <c r="M92" s="111"/>
      <c r="N92" s="114"/>
      <c r="O92" s="113"/>
      <c r="P92" s="111"/>
      <c r="Q92" s="114"/>
      <c r="R92" s="113"/>
      <c r="S92" s="111"/>
      <c r="T92" s="114"/>
      <c r="U92" s="110"/>
      <c r="V92" s="111"/>
      <c r="W92" s="110"/>
      <c r="X92" s="110"/>
      <c r="Y92" s="110"/>
      <c r="Z92" s="110"/>
      <c r="AA92" s="110"/>
      <c r="AB92" s="115"/>
      <c r="AC92" s="115"/>
      <c r="AD92" s="115"/>
    </row>
    <row r="93" spans="1:30" ht="30" hidden="1" customHeight="1" x14ac:dyDescent="0.2">
      <c r="A93" s="108"/>
      <c r="B93" s="448"/>
      <c r="C93" s="385"/>
      <c r="D93" s="109"/>
      <c r="E93" s="109"/>
      <c r="F93" s="110"/>
      <c r="G93" s="111"/>
      <c r="H93" s="110"/>
      <c r="I93" s="112"/>
      <c r="J93" s="111"/>
      <c r="K93" s="110"/>
      <c r="L93" s="113"/>
      <c r="M93" s="111"/>
      <c r="N93" s="114"/>
      <c r="O93" s="113"/>
      <c r="P93" s="111"/>
      <c r="Q93" s="114"/>
      <c r="R93" s="113"/>
      <c r="S93" s="111"/>
      <c r="T93" s="114"/>
      <c r="U93" s="110"/>
      <c r="V93" s="111"/>
      <c r="W93" s="110"/>
      <c r="X93" s="110"/>
      <c r="Y93" s="110"/>
      <c r="Z93" s="110"/>
      <c r="AA93" s="110"/>
      <c r="AB93" s="115"/>
      <c r="AC93" s="115"/>
      <c r="AD93" s="115"/>
    </row>
    <row r="94" spans="1:30" ht="30" hidden="1" customHeight="1" x14ac:dyDescent="0.2">
      <c r="A94" s="108"/>
      <c r="B94" s="448"/>
      <c r="C94" s="385"/>
      <c r="D94" s="109"/>
      <c r="E94" s="109"/>
      <c r="F94" s="110"/>
      <c r="G94" s="111"/>
      <c r="H94" s="110"/>
      <c r="I94" s="112"/>
      <c r="J94" s="111"/>
      <c r="K94" s="110"/>
      <c r="L94" s="113"/>
      <c r="M94" s="111"/>
      <c r="N94" s="114"/>
      <c r="O94" s="113"/>
      <c r="P94" s="111"/>
      <c r="Q94" s="114"/>
      <c r="R94" s="113"/>
      <c r="S94" s="111"/>
      <c r="T94" s="114"/>
      <c r="U94" s="110"/>
      <c r="V94" s="111"/>
      <c r="W94" s="110"/>
      <c r="X94" s="110"/>
      <c r="Y94" s="110"/>
      <c r="Z94" s="110"/>
      <c r="AA94" s="110"/>
      <c r="AB94" s="115"/>
      <c r="AC94" s="115"/>
      <c r="AD94" s="115"/>
    </row>
    <row r="95" spans="1:30" ht="30" hidden="1" customHeight="1" x14ac:dyDescent="0.2">
      <c r="A95" s="108"/>
      <c r="B95" s="448"/>
      <c r="C95" s="385"/>
      <c r="D95" s="109"/>
      <c r="E95" s="109"/>
      <c r="F95" s="110"/>
      <c r="G95" s="111"/>
      <c r="H95" s="110"/>
      <c r="I95" s="112"/>
      <c r="J95" s="111"/>
      <c r="K95" s="110"/>
      <c r="L95" s="113"/>
      <c r="M95" s="111"/>
      <c r="N95" s="114"/>
      <c r="O95" s="113"/>
      <c r="P95" s="111"/>
      <c r="Q95" s="114"/>
      <c r="R95" s="113"/>
      <c r="S95" s="111"/>
      <c r="T95" s="114"/>
      <c r="U95" s="110"/>
      <c r="V95" s="111"/>
      <c r="W95" s="110"/>
      <c r="X95" s="110"/>
      <c r="Y95" s="110"/>
      <c r="Z95" s="110"/>
      <c r="AA95" s="110"/>
      <c r="AB95" s="115"/>
      <c r="AC95" s="115"/>
      <c r="AD95" s="115"/>
    </row>
    <row r="96" spans="1:30" ht="30" hidden="1" customHeight="1" x14ac:dyDescent="0.2">
      <c r="A96" s="108"/>
      <c r="B96" s="448"/>
      <c r="C96" s="385"/>
      <c r="D96" s="109"/>
      <c r="E96" s="109"/>
      <c r="F96" s="110"/>
      <c r="G96" s="111"/>
      <c r="H96" s="110"/>
      <c r="I96" s="112"/>
      <c r="J96" s="111"/>
      <c r="K96" s="110"/>
      <c r="L96" s="113"/>
      <c r="M96" s="111"/>
      <c r="N96" s="114"/>
      <c r="O96" s="113"/>
      <c r="P96" s="111"/>
      <c r="Q96" s="114"/>
      <c r="R96" s="113"/>
      <c r="S96" s="111"/>
      <c r="T96" s="114"/>
      <c r="U96" s="110"/>
      <c r="V96" s="111"/>
      <c r="W96" s="110"/>
      <c r="X96" s="110"/>
      <c r="Y96" s="110"/>
      <c r="Z96" s="110"/>
      <c r="AA96" s="110"/>
      <c r="AB96" s="115"/>
      <c r="AC96" s="115"/>
      <c r="AD96" s="115"/>
    </row>
    <row r="97" spans="1:30" ht="30" hidden="1" customHeight="1" x14ac:dyDescent="0.2">
      <c r="A97" s="108"/>
      <c r="B97" s="448"/>
      <c r="C97" s="385"/>
      <c r="D97" s="109"/>
      <c r="E97" s="109"/>
      <c r="F97" s="110"/>
      <c r="G97" s="111"/>
      <c r="H97" s="110"/>
      <c r="I97" s="112"/>
      <c r="J97" s="111"/>
      <c r="K97" s="110"/>
      <c r="L97" s="113"/>
      <c r="M97" s="111"/>
      <c r="N97" s="114"/>
      <c r="O97" s="113"/>
      <c r="P97" s="111"/>
      <c r="Q97" s="114"/>
      <c r="R97" s="113"/>
      <c r="S97" s="111"/>
      <c r="T97" s="114"/>
      <c r="U97" s="110"/>
      <c r="V97" s="111"/>
      <c r="W97" s="110"/>
      <c r="X97" s="110"/>
      <c r="Y97" s="110"/>
      <c r="Z97" s="110"/>
      <c r="AA97" s="110"/>
      <c r="AB97" s="115"/>
      <c r="AC97" s="115"/>
      <c r="AD97" s="115"/>
    </row>
    <row r="98" spans="1:30" ht="30" hidden="1" customHeight="1" x14ac:dyDescent="0.2">
      <c r="A98" s="108"/>
      <c r="B98" s="448"/>
      <c r="C98" s="385"/>
      <c r="D98" s="109"/>
      <c r="E98" s="109"/>
      <c r="F98" s="110"/>
      <c r="G98" s="111"/>
      <c r="H98" s="110"/>
      <c r="I98" s="112"/>
      <c r="J98" s="111"/>
      <c r="K98" s="110"/>
      <c r="L98" s="113"/>
      <c r="M98" s="111"/>
      <c r="N98" s="114"/>
      <c r="O98" s="113"/>
      <c r="P98" s="111"/>
      <c r="Q98" s="114"/>
      <c r="R98" s="113"/>
      <c r="S98" s="111"/>
      <c r="T98" s="114"/>
      <c r="U98" s="110"/>
      <c r="V98" s="111"/>
      <c r="W98" s="110"/>
      <c r="X98" s="110"/>
      <c r="Y98" s="110"/>
      <c r="Z98" s="110"/>
      <c r="AA98" s="110"/>
      <c r="AB98" s="115"/>
      <c r="AC98" s="115"/>
      <c r="AD98" s="115"/>
    </row>
    <row r="99" spans="1:30" ht="30" hidden="1" customHeight="1" x14ac:dyDescent="0.2">
      <c r="A99" s="108"/>
      <c r="B99" s="448"/>
      <c r="C99" s="385"/>
      <c r="D99" s="109"/>
      <c r="E99" s="109"/>
      <c r="F99" s="110"/>
      <c r="G99" s="111"/>
      <c r="H99" s="110"/>
      <c r="I99" s="112"/>
      <c r="J99" s="111"/>
      <c r="K99" s="110"/>
      <c r="L99" s="113"/>
      <c r="M99" s="111"/>
      <c r="N99" s="114"/>
      <c r="O99" s="113"/>
      <c r="P99" s="111"/>
      <c r="Q99" s="114"/>
      <c r="R99" s="113"/>
      <c r="S99" s="111"/>
      <c r="T99" s="114"/>
      <c r="U99" s="110"/>
      <c r="V99" s="111"/>
      <c r="W99" s="110"/>
      <c r="X99" s="110"/>
      <c r="Y99" s="110"/>
      <c r="Z99" s="110"/>
      <c r="AA99" s="110"/>
      <c r="AB99" s="115"/>
      <c r="AC99" s="115"/>
      <c r="AD99" s="115"/>
    </row>
    <row r="100" spans="1:30" ht="30" hidden="1" customHeight="1" x14ac:dyDescent="0.2">
      <c r="A100" s="108"/>
      <c r="B100" s="448"/>
      <c r="C100" s="385"/>
      <c r="D100" s="109"/>
      <c r="E100" s="109"/>
      <c r="F100" s="110"/>
      <c r="G100" s="111"/>
      <c r="H100" s="110"/>
      <c r="I100" s="112"/>
      <c r="J100" s="111"/>
      <c r="K100" s="110"/>
      <c r="L100" s="113"/>
      <c r="M100" s="111"/>
      <c r="N100" s="114"/>
      <c r="O100" s="113"/>
      <c r="P100" s="111"/>
      <c r="Q100" s="114"/>
      <c r="R100" s="113"/>
      <c r="S100" s="111"/>
      <c r="T100" s="114"/>
      <c r="U100" s="110"/>
      <c r="V100" s="111"/>
      <c r="W100" s="110"/>
      <c r="X100" s="110"/>
      <c r="Y100" s="110"/>
      <c r="Z100" s="110"/>
      <c r="AA100" s="110"/>
      <c r="AB100" s="115"/>
      <c r="AC100" s="115"/>
      <c r="AD100" s="115"/>
    </row>
    <row r="101" spans="1:30" ht="30" hidden="1" customHeight="1" x14ac:dyDescent="0.2">
      <c r="A101" s="108"/>
      <c r="B101" s="448"/>
      <c r="C101" s="385"/>
      <c r="D101" s="109"/>
      <c r="E101" s="109"/>
      <c r="F101" s="110"/>
      <c r="G101" s="111"/>
      <c r="H101" s="110"/>
      <c r="I101" s="112"/>
      <c r="J101" s="111"/>
      <c r="K101" s="110"/>
      <c r="L101" s="113"/>
      <c r="M101" s="111"/>
      <c r="N101" s="114"/>
      <c r="O101" s="113"/>
      <c r="P101" s="111"/>
      <c r="Q101" s="114"/>
      <c r="R101" s="113"/>
      <c r="S101" s="111"/>
      <c r="T101" s="114"/>
      <c r="U101" s="110"/>
      <c r="V101" s="111"/>
      <c r="W101" s="110"/>
      <c r="X101" s="110"/>
      <c r="Y101" s="110"/>
      <c r="Z101" s="110"/>
      <c r="AA101" s="110"/>
      <c r="AB101" s="115"/>
      <c r="AC101" s="115"/>
      <c r="AD101" s="115"/>
    </row>
    <row r="102" spans="1:30" ht="30" hidden="1" customHeight="1" x14ac:dyDescent="0.2">
      <c r="A102" s="108"/>
      <c r="B102" s="448"/>
      <c r="C102" s="385"/>
      <c r="D102" s="109"/>
      <c r="E102" s="109"/>
      <c r="F102" s="110"/>
      <c r="G102" s="111"/>
      <c r="H102" s="110"/>
      <c r="I102" s="112"/>
      <c r="J102" s="111"/>
      <c r="K102" s="110"/>
      <c r="L102" s="113"/>
      <c r="M102" s="111"/>
      <c r="N102" s="114"/>
      <c r="O102" s="113"/>
      <c r="P102" s="111"/>
      <c r="Q102" s="114"/>
      <c r="R102" s="113"/>
      <c r="S102" s="111"/>
      <c r="T102" s="114"/>
      <c r="U102" s="110"/>
      <c r="V102" s="111"/>
      <c r="W102" s="110"/>
      <c r="X102" s="110"/>
      <c r="Y102" s="110"/>
      <c r="Z102" s="110"/>
      <c r="AA102" s="110"/>
      <c r="AB102" s="115"/>
      <c r="AC102" s="115"/>
      <c r="AD102" s="115"/>
    </row>
    <row r="103" spans="1:30" ht="30" hidden="1" customHeight="1" x14ac:dyDescent="0.2">
      <c r="A103" s="108"/>
      <c r="B103" s="448"/>
      <c r="C103" s="385"/>
      <c r="D103" s="109"/>
      <c r="E103" s="109"/>
      <c r="F103" s="110"/>
      <c r="G103" s="111"/>
      <c r="H103" s="110"/>
      <c r="I103" s="112"/>
      <c r="J103" s="111"/>
      <c r="K103" s="110"/>
      <c r="L103" s="113"/>
      <c r="M103" s="111"/>
      <c r="N103" s="114"/>
      <c r="O103" s="113"/>
      <c r="P103" s="111"/>
      <c r="Q103" s="114"/>
      <c r="R103" s="113"/>
      <c r="S103" s="111"/>
      <c r="T103" s="114"/>
      <c r="U103" s="110"/>
      <c r="V103" s="111"/>
      <c r="W103" s="110"/>
      <c r="X103" s="110"/>
      <c r="Y103" s="110"/>
      <c r="Z103" s="110"/>
      <c r="AA103" s="110"/>
      <c r="AB103" s="115"/>
      <c r="AC103" s="115"/>
      <c r="AD103" s="115"/>
    </row>
    <row r="104" spans="1:30" ht="30" hidden="1" customHeight="1" x14ac:dyDescent="0.2">
      <c r="A104" s="108"/>
      <c r="B104" s="448"/>
      <c r="C104" s="385"/>
      <c r="D104" s="109"/>
      <c r="E104" s="109"/>
      <c r="F104" s="110"/>
      <c r="G104" s="111"/>
      <c r="H104" s="110"/>
      <c r="I104" s="112"/>
      <c r="J104" s="111"/>
      <c r="K104" s="110"/>
      <c r="L104" s="113"/>
      <c r="M104" s="111"/>
      <c r="N104" s="114"/>
      <c r="O104" s="113"/>
      <c r="P104" s="111"/>
      <c r="Q104" s="114"/>
      <c r="R104" s="113"/>
      <c r="S104" s="111"/>
      <c r="T104" s="114"/>
      <c r="U104" s="110"/>
      <c r="V104" s="111"/>
      <c r="W104" s="110"/>
      <c r="X104" s="110"/>
      <c r="Y104" s="110"/>
      <c r="Z104" s="110"/>
      <c r="AA104" s="110"/>
      <c r="AB104" s="115"/>
      <c r="AC104" s="115"/>
      <c r="AD104" s="115"/>
    </row>
    <row r="105" spans="1:30" ht="30" hidden="1" customHeight="1" x14ac:dyDescent="0.2">
      <c r="A105" s="108"/>
      <c r="B105" s="448"/>
      <c r="C105" s="385"/>
      <c r="D105" s="109"/>
      <c r="E105" s="109"/>
      <c r="F105" s="110"/>
      <c r="G105" s="111"/>
      <c r="H105" s="110"/>
      <c r="I105" s="112"/>
      <c r="J105" s="111"/>
      <c r="K105" s="110"/>
      <c r="L105" s="113"/>
      <c r="M105" s="111"/>
      <c r="N105" s="114"/>
      <c r="O105" s="113"/>
      <c r="P105" s="111"/>
      <c r="Q105" s="114"/>
      <c r="R105" s="113"/>
      <c r="S105" s="111"/>
      <c r="T105" s="114"/>
      <c r="U105" s="110"/>
      <c r="V105" s="111"/>
      <c r="W105" s="110"/>
      <c r="X105" s="110"/>
      <c r="Y105" s="110"/>
      <c r="Z105" s="110"/>
      <c r="AA105" s="110"/>
      <c r="AB105" s="115"/>
      <c r="AC105" s="115"/>
      <c r="AD105" s="115"/>
    </row>
    <row r="106" spans="1:30" ht="30" hidden="1" customHeight="1" x14ac:dyDescent="0.2">
      <c r="A106" s="108"/>
      <c r="B106" s="448"/>
      <c r="C106" s="385"/>
      <c r="D106" s="109"/>
      <c r="E106" s="109"/>
      <c r="F106" s="110"/>
      <c r="G106" s="111"/>
      <c r="H106" s="110"/>
      <c r="I106" s="112"/>
      <c r="J106" s="111"/>
      <c r="K106" s="110"/>
      <c r="L106" s="113"/>
      <c r="M106" s="111"/>
      <c r="N106" s="114"/>
      <c r="O106" s="113"/>
      <c r="P106" s="111"/>
      <c r="Q106" s="114"/>
      <c r="R106" s="113"/>
      <c r="S106" s="111"/>
      <c r="T106" s="114"/>
      <c r="U106" s="110"/>
      <c r="V106" s="111"/>
      <c r="W106" s="110"/>
      <c r="X106" s="110"/>
      <c r="Y106" s="110"/>
      <c r="Z106" s="110"/>
      <c r="AA106" s="110"/>
      <c r="AB106" s="115"/>
      <c r="AC106" s="115"/>
      <c r="AD106" s="115"/>
    </row>
    <row r="107" spans="1:30" ht="30" hidden="1" customHeight="1" x14ac:dyDescent="0.2">
      <c r="A107" s="108"/>
      <c r="B107" s="448"/>
      <c r="C107" s="385"/>
      <c r="D107" s="109"/>
      <c r="E107" s="109"/>
      <c r="F107" s="110"/>
      <c r="G107" s="111"/>
      <c r="H107" s="110"/>
      <c r="I107" s="112"/>
      <c r="J107" s="111"/>
      <c r="K107" s="110"/>
      <c r="L107" s="113"/>
      <c r="M107" s="111"/>
      <c r="N107" s="114"/>
      <c r="O107" s="113"/>
      <c r="P107" s="111"/>
      <c r="Q107" s="114"/>
      <c r="R107" s="113"/>
      <c r="S107" s="111"/>
      <c r="T107" s="114"/>
      <c r="U107" s="110"/>
      <c r="V107" s="111"/>
      <c r="W107" s="110"/>
      <c r="X107" s="110"/>
      <c r="Y107" s="110"/>
      <c r="Z107" s="110"/>
      <c r="AA107" s="110"/>
      <c r="AB107" s="115"/>
      <c r="AC107" s="115"/>
      <c r="AD107" s="115"/>
    </row>
    <row r="108" spans="1:30" ht="30" hidden="1" customHeight="1" x14ac:dyDescent="0.2">
      <c r="A108" s="108"/>
      <c r="B108" s="448"/>
      <c r="C108" s="385"/>
      <c r="D108" s="109"/>
      <c r="E108" s="109"/>
      <c r="F108" s="110"/>
      <c r="G108" s="111"/>
      <c r="H108" s="110"/>
      <c r="I108" s="112"/>
      <c r="J108" s="111"/>
      <c r="K108" s="110"/>
      <c r="L108" s="113"/>
      <c r="M108" s="111"/>
      <c r="N108" s="114"/>
      <c r="O108" s="113"/>
      <c r="P108" s="111"/>
      <c r="Q108" s="114"/>
      <c r="R108" s="113"/>
      <c r="S108" s="111"/>
      <c r="T108" s="114"/>
      <c r="U108" s="110"/>
      <c r="V108" s="111"/>
      <c r="W108" s="110"/>
      <c r="X108" s="110"/>
      <c r="Y108" s="110"/>
      <c r="Z108" s="110"/>
      <c r="AA108" s="110"/>
      <c r="AB108" s="115"/>
      <c r="AC108" s="115"/>
      <c r="AD108" s="115"/>
    </row>
    <row r="109" spans="1:30" ht="30" hidden="1" customHeight="1" x14ac:dyDescent="0.2">
      <c r="A109" s="108"/>
      <c r="B109" s="448"/>
      <c r="C109" s="385"/>
      <c r="D109" s="109"/>
      <c r="E109" s="109"/>
      <c r="F109" s="110"/>
      <c r="G109" s="111"/>
      <c r="H109" s="110"/>
      <c r="I109" s="112"/>
      <c r="J109" s="111"/>
      <c r="K109" s="110"/>
      <c r="L109" s="113"/>
      <c r="M109" s="111"/>
      <c r="N109" s="114"/>
      <c r="O109" s="113"/>
      <c r="P109" s="111"/>
      <c r="Q109" s="114"/>
      <c r="R109" s="113"/>
      <c r="S109" s="111"/>
      <c r="T109" s="114"/>
      <c r="U109" s="110"/>
      <c r="V109" s="111"/>
      <c r="W109" s="110"/>
      <c r="X109" s="110"/>
      <c r="Y109" s="110"/>
      <c r="Z109" s="110"/>
      <c r="AA109" s="110"/>
      <c r="AB109" s="115"/>
      <c r="AC109" s="115"/>
      <c r="AD109" s="115"/>
    </row>
    <row r="110" spans="1:30" ht="30" hidden="1" customHeight="1" x14ac:dyDescent="0.2">
      <c r="A110" s="108"/>
      <c r="B110" s="448"/>
      <c r="C110" s="385"/>
      <c r="D110" s="109"/>
      <c r="E110" s="109"/>
      <c r="F110" s="110"/>
      <c r="G110" s="111"/>
      <c r="H110" s="110"/>
      <c r="I110" s="112"/>
      <c r="J110" s="111"/>
      <c r="K110" s="110"/>
      <c r="L110" s="113"/>
      <c r="M110" s="111"/>
      <c r="N110" s="114"/>
      <c r="O110" s="113"/>
      <c r="P110" s="111"/>
      <c r="Q110" s="114"/>
      <c r="R110" s="113"/>
      <c r="S110" s="111"/>
      <c r="T110" s="114"/>
      <c r="U110" s="110"/>
      <c r="V110" s="111"/>
      <c r="W110" s="110"/>
      <c r="X110" s="110"/>
      <c r="Y110" s="110"/>
      <c r="Z110" s="110"/>
      <c r="AA110" s="110"/>
      <c r="AB110" s="115"/>
      <c r="AC110" s="115"/>
      <c r="AD110" s="115"/>
    </row>
    <row r="111" spans="1:30" ht="30" hidden="1" customHeight="1" x14ac:dyDescent="0.2">
      <c r="A111" s="108"/>
      <c r="B111" s="448"/>
      <c r="C111" s="385"/>
      <c r="D111" s="109"/>
      <c r="E111" s="109"/>
      <c r="F111" s="110"/>
      <c r="G111" s="111"/>
      <c r="H111" s="110"/>
      <c r="I111" s="112"/>
      <c r="J111" s="111"/>
      <c r="K111" s="110"/>
      <c r="L111" s="113"/>
      <c r="M111" s="111"/>
      <c r="N111" s="114"/>
      <c r="O111" s="113"/>
      <c r="P111" s="111"/>
      <c r="Q111" s="114"/>
      <c r="R111" s="113"/>
      <c r="S111" s="111"/>
      <c r="T111" s="114"/>
      <c r="U111" s="110"/>
      <c r="V111" s="111"/>
      <c r="W111" s="110"/>
      <c r="X111" s="110"/>
      <c r="Y111" s="110"/>
      <c r="Z111" s="110"/>
      <c r="AA111" s="110"/>
      <c r="AB111" s="115"/>
      <c r="AC111" s="115"/>
      <c r="AD111" s="115"/>
    </row>
    <row r="112" spans="1:30" ht="30" hidden="1" customHeight="1" x14ac:dyDescent="0.2">
      <c r="A112" s="108"/>
      <c r="B112" s="448"/>
      <c r="C112" s="385"/>
      <c r="D112" s="109"/>
      <c r="E112" s="109"/>
      <c r="F112" s="110"/>
      <c r="G112" s="111"/>
      <c r="H112" s="110"/>
      <c r="I112" s="112"/>
      <c r="J112" s="111"/>
      <c r="K112" s="110"/>
      <c r="L112" s="113"/>
      <c r="M112" s="111"/>
      <c r="N112" s="114"/>
      <c r="O112" s="113"/>
      <c r="P112" s="111"/>
      <c r="Q112" s="114"/>
      <c r="R112" s="113"/>
      <c r="S112" s="111"/>
      <c r="T112" s="114"/>
      <c r="U112" s="110"/>
      <c r="V112" s="111"/>
      <c r="W112" s="110"/>
      <c r="X112" s="110"/>
      <c r="Y112" s="110"/>
      <c r="Z112" s="110"/>
      <c r="AA112" s="110"/>
      <c r="AB112" s="115"/>
      <c r="AC112" s="115"/>
      <c r="AD112" s="115"/>
    </row>
    <row r="113" spans="1:30" ht="30" hidden="1" customHeight="1" x14ac:dyDescent="0.2">
      <c r="A113" s="108"/>
      <c r="B113" s="448"/>
      <c r="C113" s="385"/>
      <c r="D113" s="109"/>
      <c r="E113" s="109"/>
      <c r="F113" s="110"/>
      <c r="G113" s="111"/>
      <c r="H113" s="110"/>
      <c r="I113" s="112"/>
      <c r="J113" s="111"/>
      <c r="K113" s="110"/>
      <c r="L113" s="113"/>
      <c r="M113" s="111"/>
      <c r="N113" s="114"/>
      <c r="O113" s="113"/>
      <c r="P113" s="111"/>
      <c r="Q113" s="114"/>
      <c r="R113" s="113"/>
      <c r="S113" s="111"/>
      <c r="T113" s="114"/>
      <c r="U113" s="110"/>
      <c r="V113" s="111"/>
      <c r="W113" s="110"/>
      <c r="X113" s="110"/>
      <c r="Y113" s="110"/>
      <c r="Z113" s="110"/>
      <c r="AA113" s="110"/>
      <c r="AB113" s="115"/>
      <c r="AC113" s="115"/>
      <c r="AD113" s="115"/>
    </row>
    <row r="114" spans="1:30" ht="30" hidden="1" customHeight="1" x14ac:dyDescent="0.2">
      <c r="A114" s="108"/>
      <c r="B114" s="448"/>
      <c r="C114" s="385"/>
      <c r="D114" s="109"/>
      <c r="E114" s="109"/>
      <c r="F114" s="110"/>
      <c r="G114" s="111"/>
      <c r="H114" s="110"/>
      <c r="I114" s="112"/>
      <c r="J114" s="111"/>
      <c r="K114" s="110"/>
      <c r="L114" s="113"/>
      <c r="M114" s="111"/>
      <c r="N114" s="114"/>
      <c r="O114" s="113"/>
      <c r="P114" s="111"/>
      <c r="Q114" s="114"/>
      <c r="R114" s="113"/>
      <c r="S114" s="111"/>
      <c r="T114" s="114"/>
      <c r="U114" s="110"/>
      <c r="V114" s="111"/>
      <c r="W114" s="110"/>
      <c r="X114" s="110"/>
      <c r="Y114" s="110"/>
      <c r="Z114" s="110"/>
      <c r="AA114" s="110"/>
      <c r="AB114" s="115"/>
      <c r="AC114" s="115"/>
      <c r="AD114" s="115"/>
    </row>
    <row r="115" spans="1:30" ht="30" hidden="1" customHeight="1" x14ac:dyDescent="0.2">
      <c r="A115" s="108"/>
      <c r="B115" s="448"/>
      <c r="C115" s="385"/>
      <c r="D115" s="109"/>
      <c r="E115" s="109"/>
      <c r="F115" s="110"/>
      <c r="G115" s="111"/>
      <c r="H115" s="110"/>
      <c r="I115" s="112"/>
      <c r="J115" s="111"/>
      <c r="K115" s="110"/>
      <c r="L115" s="113"/>
      <c r="M115" s="111"/>
      <c r="N115" s="114"/>
      <c r="O115" s="113"/>
      <c r="P115" s="111"/>
      <c r="Q115" s="114"/>
      <c r="R115" s="113"/>
      <c r="S115" s="111"/>
      <c r="T115" s="114"/>
      <c r="U115" s="110"/>
      <c r="V115" s="111"/>
      <c r="W115" s="110"/>
      <c r="X115" s="110"/>
      <c r="Y115" s="110"/>
      <c r="Z115" s="110"/>
      <c r="AA115" s="110"/>
      <c r="AB115" s="115"/>
      <c r="AC115" s="115"/>
      <c r="AD115" s="115"/>
    </row>
    <row r="116" spans="1:30" ht="30" hidden="1" customHeight="1" x14ac:dyDescent="0.2">
      <c r="A116" s="108"/>
      <c r="B116" s="448"/>
      <c r="C116" s="385"/>
      <c r="D116" s="109"/>
      <c r="E116" s="109"/>
      <c r="F116" s="110"/>
      <c r="G116" s="111"/>
      <c r="H116" s="110"/>
      <c r="I116" s="112"/>
      <c r="J116" s="111"/>
      <c r="K116" s="110"/>
      <c r="L116" s="113"/>
      <c r="M116" s="111"/>
      <c r="N116" s="114"/>
      <c r="O116" s="113"/>
      <c r="P116" s="111"/>
      <c r="Q116" s="114"/>
      <c r="R116" s="113"/>
      <c r="S116" s="111"/>
      <c r="T116" s="114"/>
      <c r="U116" s="110"/>
      <c r="V116" s="111"/>
      <c r="W116" s="110"/>
      <c r="X116" s="110"/>
      <c r="Y116" s="110"/>
      <c r="Z116" s="110"/>
      <c r="AA116" s="110"/>
      <c r="AB116" s="115"/>
      <c r="AC116" s="115"/>
      <c r="AD116" s="115"/>
    </row>
    <row r="117" spans="1:30" ht="30" hidden="1" customHeight="1" x14ac:dyDescent="0.2">
      <c r="A117" s="108"/>
      <c r="B117" s="448"/>
      <c r="C117" s="385"/>
      <c r="D117" s="109"/>
      <c r="E117" s="109"/>
      <c r="F117" s="110"/>
      <c r="G117" s="111"/>
      <c r="H117" s="110"/>
      <c r="I117" s="112"/>
      <c r="J117" s="111"/>
      <c r="K117" s="110"/>
      <c r="L117" s="113"/>
      <c r="M117" s="111"/>
      <c r="N117" s="114"/>
      <c r="O117" s="113"/>
      <c r="P117" s="111"/>
      <c r="Q117" s="114"/>
      <c r="R117" s="113"/>
      <c r="S117" s="111"/>
      <c r="T117" s="114"/>
      <c r="U117" s="110"/>
      <c r="V117" s="111"/>
      <c r="W117" s="110"/>
      <c r="X117" s="110"/>
      <c r="Y117" s="110"/>
      <c r="Z117" s="110"/>
      <c r="AA117" s="110"/>
      <c r="AB117" s="115"/>
      <c r="AC117" s="115"/>
      <c r="AD117" s="115"/>
    </row>
    <row r="118" spans="1:30" ht="30" hidden="1" customHeight="1" x14ac:dyDescent="0.2">
      <c r="A118" s="108"/>
      <c r="B118" s="448"/>
      <c r="C118" s="385"/>
      <c r="D118" s="109"/>
      <c r="E118" s="109"/>
      <c r="F118" s="110"/>
      <c r="G118" s="111"/>
      <c r="H118" s="110"/>
      <c r="I118" s="112"/>
      <c r="J118" s="111"/>
      <c r="K118" s="110"/>
      <c r="L118" s="113"/>
      <c r="M118" s="111"/>
      <c r="N118" s="114"/>
      <c r="O118" s="113"/>
      <c r="P118" s="111"/>
      <c r="Q118" s="114"/>
      <c r="R118" s="113"/>
      <c r="S118" s="111"/>
      <c r="T118" s="114"/>
      <c r="U118" s="110"/>
      <c r="V118" s="111"/>
      <c r="W118" s="110"/>
      <c r="X118" s="110"/>
      <c r="Y118" s="110"/>
      <c r="Z118" s="110"/>
      <c r="AA118" s="110"/>
      <c r="AB118" s="115"/>
      <c r="AC118" s="115"/>
      <c r="AD118" s="115"/>
    </row>
    <row r="119" spans="1:30" ht="30" hidden="1" customHeight="1" x14ac:dyDescent="0.2">
      <c r="A119" s="108"/>
      <c r="B119" s="448"/>
      <c r="C119" s="385"/>
      <c r="D119" s="109"/>
      <c r="E119" s="109"/>
      <c r="F119" s="110"/>
      <c r="G119" s="111"/>
      <c r="H119" s="110"/>
      <c r="I119" s="112"/>
      <c r="J119" s="111"/>
      <c r="K119" s="110"/>
      <c r="L119" s="113"/>
      <c r="M119" s="111"/>
      <c r="N119" s="114"/>
      <c r="O119" s="113"/>
      <c r="P119" s="111"/>
      <c r="Q119" s="114"/>
      <c r="R119" s="113"/>
      <c r="S119" s="111"/>
      <c r="T119" s="114"/>
      <c r="U119" s="110"/>
      <c r="V119" s="111"/>
      <c r="W119" s="110"/>
      <c r="X119" s="110"/>
      <c r="Y119" s="110"/>
      <c r="Z119" s="110"/>
      <c r="AA119" s="110"/>
      <c r="AB119" s="115"/>
      <c r="AC119" s="115"/>
      <c r="AD119" s="115"/>
    </row>
    <row r="120" spans="1:30" ht="30" hidden="1" customHeight="1" x14ac:dyDescent="0.2">
      <c r="A120" s="108"/>
      <c r="B120" s="448"/>
      <c r="C120" s="385"/>
      <c r="D120" s="109"/>
      <c r="E120" s="109"/>
      <c r="F120" s="110"/>
      <c r="G120" s="111"/>
      <c r="H120" s="110"/>
      <c r="I120" s="112"/>
      <c r="J120" s="111"/>
      <c r="K120" s="110"/>
      <c r="L120" s="113"/>
      <c r="M120" s="111"/>
      <c r="N120" s="114"/>
      <c r="O120" s="113"/>
      <c r="P120" s="111"/>
      <c r="Q120" s="114"/>
      <c r="R120" s="113"/>
      <c r="S120" s="111"/>
      <c r="T120" s="114"/>
      <c r="U120" s="110"/>
      <c r="V120" s="111"/>
      <c r="W120" s="110"/>
      <c r="X120" s="110"/>
      <c r="Y120" s="110"/>
      <c r="Z120" s="110"/>
      <c r="AA120" s="110"/>
      <c r="AB120" s="115"/>
      <c r="AC120" s="115"/>
      <c r="AD120" s="115"/>
    </row>
    <row r="121" spans="1:30" ht="30" hidden="1" customHeight="1" x14ac:dyDescent="0.2">
      <c r="A121" s="108"/>
      <c r="B121" s="448"/>
      <c r="C121" s="385"/>
      <c r="D121" s="109"/>
      <c r="E121" s="109"/>
      <c r="F121" s="110"/>
      <c r="G121" s="111"/>
      <c r="H121" s="110"/>
      <c r="I121" s="112"/>
      <c r="J121" s="111"/>
      <c r="K121" s="110"/>
      <c r="L121" s="113"/>
      <c r="M121" s="111"/>
      <c r="N121" s="114"/>
      <c r="O121" s="113"/>
      <c r="P121" s="111"/>
      <c r="Q121" s="114"/>
      <c r="R121" s="113"/>
      <c r="S121" s="111"/>
      <c r="T121" s="114"/>
      <c r="U121" s="110"/>
      <c r="V121" s="111"/>
      <c r="W121" s="110"/>
      <c r="X121" s="110"/>
      <c r="Y121" s="110"/>
      <c r="Z121" s="110"/>
      <c r="AA121" s="110"/>
      <c r="AB121" s="115"/>
      <c r="AC121" s="115"/>
      <c r="AD121" s="115"/>
    </row>
    <row r="122" spans="1:30" ht="30" hidden="1" customHeight="1" x14ac:dyDescent="0.2">
      <c r="A122" s="108"/>
      <c r="B122" s="448"/>
      <c r="C122" s="385"/>
      <c r="D122" s="109"/>
      <c r="E122" s="109"/>
      <c r="F122" s="110"/>
      <c r="G122" s="111"/>
      <c r="H122" s="110"/>
      <c r="I122" s="112"/>
      <c r="J122" s="111"/>
      <c r="K122" s="110"/>
      <c r="L122" s="113"/>
      <c r="M122" s="111"/>
      <c r="N122" s="114"/>
      <c r="O122" s="113"/>
      <c r="P122" s="111"/>
      <c r="Q122" s="114"/>
      <c r="R122" s="113"/>
      <c r="S122" s="111"/>
      <c r="T122" s="114"/>
      <c r="U122" s="110"/>
      <c r="V122" s="111"/>
      <c r="W122" s="110"/>
      <c r="X122" s="110"/>
      <c r="Y122" s="110"/>
      <c r="Z122" s="110"/>
      <c r="AA122" s="110"/>
      <c r="AB122" s="115"/>
      <c r="AC122" s="115"/>
      <c r="AD122" s="115"/>
    </row>
    <row r="123" spans="1:30" ht="30" hidden="1" customHeight="1" x14ac:dyDescent="0.2">
      <c r="A123" s="108"/>
      <c r="B123" s="448"/>
      <c r="C123" s="385"/>
      <c r="D123" s="109"/>
      <c r="E123" s="109"/>
      <c r="F123" s="110"/>
      <c r="G123" s="111"/>
      <c r="H123" s="110"/>
      <c r="I123" s="112"/>
      <c r="J123" s="111"/>
      <c r="K123" s="110"/>
      <c r="L123" s="113"/>
      <c r="M123" s="111"/>
      <c r="N123" s="114"/>
      <c r="O123" s="113"/>
      <c r="P123" s="111"/>
      <c r="Q123" s="114"/>
      <c r="R123" s="113"/>
      <c r="S123" s="111"/>
      <c r="T123" s="114"/>
      <c r="U123" s="110"/>
      <c r="V123" s="111"/>
      <c r="W123" s="110"/>
      <c r="X123" s="110"/>
      <c r="Y123" s="110"/>
      <c r="Z123" s="110"/>
      <c r="AA123" s="110"/>
      <c r="AB123" s="115"/>
      <c r="AC123" s="115"/>
      <c r="AD123" s="115"/>
    </row>
    <row r="124" spans="1:30" ht="30" hidden="1" customHeight="1" x14ac:dyDescent="0.2">
      <c r="A124" s="108"/>
      <c r="B124" s="448"/>
      <c r="C124" s="385"/>
      <c r="D124" s="109"/>
      <c r="E124" s="109"/>
      <c r="F124" s="110"/>
      <c r="G124" s="111"/>
      <c r="H124" s="110"/>
      <c r="I124" s="112"/>
      <c r="J124" s="111"/>
      <c r="K124" s="110"/>
      <c r="L124" s="113"/>
      <c r="M124" s="111"/>
      <c r="N124" s="114"/>
      <c r="O124" s="113"/>
      <c r="P124" s="111"/>
      <c r="Q124" s="114"/>
      <c r="R124" s="113"/>
      <c r="S124" s="111"/>
      <c r="T124" s="114"/>
      <c r="U124" s="110"/>
      <c r="V124" s="111"/>
      <c r="W124" s="110"/>
      <c r="X124" s="110"/>
      <c r="Y124" s="110"/>
      <c r="Z124" s="110"/>
      <c r="AA124" s="110"/>
      <c r="AB124" s="115"/>
      <c r="AC124" s="115"/>
      <c r="AD124" s="115"/>
    </row>
    <row r="125" spans="1:30" ht="30" hidden="1" customHeight="1" x14ac:dyDescent="0.2">
      <c r="A125" s="108"/>
      <c r="B125" s="448"/>
      <c r="C125" s="385"/>
      <c r="D125" s="109"/>
      <c r="E125" s="109"/>
      <c r="F125" s="110"/>
      <c r="G125" s="111"/>
      <c r="H125" s="110"/>
      <c r="I125" s="112"/>
      <c r="J125" s="111"/>
      <c r="K125" s="110"/>
      <c r="L125" s="113"/>
      <c r="M125" s="111"/>
      <c r="N125" s="114"/>
      <c r="O125" s="113"/>
      <c r="P125" s="111"/>
      <c r="Q125" s="114"/>
      <c r="R125" s="113"/>
      <c r="S125" s="111"/>
      <c r="T125" s="114"/>
      <c r="U125" s="110"/>
      <c r="V125" s="111"/>
      <c r="W125" s="110"/>
      <c r="X125" s="110"/>
      <c r="Y125" s="110"/>
      <c r="Z125" s="110"/>
      <c r="AA125" s="110"/>
      <c r="AB125" s="115"/>
      <c r="AC125" s="115"/>
      <c r="AD125" s="115"/>
    </row>
    <row r="126" spans="1:30" ht="30" hidden="1" customHeight="1" x14ac:dyDescent="0.2">
      <c r="A126" s="108"/>
      <c r="B126" s="448"/>
      <c r="C126" s="385"/>
      <c r="D126" s="109"/>
      <c r="E126" s="109"/>
      <c r="F126" s="110"/>
      <c r="G126" s="111"/>
      <c r="H126" s="110"/>
      <c r="I126" s="112"/>
      <c r="J126" s="111"/>
      <c r="K126" s="110"/>
      <c r="L126" s="113"/>
      <c r="M126" s="111"/>
      <c r="N126" s="114"/>
      <c r="O126" s="113"/>
      <c r="P126" s="111"/>
      <c r="Q126" s="114"/>
      <c r="R126" s="113"/>
      <c r="S126" s="111"/>
      <c r="T126" s="114"/>
      <c r="U126" s="110"/>
      <c r="V126" s="111"/>
      <c r="W126" s="110"/>
      <c r="X126" s="110"/>
      <c r="Y126" s="110"/>
      <c r="Z126" s="110"/>
      <c r="AA126" s="110"/>
      <c r="AB126" s="115"/>
      <c r="AC126" s="115"/>
      <c r="AD126" s="115"/>
    </row>
    <row r="127" spans="1:30" ht="30" hidden="1" customHeight="1" x14ac:dyDescent="0.2">
      <c r="A127" s="108"/>
      <c r="B127" s="448"/>
      <c r="C127" s="385"/>
      <c r="D127" s="109"/>
      <c r="E127" s="109"/>
      <c r="F127" s="110"/>
      <c r="G127" s="111"/>
      <c r="H127" s="110"/>
      <c r="I127" s="112"/>
      <c r="J127" s="111"/>
      <c r="K127" s="110"/>
      <c r="L127" s="113"/>
      <c r="M127" s="111"/>
      <c r="N127" s="114"/>
      <c r="O127" s="113"/>
      <c r="P127" s="111"/>
      <c r="Q127" s="114"/>
      <c r="R127" s="113"/>
      <c r="S127" s="111"/>
      <c r="T127" s="114"/>
      <c r="U127" s="110"/>
      <c r="V127" s="111"/>
      <c r="W127" s="110"/>
      <c r="X127" s="110"/>
      <c r="Y127" s="110"/>
      <c r="Z127" s="110"/>
      <c r="AA127" s="110"/>
      <c r="AB127" s="115"/>
      <c r="AC127" s="115"/>
      <c r="AD127" s="115"/>
    </row>
    <row r="128" spans="1:30" ht="30" hidden="1" customHeight="1" x14ac:dyDescent="0.2">
      <c r="A128" s="108"/>
      <c r="B128" s="448"/>
      <c r="C128" s="385"/>
      <c r="D128" s="109"/>
      <c r="E128" s="109"/>
      <c r="F128" s="110"/>
      <c r="G128" s="111"/>
      <c r="H128" s="110"/>
      <c r="I128" s="112"/>
      <c r="J128" s="111"/>
      <c r="K128" s="110"/>
      <c r="L128" s="113"/>
      <c r="M128" s="111"/>
      <c r="N128" s="114"/>
      <c r="O128" s="113"/>
      <c r="P128" s="111"/>
      <c r="Q128" s="114"/>
      <c r="R128" s="113"/>
      <c r="S128" s="111"/>
      <c r="T128" s="114"/>
      <c r="U128" s="110"/>
      <c r="V128" s="111"/>
      <c r="W128" s="110"/>
      <c r="X128" s="110"/>
      <c r="Y128" s="110"/>
      <c r="Z128" s="110"/>
      <c r="AA128" s="110"/>
      <c r="AB128" s="115"/>
      <c r="AC128" s="115"/>
      <c r="AD128" s="115"/>
    </row>
    <row r="129" spans="1:30" ht="30" hidden="1" customHeight="1" x14ac:dyDescent="0.2">
      <c r="A129" s="108"/>
      <c r="B129" s="448"/>
      <c r="C129" s="385"/>
      <c r="D129" s="109"/>
      <c r="E129" s="109"/>
      <c r="F129" s="110"/>
      <c r="G129" s="111"/>
      <c r="H129" s="110"/>
      <c r="I129" s="112"/>
      <c r="J129" s="111"/>
      <c r="K129" s="110"/>
      <c r="L129" s="113"/>
      <c r="M129" s="111"/>
      <c r="N129" s="114"/>
      <c r="O129" s="113"/>
      <c r="P129" s="111"/>
      <c r="Q129" s="114"/>
      <c r="R129" s="113"/>
      <c r="S129" s="111"/>
      <c r="T129" s="114"/>
      <c r="U129" s="110"/>
      <c r="V129" s="111"/>
      <c r="W129" s="110"/>
      <c r="X129" s="110"/>
      <c r="Y129" s="110"/>
      <c r="Z129" s="110"/>
      <c r="AA129" s="110"/>
      <c r="AB129" s="115"/>
      <c r="AC129" s="115"/>
      <c r="AD129" s="115"/>
    </row>
    <row r="130" spans="1:30" ht="30" hidden="1" customHeight="1" x14ac:dyDescent="0.2">
      <c r="A130" s="108"/>
      <c r="B130" s="448"/>
      <c r="C130" s="385"/>
      <c r="D130" s="109"/>
      <c r="E130" s="109"/>
      <c r="F130" s="110"/>
      <c r="G130" s="111"/>
      <c r="H130" s="110"/>
      <c r="I130" s="112"/>
      <c r="J130" s="111"/>
      <c r="K130" s="110"/>
      <c r="L130" s="113"/>
      <c r="M130" s="111"/>
      <c r="N130" s="114"/>
      <c r="O130" s="113"/>
      <c r="P130" s="111"/>
      <c r="Q130" s="114"/>
      <c r="R130" s="113"/>
      <c r="S130" s="111"/>
      <c r="T130" s="114"/>
      <c r="U130" s="110"/>
      <c r="V130" s="111"/>
      <c r="W130" s="110"/>
      <c r="X130" s="110"/>
      <c r="Y130" s="110"/>
      <c r="Z130" s="110"/>
      <c r="AA130" s="110"/>
      <c r="AB130" s="115"/>
      <c r="AC130" s="115"/>
      <c r="AD130" s="115"/>
    </row>
    <row r="131" spans="1:30" ht="30" hidden="1" customHeight="1" x14ac:dyDescent="0.2">
      <c r="A131" s="108"/>
      <c r="B131" s="448"/>
      <c r="C131" s="385"/>
      <c r="D131" s="109"/>
      <c r="E131" s="109"/>
      <c r="F131" s="110"/>
      <c r="G131" s="111"/>
      <c r="H131" s="110"/>
      <c r="I131" s="112"/>
      <c r="J131" s="111"/>
      <c r="K131" s="110"/>
      <c r="L131" s="113"/>
      <c r="M131" s="111"/>
      <c r="N131" s="114"/>
      <c r="O131" s="113"/>
      <c r="P131" s="111"/>
      <c r="Q131" s="114"/>
      <c r="R131" s="113"/>
      <c r="S131" s="111"/>
      <c r="T131" s="114"/>
      <c r="U131" s="110"/>
      <c r="V131" s="111"/>
      <c r="W131" s="110"/>
      <c r="X131" s="110"/>
      <c r="Y131" s="110"/>
      <c r="Z131" s="110"/>
      <c r="AA131" s="110"/>
      <c r="AB131" s="115"/>
      <c r="AC131" s="115"/>
      <c r="AD131" s="115"/>
    </row>
    <row r="132" spans="1:30" ht="30" hidden="1" customHeight="1" x14ac:dyDescent="0.2">
      <c r="A132" s="108"/>
      <c r="B132" s="448"/>
      <c r="C132" s="385"/>
      <c r="D132" s="109"/>
      <c r="E132" s="109"/>
      <c r="F132" s="110"/>
      <c r="G132" s="111"/>
      <c r="H132" s="110"/>
      <c r="I132" s="112"/>
      <c r="J132" s="111"/>
      <c r="K132" s="110"/>
      <c r="L132" s="113"/>
      <c r="M132" s="111"/>
      <c r="N132" s="114"/>
      <c r="O132" s="113"/>
      <c r="P132" s="111"/>
      <c r="Q132" s="114"/>
      <c r="R132" s="113"/>
      <c r="S132" s="111"/>
      <c r="T132" s="114"/>
      <c r="U132" s="110"/>
      <c r="V132" s="111"/>
      <c r="W132" s="110"/>
      <c r="X132" s="110"/>
      <c r="Y132" s="110"/>
      <c r="Z132" s="110"/>
      <c r="AA132" s="110"/>
      <c r="AB132" s="115"/>
      <c r="AC132" s="115"/>
      <c r="AD132" s="115"/>
    </row>
    <row r="133" spans="1:30" ht="30" hidden="1" customHeight="1" x14ac:dyDescent="0.2">
      <c r="A133" s="108"/>
      <c r="B133" s="448"/>
      <c r="C133" s="385"/>
      <c r="D133" s="109"/>
      <c r="E133" s="109"/>
      <c r="F133" s="110"/>
      <c r="G133" s="111"/>
      <c r="H133" s="110"/>
      <c r="I133" s="112"/>
      <c r="J133" s="111"/>
      <c r="K133" s="110"/>
      <c r="L133" s="113"/>
      <c r="M133" s="111"/>
      <c r="N133" s="114"/>
      <c r="O133" s="113"/>
      <c r="P133" s="111"/>
      <c r="Q133" s="114"/>
      <c r="R133" s="113"/>
      <c r="S133" s="111"/>
      <c r="T133" s="114"/>
      <c r="U133" s="110"/>
      <c r="V133" s="111"/>
      <c r="W133" s="110"/>
      <c r="X133" s="110"/>
      <c r="Y133" s="110"/>
      <c r="Z133" s="110"/>
      <c r="AA133" s="110"/>
      <c r="AB133" s="115"/>
      <c r="AC133" s="115"/>
      <c r="AD133" s="115"/>
    </row>
    <row r="134" spans="1:30" ht="30" hidden="1" customHeight="1" x14ac:dyDescent="0.2">
      <c r="A134" s="108"/>
      <c r="B134" s="448"/>
      <c r="C134" s="385"/>
      <c r="D134" s="109"/>
      <c r="E134" s="109"/>
      <c r="F134" s="110"/>
      <c r="G134" s="111"/>
      <c r="H134" s="110"/>
      <c r="I134" s="112"/>
      <c r="J134" s="111"/>
      <c r="K134" s="110"/>
      <c r="L134" s="113"/>
      <c r="M134" s="111"/>
      <c r="N134" s="114"/>
      <c r="O134" s="113"/>
      <c r="P134" s="111"/>
      <c r="Q134" s="114"/>
      <c r="R134" s="113"/>
      <c r="S134" s="111"/>
      <c r="T134" s="114"/>
      <c r="U134" s="110"/>
      <c r="V134" s="111"/>
      <c r="W134" s="110"/>
      <c r="X134" s="110"/>
      <c r="Y134" s="110"/>
      <c r="Z134" s="110"/>
      <c r="AA134" s="110"/>
      <c r="AB134" s="115"/>
      <c r="AC134" s="115"/>
      <c r="AD134" s="115"/>
    </row>
    <row r="135" spans="1:30" ht="30" hidden="1" customHeight="1" x14ac:dyDescent="0.2">
      <c r="A135" s="108"/>
      <c r="B135" s="448"/>
      <c r="C135" s="385"/>
      <c r="D135" s="109"/>
      <c r="E135" s="109"/>
      <c r="F135" s="110"/>
      <c r="G135" s="111"/>
      <c r="H135" s="110"/>
      <c r="I135" s="112"/>
      <c r="J135" s="111"/>
      <c r="K135" s="110"/>
      <c r="L135" s="113"/>
      <c r="M135" s="111"/>
      <c r="N135" s="114"/>
      <c r="O135" s="113"/>
      <c r="P135" s="111"/>
      <c r="Q135" s="114"/>
      <c r="R135" s="113"/>
      <c r="S135" s="111"/>
      <c r="T135" s="114"/>
      <c r="U135" s="110"/>
      <c r="V135" s="111"/>
      <c r="W135" s="110"/>
      <c r="X135" s="110"/>
      <c r="Y135" s="110"/>
      <c r="Z135" s="110"/>
      <c r="AA135" s="110"/>
      <c r="AB135" s="115"/>
      <c r="AC135" s="115"/>
      <c r="AD135" s="115"/>
    </row>
    <row r="136" spans="1:30" ht="30" hidden="1" customHeight="1" x14ac:dyDescent="0.2">
      <c r="A136" s="108"/>
      <c r="B136" s="448"/>
      <c r="C136" s="385"/>
      <c r="D136" s="109"/>
      <c r="E136" s="109"/>
      <c r="F136" s="110"/>
      <c r="G136" s="111"/>
      <c r="H136" s="110"/>
      <c r="I136" s="112"/>
      <c r="J136" s="111"/>
      <c r="K136" s="110"/>
      <c r="L136" s="113"/>
      <c r="M136" s="111"/>
      <c r="N136" s="114"/>
      <c r="O136" s="113"/>
      <c r="P136" s="111"/>
      <c r="Q136" s="114"/>
      <c r="R136" s="113"/>
      <c r="S136" s="111"/>
      <c r="T136" s="114"/>
      <c r="U136" s="110"/>
      <c r="V136" s="111"/>
      <c r="W136" s="110"/>
      <c r="X136" s="110"/>
      <c r="Y136" s="110"/>
      <c r="Z136" s="110"/>
      <c r="AA136" s="110"/>
      <c r="AB136" s="115"/>
      <c r="AC136" s="115"/>
      <c r="AD136" s="115"/>
    </row>
    <row r="137" spans="1:30" ht="30" hidden="1" customHeight="1" x14ac:dyDescent="0.2">
      <c r="A137" s="108"/>
      <c r="B137" s="448"/>
      <c r="C137" s="385"/>
      <c r="D137" s="109"/>
      <c r="E137" s="109"/>
      <c r="F137" s="110"/>
      <c r="G137" s="111"/>
      <c r="H137" s="110"/>
      <c r="I137" s="112"/>
      <c r="J137" s="111"/>
      <c r="K137" s="110"/>
      <c r="L137" s="113"/>
      <c r="M137" s="111"/>
      <c r="N137" s="114"/>
      <c r="O137" s="113"/>
      <c r="P137" s="111"/>
      <c r="Q137" s="114"/>
      <c r="R137" s="113"/>
      <c r="S137" s="111"/>
      <c r="T137" s="114"/>
      <c r="U137" s="110"/>
      <c r="V137" s="111"/>
      <c r="W137" s="110"/>
      <c r="X137" s="110"/>
      <c r="Y137" s="110"/>
      <c r="Z137" s="110"/>
      <c r="AA137" s="110"/>
      <c r="AB137" s="115"/>
      <c r="AC137" s="115"/>
      <c r="AD137" s="115"/>
    </row>
    <row r="138" spans="1:30" ht="30" hidden="1" customHeight="1" x14ac:dyDescent="0.2">
      <c r="A138" s="108"/>
      <c r="B138" s="448"/>
      <c r="C138" s="385"/>
      <c r="D138" s="109"/>
      <c r="E138" s="109"/>
      <c r="F138" s="110"/>
      <c r="G138" s="111"/>
      <c r="H138" s="110"/>
      <c r="I138" s="112"/>
      <c r="J138" s="111"/>
      <c r="K138" s="110"/>
      <c r="L138" s="113"/>
      <c r="M138" s="111"/>
      <c r="N138" s="114"/>
      <c r="O138" s="113"/>
      <c r="P138" s="111"/>
      <c r="Q138" s="114"/>
      <c r="R138" s="113"/>
      <c r="S138" s="111"/>
      <c r="T138" s="114"/>
      <c r="U138" s="110"/>
      <c r="V138" s="111"/>
      <c r="W138" s="110"/>
      <c r="X138" s="110"/>
      <c r="Y138" s="110"/>
      <c r="Z138" s="110"/>
      <c r="AA138" s="110"/>
      <c r="AB138" s="115"/>
      <c r="AC138" s="115"/>
      <c r="AD138" s="115"/>
    </row>
    <row r="139" spans="1:30" ht="30" hidden="1" customHeight="1" x14ac:dyDescent="0.2">
      <c r="A139" s="108"/>
      <c r="B139" s="448"/>
      <c r="C139" s="385"/>
      <c r="D139" s="109"/>
      <c r="E139" s="109"/>
      <c r="F139" s="110"/>
      <c r="G139" s="111"/>
      <c r="H139" s="110"/>
      <c r="I139" s="112"/>
      <c r="J139" s="111"/>
      <c r="K139" s="110"/>
      <c r="L139" s="113"/>
      <c r="M139" s="111"/>
      <c r="N139" s="114"/>
      <c r="O139" s="113"/>
      <c r="P139" s="111"/>
      <c r="Q139" s="114"/>
      <c r="R139" s="113"/>
      <c r="S139" s="111"/>
      <c r="T139" s="114"/>
      <c r="U139" s="110"/>
      <c r="V139" s="111"/>
      <c r="W139" s="110"/>
      <c r="X139" s="110"/>
      <c r="Y139" s="110"/>
      <c r="Z139" s="110"/>
      <c r="AA139" s="110"/>
      <c r="AB139" s="115"/>
      <c r="AC139" s="115"/>
      <c r="AD139" s="115"/>
    </row>
    <row r="140" spans="1:30" ht="30" hidden="1" customHeight="1" x14ac:dyDescent="0.2">
      <c r="A140" s="108"/>
      <c r="B140" s="448"/>
      <c r="C140" s="385"/>
      <c r="D140" s="109"/>
      <c r="E140" s="109"/>
      <c r="F140" s="110"/>
      <c r="G140" s="111"/>
      <c r="H140" s="110"/>
      <c r="I140" s="112"/>
      <c r="J140" s="111"/>
      <c r="K140" s="110"/>
      <c r="L140" s="113"/>
      <c r="M140" s="111"/>
      <c r="N140" s="114"/>
      <c r="O140" s="113"/>
      <c r="P140" s="111"/>
      <c r="Q140" s="114"/>
      <c r="R140" s="113"/>
      <c r="S140" s="111"/>
      <c r="T140" s="114"/>
      <c r="U140" s="110"/>
      <c r="V140" s="111"/>
      <c r="W140" s="110"/>
      <c r="X140" s="110"/>
      <c r="Y140" s="110"/>
      <c r="Z140" s="110"/>
      <c r="AA140" s="110"/>
      <c r="AB140" s="115"/>
      <c r="AC140" s="115"/>
      <c r="AD140" s="115"/>
    </row>
    <row r="141" spans="1:30" ht="30" hidden="1" customHeight="1" x14ac:dyDescent="0.2">
      <c r="A141" s="108"/>
      <c r="B141" s="448"/>
      <c r="C141" s="385"/>
      <c r="D141" s="109"/>
      <c r="E141" s="109"/>
      <c r="F141" s="110"/>
      <c r="G141" s="111"/>
      <c r="H141" s="110"/>
      <c r="I141" s="112"/>
      <c r="J141" s="111"/>
      <c r="K141" s="110"/>
      <c r="L141" s="113"/>
      <c r="M141" s="111"/>
      <c r="N141" s="114"/>
      <c r="O141" s="113"/>
      <c r="P141" s="111"/>
      <c r="Q141" s="114"/>
      <c r="R141" s="113"/>
      <c r="S141" s="111"/>
      <c r="T141" s="114"/>
      <c r="U141" s="110"/>
      <c r="V141" s="111"/>
      <c r="W141" s="110"/>
      <c r="X141" s="110"/>
      <c r="Y141" s="110"/>
      <c r="Z141" s="110"/>
      <c r="AA141" s="110"/>
      <c r="AB141" s="115"/>
      <c r="AC141" s="115"/>
      <c r="AD141" s="115"/>
    </row>
    <row r="142" spans="1:30" ht="30" hidden="1" customHeight="1" x14ac:dyDescent="0.2">
      <c r="A142" s="108"/>
      <c r="B142" s="448"/>
      <c r="C142" s="385"/>
      <c r="D142" s="109"/>
      <c r="E142" s="109"/>
      <c r="F142" s="110"/>
      <c r="G142" s="111"/>
      <c r="H142" s="110"/>
      <c r="I142" s="112"/>
      <c r="J142" s="111"/>
      <c r="K142" s="110"/>
      <c r="L142" s="113"/>
      <c r="M142" s="111"/>
      <c r="N142" s="114"/>
      <c r="O142" s="113"/>
      <c r="P142" s="111"/>
      <c r="Q142" s="114"/>
      <c r="R142" s="113"/>
      <c r="S142" s="111"/>
      <c r="T142" s="114"/>
      <c r="U142" s="110"/>
      <c r="V142" s="111"/>
      <c r="W142" s="110"/>
      <c r="X142" s="110"/>
      <c r="Y142" s="110"/>
      <c r="Z142" s="110"/>
      <c r="AA142" s="110"/>
      <c r="AB142" s="115"/>
      <c r="AC142" s="115"/>
      <c r="AD142" s="115"/>
    </row>
    <row r="143" spans="1:30" ht="30" hidden="1" customHeight="1" x14ac:dyDescent="0.2">
      <c r="A143" s="108"/>
      <c r="B143" s="448"/>
      <c r="C143" s="385"/>
      <c r="D143" s="109"/>
      <c r="E143" s="109"/>
      <c r="F143" s="110"/>
      <c r="G143" s="111"/>
      <c r="H143" s="110"/>
      <c r="I143" s="112"/>
      <c r="J143" s="111"/>
      <c r="K143" s="110"/>
      <c r="L143" s="113"/>
      <c r="M143" s="111"/>
      <c r="N143" s="114"/>
      <c r="O143" s="113"/>
      <c r="P143" s="111"/>
      <c r="Q143" s="114"/>
      <c r="R143" s="113"/>
      <c r="S143" s="111"/>
      <c r="T143" s="114"/>
      <c r="U143" s="110"/>
      <c r="V143" s="111"/>
      <c r="W143" s="110"/>
      <c r="X143" s="110"/>
      <c r="Y143" s="110"/>
      <c r="Z143" s="110"/>
      <c r="AA143" s="110"/>
      <c r="AB143" s="115"/>
      <c r="AC143" s="115"/>
      <c r="AD143" s="115"/>
    </row>
    <row r="144" spans="1:30" ht="30" hidden="1" customHeight="1" x14ac:dyDescent="0.2">
      <c r="A144" s="108"/>
      <c r="B144" s="448"/>
      <c r="C144" s="385"/>
      <c r="D144" s="109"/>
      <c r="E144" s="109"/>
      <c r="F144" s="110"/>
      <c r="G144" s="111"/>
      <c r="H144" s="110"/>
      <c r="I144" s="112"/>
      <c r="J144" s="111"/>
      <c r="K144" s="110"/>
      <c r="L144" s="113"/>
      <c r="M144" s="111"/>
      <c r="N144" s="114"/>
      <c r="O144" s="113"/>
      <c r="P144" s="111"/>
      <c r="Q144" s="114"/>
      <c r="R144" s="113"/>
      <c r="S144" s="111"/>
      <c r="T144" s="114"/>
      <c r="U144" s="110"/>
      <c r="V144" s="111"/>
      <c r="W144" s="110"/>
      <c r="X144" s="110"/>
      <c r="Y144" s="110"/>
      <c r="Z144" s="110"/>
      <c r="AA144" s="110"/>
      <c r="AB144" s="115"/>
      <c r="AC144" s="115"/>
      <c r="AD144" s="115"/>
    </row>
    <row r="145" spans="1:30" ht="30" hidden="1" customHeight="1" x14ac:dyDescent="0.2">
      <c r="A145" s="108"/>
      <c r="B145" s="448"/>
      <c r="C145" s="385"/>
      <c r="D145" s="109"/>
      <c r="E145" s="109"/>
      <c r="F145" s="110"/>
      <c r="G145" s="111"/>
      <c r="H145" s="110"/>
      <c r="I145" s="112"/>
      <c r="J145" s="111"/>
      <c r="K145" s="110"/>
      <c r="L145" s="113"/>
      <c r="M145" s="111"/>
      <c r="N145" s="114"/>
      <c r="O145" s="113"/>
      <c r="P145" s="111"/>
      <c r="Q145" s="114"/>
      <c r="R145" s="113"/>
      <c r="S145" s="111"/>
      <c r="T145" s="114"/>
      <c r="U145" s="110"/>
      <c r="V145" s="111"/>
      <c r="W145" s="110"/>
      <c r="X145" s="110"/>
      <c r="Y145" s="110"/>
      <c r="Z145" s="110"/>
      <c r="AA145" s="110"/>
      <c r="AB145" s="115"/>
      <c r="AC145" s="115"/>
      <c r="AD145" s="115"/>
    </row>
    <row r="146" spans="1:30" ht="30" hidden="1" customHeight="1" x14ac:dyDescent="0.2">
      <c r="A146" s="108"/>
      <c r="B146" s="448"/>
      <c r="C146" s="385"/>
      <c r="D146" s="109"/>
      <c r="E146" s="109"/>
      <c r="F146" s="110"/>
      <c r="G146" s="111"/>
      <c r="H146" s="110"/>
      <c r="I146" s="112"/>
      <c r="J146" s="111"/>
      <c r="K146" s="110"/>
      <c r="L146" s="113"/>
      <c r="M146" s="111"/>
      <c r="N146" s="114"/>
      <c r="O146" s="113"/>
      <c r="P146" s="111"/>
      <c r="Q146" s="114"/>
      <c r="R146" s="113"/>
      <c r="S146" s="111"/>
      <c r="T146" s="114"/>
      <c r="U146" s="110"/>
      <c r="V146" s="111"/>
      <c r="W146" s="110"/>
      <c r="X146" s="110"/>
      <c r="Y146" s="110"/>
      <c r="Z146" s="110"/>
      <c r="AA146" s="110"/>
      <c r="AB146" s="115"/>
      <c r="AC146" s="115"/>
      <c r="AD146" s="115"/>
    </row>
    <row r="147" spans="1:30" ht="30" hidden="1" customHeight="1" x14ac:dyDescent="0.2">
      <c r="A147" s="108"/>
      <c r="B147" s="448"/>
      <c r="C147" s="385"/>
      <c r="D147" s="109"/>
      <c r="E147" s="109"/>
      <c r="F147" s="110"/>
      <c r="G147" s="111"/>
      <c r="H147" s="110"/>
      <c r="I147" s="112"/>
      <c r="J147" s="111"/>
      <c r="K147" s="110"/>
      <c r="L147" s="113"/>
      <c r="M147" s="111"/>
      <c r="N147" s="114"/>
      <c r="O147" s="113"/>
      <c r="P147" s="111"/>
      <c r="Q147" s="114"/>
      <c r="R147" s="113"/>
      <c r="S147" s="111"/>
      <c r="T147" s="114"/>
      <c r="U147" s="110"/>
      <c r="V147" s="111"/>
      <c r="W147" s="110"/>
      <c r="X147" s="110"/>
      <c r="Y147" s="110"/>
      <c r="Z147" s="110"/>
      <c r="AA147" s="110"/>
      <c r="AB147" s="115"/>
      <c r="AC147" s="115"/>
      <c r="AD147" s="115"/>
    </row>
    <row r="148" spans="1:30" ht="30" hidden="1" customHeight="1" x14ac:dyDescent="0.2">
      <c r="A148" s="108"/>
      <c r="B148" s="448"/>
      <c r="C148" s="385"/>
      <c r="D148" s="109"/>
      <c r="E148" s="109"/>
      <c r="F148" s="110"/>
      <c r="G148" s="111"/>
      <c r="H148" s="110"/>
      <c r="I148" s="112"/>
      <c r="J148" s="111"/>
      <c r="K148" s="110"/>
      <c r="L148" s="113"/>
      <c r="M148" s="111"/>
      <c r="N148" s="114"/>
      <c r="O148" s="113"/>
      <c r="P148" s="111"/>
      <c r="Q148" s="114"/>
      <c r="R148" s="113"/>
      <c r="S148" s="111"/>
      <c r="T148" s="114"/>
      <c r="U148" s="110"/>
      <c r="V148" s="111"/>
      <c r="W148" s="110"/>
      <c r="X148" s="110"/>
      <c r="Y148" s="110"/>
      <c r="Z148" s="110"/>
      <c r="AA148" s="110"/>
      <c r="AB148" s="115"/>
      <c r="AC148" s="115"/>
      <c r="AD148" s="115"/>
    </row>
    <row r="149" spans="1:30" ht="30" hidden="1" customHeight="1" x14ac:dyDescent="0.2">
      <c r="A149" s="108"/>
      <c r="B149" s="448"/>
      <c r="C149" s="385"/>
      <c r="D149" s="109"/>
      <c r="E149" s="109"/>
      <c r="F149" s="110"/>
      <c r="G149" s="111"/>
      <c r="H149" s="110"/>
      <c r="I149" s="112"/>
      <c r="J149" s="111"/>
      <c r="K149" s="110"/>
      <c r="L149" s="113"/>
      <c r="M149" s="111"/>
      <c r="N149" s="114"/>
      <c r="O149" s="113"/>
      <c r="P149" s="111"/>
      <c r="Q149" s="114"/>
      <c r="R149" s="113"/>
      <c r="S149" s="111"/>
      <c r="T149" s="114"/>
      <c r="U149" s="110"/>
      <c r="V149" s="111"/>
      <c r="W149" s="110"/>
      <c r="X149" s="110"/>
      <c r="Y149" s="110"/>
      <c r="Z149" s="110"/>
      <c r="AA149" s="110"/>
      <c r="AB149" s="115"/>
      <c r="AC149" s="115"/>
      <c r="AD149" s="115"/>
    </row>
    <row r="150" spans="1:30" ht="30" hidden="1" customHeight="1" x14ac:dyDescent="0.2">
      <c r="A150" s="108"/>
      <c r="B150" s="448"/>
      <c r="C150" s="385"/>
      <c r="D150" s="109"/>
      <c r="E150" s="109"/>
      <c r="F150" s="110"/>
      <c r="G150" s="111"/>
      <c r="H150" s="110"/>
      <c r="I150" s="112"/>
      <c r="J150" s="111"/>
      <c r="K150" s="110"/>
      <c r="L150" s="113"/>
      <c r="M150" s="111"/>
      <c r="N150" s="114"/>
      <c r="O150" s="113"/>
      <c r="P150" s="111"/>
      <c r="Q150" s="114"/>
      <c r="R150" s="113"/>
      <c r="S150" s="111"/>
      <c r="T150" s="114"/>
      <c r="U150" s="110"/>
      <c r="V150" s="111"/>
      <c r="W150" s="110"/>
      <c r="X150" s="110"/>
      <c r="Y150" s="110"/>
      <c r="Z150" s="110"/>
      <c r="AA150" s="110"/>
      <c r="AB150" s="115"/>
      <c r="AC150" s="115"/>
      <c r="AD150" s="115"/>
    </row>
    <row r="151" spans="1:30" ht="30" hidden="1" customHeight="1" x14ac:dyDescent="0.2">
      <c r="A151" s="108"/>
      <c r="B151" s="448"/>
      <c r="C151" s="385"/>
      <c r="D151" s="109"/>
      <c r="E151" s="109"/>
      <c r="F151" s="110"/>
      <c r="G151" s="111"/>
      <c r="H151" s="110"/>
      <c r="I151" s="112"/>
      <c r="J151" s="111"/>
      <c r="K151" s="110"/>
      <c r="L151" s="113"/>
      <c r="M151" s="111"/>
      <c r="N151" s="114"/>
      <c r="O151" s="113"/>
      <c r="P151" s="111"/>
      <c r="Q151" s="114"/>
      <c r="R151" s="113"/>
      <c r="S151" s="111"/>
      <c r="T151" s="114"/>
      <c r="U151" s="110"/>
      <c r="V151" s="111"/>
      <c r="W151" s="110"/>
      <c r="X151" s="110"/>
      <c r="Y151" s="110"/>
      <c r="Z151" s="110"/>
      <c r="AA151" s="110"/>
      <c r="AB151" s="115"/>
      <c r="AC151" s="115"/>
      <c r="AD151" s="115"/>
    </row>
    <row r="152" spans="1:30" ht="30" hidden="1" customHeight="1" x14ac:dyDescent="0.2">
      <c r="A152" s="108"/>
      <c r="B152" s="448"/>
      <c r="C152" s="385"/>
      <c r="D152" s="109"/>
      <c r="E152" s="109"/>
      <c r="F152" s="110"/>
      <c r="G152" s="111"/>
      <c r="H152" s="110"/>
      <c r="I152" s="112"/>
      <c r="J152" s="111"/>
      <c r="K152" s="110"/>
      <c r="L152" s="113"/>
      <c r="M152" s="111"/>
      <c r="N152" s="114"/>
      <c r="O152" s="113"/>
      <c r="P152" s="111"/>
      <c r="Q152" s="114"/>
      <c r="R152" s="113"/>
      <c r="S152" s="111"/>
      <c r="T152" s="114"/>
      <c r="U152" s="110"/>
      <c r="V152" s="111"/>
      <c r="W152" s="110"/>
      <c r="X152" s="110"/>
      <c r="Y152" s="110"/>
      <c r="Z152" s="110"/>
      <c r="AA152" s="110"/>
      <c r="AB152" s="115"/>
      <c r="AC152" s="115"/>
      <c r="AD152" s="115"/>
    </row>
    <row r="153" spans="1:30" ht="30" hidden="1" customHeight="1" x14ac:dyDescent="0.2">
      <c r="A153" s="108"/>
      <c r="B153" s="448"/>
      <c r="C153" s="385"/>
      <c r="D153" s="109"/>
      <c r="E153" s="109"/>
      <c r="F153" s="110"/>
      <c r="G153" s="111"/>
      <c r="H153" s="110"/>
      <c r="I153" s="112"/>
      <c r="J153" s="111"/>
      <c r="K153" s="110"/>
      <c r="L153" s="113"/>
      <c r="M153" s="111"/>
      <c r="N153" s="114"/>
      <c r="O153" s="113"/>
      <c r="P153" s="111"/>
      <c r="Q153" s="114"/>
      <c r="R153" s="113"/>
      <c r="S153" s="111"/>
      <c r="T153" s="114"/>
      <c r="U153" s="110"/>
      <c r="V153" s="111"/>
      <c r="W153" s="110"/>
      <c r="X153" s="110"/>
      <c r="Y153" s="110"/>
      <c r="Z153" s="110"/>
      <c r="AA153" s="110"/>
      <c r="AB153" s="115"/>
      <c r="AC153" s="115"/>
      <c r="AD153" s="115"/>
    </row>
    <row r="154" spans="1:30" ht="30" hidden="1" customHeight="1" x14ac:dyDescent="0.2">
      <c r="A154" s="108"/>
      <c r="B154" s="448"/>
      <c r="C154" s="385"/>
      <c r="D154" s="109"/>
      <c r="E154" s="109"/>
      <c r="F154" s="110"/>
      <c r="G154" s="111"/>
      <c r="H154" s="110"/>
      <c r="I154" s="112"/>
      <c r="J154" s="111"/>
      <c r="K154" s="110"/>
      <c r="L154" s="113"/>
      <c r="M154" s="111"/>
      <c r="N154" s="114"/>
      <c r="O154" s="113"/>
      <c r="P154" s="111"/>
      <c r="Q154" s="114"/>
      <c r="R154" s="113"/>
      <c r="S154" s="111"/>
      <c r="T154" s="114"/>
      <c r="U154" s="110"/>
      <c r="V154" s="111"/>
      <c r="W154" s="110"/>
      <c r="X154" s="110"/>
      <c r="Y154" s="110"/>
      <c r="Z154" s="110"/>
      <c r="AA154" s="110"/>
      <c r="AB154" s="115"/>
      <c r="AC154" s="115"/>
      <c r="AD154" s="115"/>
    </row>
    <row r="155" spans="1:30" ht="30" hidden="1" customHeight="1" x14ac:dyDescent="0.2">
      <c r="A155" s="108"/>
      <c r="B155" s="448"/>
      <c r="C155" s="385"/>
      <c r="D155" s="109"/>
      <c r="E155" s="109"/>
      <c r="F155" s="110"/>
      <c r="G155" s="111"/>
      <c r="H155" s="110"/>
      <c r="I155" s="112"/>
      <c r="J155" s="111"/>
      <c r="K155" s="110"/>
      <c r="L155" s="113"/>
      <c r="M155" s="111"/>
      <c r="N155" s="114"/>
      <c r="O155" s="113"/>
      <c r="P155" s="111"/>
      <c r="Q155" s="114"/>
      <c r="R155" s="113"/>
      <c r="S155" s="111"/>
      <c r="T155" s="114"/>
      <c r="U155" s="110"/>
      <c r="V155" s="111"/>
      <c r="W155" s="110"/>
      <c r="X155" s="110"/>
      <c r="Y155" s="110"/>
      <c r="Z155" s="110"/>
      <c r="AA155" s="110"/>
      <c r="AB155" s="115"/>
      <c r="AC155" s="115"/>
      <c r="AD155" s="115"/>
    </row>
    <row r="156" spans="1:30" ht="30" hidden="1" customHeight="1" x14ac:dyDescent="0.2">
      <c r="A156" s="108"/>
      <c r="B156" s="448"/>
      <c r="C156" s="385"/>
      <c r="D156" s="109"/>
      <c r="E156" s="109"/>
      <c r="F156" s="110"/>
      <c r="G156" s="111"/>
      <c r="H156" s="110"/>
      <c r="I156" s="112"/>
      <c r="J156" s="111"/>
      <c r="K156" s="110"/>
      <c r="L156" s="113"/>
      <c r="M156" s="111"/>
      <c r="N156" s="114"/>
      <c r="O156" s="113"/>
      <c r="P156" s="111"/>
      <c r="Q156" s="114"/>
      <c r="R156" s="113"/>
      <c r="S156" s="111"/>
      <c r="T156" s="114"/>
      <c r="U156" s="110"/>
      <c r="V156" s="111"/>
      <c r="W156" s="110"/>
      <c r="X156" s="110"/>
      <c r="Y156" s="110"/>
      <c r="Z156" s="110"/>
      <c r="AA156" s="110"/>
      <c r="AB156" s="115"/>
      <c r="AC156" s="115"/>
      <c r="AD156" s="115"/>
    </row>
    <row r="157" spans="1:30" ht="30" hidden="1" customHeight="1" x14ac:dyDescent="0.2">
      <c r="A157" s="108"/>
      <c r="B157" s="448"/>
      <c r="C157" s="385"/>
      <c r="D157" s="109"/>
      <c r="E157" s="109"/>
      <c r="F157" s="110"/>
      <c r="G157" s="111"/>
      <c r="H157" s="110"/>
      <c r="I157" s="112"/>
      <c r="J157" s="111"/>
      <c r="K157" s="110"/>
      <c r="L157" s="113"/>
      <c r="M157" s="111"/>
      <c r="N157" s="114"/>
      <c r="O157" s="113"/>
      <c r="P157" s="111"/>
      <c r="Q157" s="114"/>
      <c r="R157" s="113"/>
      <c r="S157" s="111"/>
      <c r="T157" s="114"/>
      <c r="U157" s="110"/>
      <c r="V157" s="111"/>
      <c r="W157" s="110"/>
      <c r="X157" s="110"/>
      <c r="Y157" s="110"/>
      <c r="Z157" s="110"/>
      <c r="AA157" s="110"/>
      <c r="AB157" s="115"/>
      <c r="AC157" s="115"/>
      <c r="AD157" s="115"/>
    </row>
    <row r="158" spans="1:30" ht="30" hidden="1" customHeight="1" x14ac:dyDescent="0.2">
      <c r="A158" s="108"/>
      <c r="B158" s="448"/>
      <c r="C158" s="385"/>
      <c r="D158" s="109"/>
      <c r="E158" s="109"/>
      <c r="F158" s="110"/>
      <c r="G158" s="111"/>
      <c r="H158" s="110"/>
      <c r="I158" s="112"/>
      <c r="J158" s="111"/>
      <c r="K158" s="110"/>
      <c r="L158" s="113"/>
      <c r="M158" s="111"/>
      <c r="N158" s="114"/>
      <c r="O158" s="113"/>
      <c r="P158" s="111"/>
      <c r="Q158" s="114"/>
      <c r="R158" s="113"/>
      <c r="S158" s="111"/>
      <c r="T158" s="114"/>
      <c r="U158" s="110"/>
      <c r="V158" s="111"/>
      <c r="W158" s="110"/>
      <c r="X158" s="110"/>
      <c r="Y158" s="110"/>
      <c r="Z158" s="110"/>
      <c r="AA158" s="110"/>
      <c r="AB158" s="115"/>
      <c r="AC158" s="115"/>
      <c r="AD158" s="115"/>
    </row>
    <row r="159" spans="1:30" ht="30" hidden="1" customHeight="1" x14ac:dyDescent="0.2">
      <c r="A159" s="108"/>
      <c r="B159" s="448"/>
      <c r="C159" s="385"/>
      <c r="D159" s="109"/>
      <c r="E159" s="109"/>
      <c r="F159" s="110"/>
      <c r="G159" s="111"/>
      <c r="H159" s="110"/>
      <c r="I159" s="112"/>
      <c r="J159" s="111"/>
      <c r="K159" s="110"/>
      <c r="L159" s="113"/>
      <c r="M159" s="111"/>
      <c r="N159" s="114"/>
      <c r="O159" s="113"/>
      <c r="P159" s="111"/>
      <c r="Q159" s="114"/>
      <c r="R159" s="113"/>
      <c r="S159" s="111"/>
      <c r="T159" s="114"/>
      <c r="U159" s="110"/>
      <c r="V159" s="111"/>
      <c r="W159" s="110"/>
      <c r="X159" s="110"/>
      <c r="Y159" s="110"/>
      <c r="Z159" s="110"/>
      <c r="AA159" s="110"/>
      <c r="AB159" s="115"/>
      <c r="AC159" s="115"/>
      <c r="AD159" s="115"/>
    </row>
    <row r="160" spans="1:30" ht="30" hidden="1" customHeight="1" x14ac:dyDescent="0.2">
      <c r="A160" s="108"/>
      <c r="B160" s="448"/>
      <c r="C160" s="385"/>
      <c r="D160" s="109"/>
      <c r="E160" s="109"/>
      <c r="F160" s="110"/>
      <c r="G160" s="111"/>
      <c r="H160" s="110"/>
      <c r="I160" s="112"/>
      <c r="J160" s="111"/>
      <c r="K160" s="110"/>
      <c r="L160" s="113"/>
      <c r="M160" s="111"/>
      <c r="N160" s="114"/>
      <c r="O160" s="113"/>
      <c r="P160" s="111"/>
      <c r="Q160" s="114"/>
      <c r="R160" s="113"/>
      <c r="S160" s="111"/>
      <c r="T160" s="114"/>
      <c r="U160" s="110"/>
      <c r="V160" s="111"/>
      <c r="W160" s="110"/>
      <c r="X160" s="110"/>
      <c r="Y160" s="110"/>
      <c r="Z160" s="110"/>
      <c r="AA160" s="110"/>
      <c r="AB160" s="115"/>
      <c r="AC160" s="115"/>
      <c r="AD160" s="115"/>
    </row>
    <row r="161" spans="1:30" ht="30" hidden="1" customHeight="1" x14ac:dyDescent="0.2">
      <c r="A161" s="108"/>
      <c r="B161" s="448"/>
      <c r="C161" s="385"/>
      <c r="D161" s="109"/>
      <c r="E161" s="109"/>
      <c r="F161" s="110"/>
      <c r="G161" s="111"/>
      <c r="H161" s="110"/>
      <c r="I161" s="112"/>
      <c r="J161" s="111"/>
      <c r="K161" s="110"/>
      <c r="L161" s="113"/>
      <c r="M161" s="111"/>
      <c r="N161" s="114"/>
      <c r="O161" s="113"/>
      <c r="P161" s="111"/>
      <c r="Q161" s="114"/>
      <c r="R161" s="113"/>
      <c r="S161" s="111"/>
      <c r="T161" s="114"/>
      <c r="U161" s="110"/>
      <c r="V161" s="111"/>
      <c r="W161" s="110"/>
      <c r="X161" s="110"/>
      <c r="Y161" s="110"/>
      <c r="Z161" s="110"/>
      <c r="AA161" s="110"/>
      <c r="AB161" s="115"/>
      <c r="AC161" s="115"/>
      <c r="AD161" s="115"/>
    </row>
    <row r="162" spans="1:30" ht="30" hidden="1" customHeight="1" x14ac:dyDescent="0.2">
      <c r="A162" s="108"/>
      <c r="B162" s="448"/>
      <c r="C162" s="385"/>
      <c r="D162" s="109"/>
      <c r="E162" s="109"/>
      <c r="F162" s="110"/>
      <c r="G162" s="111"/>
      <c r="H162" s="110"/>
      <c r="I162" s="112"/>
      <c r="J162" s="111"/>
      <c r="K162" s="110"/>
      <c r="L162" s="113"/>
      <c r="M162" s="111"/>
      <c r="N162" s="114"/>
      <c r="O162" s="113"/>
      <c r="P162" s="111"/>
      <c r="Q162" s="114"/>
      <c r="R162" s="113"/>
      <c r="S162" s="111"/>
      <c r="T162" s="114"/>
      <c r="U162" s="110"/>
      <c r="V162" s="111"/>
      <c r="W162" s="110"/>
      <c r="X162" s="110"/>
      <c r="Y162" s="110"/>
      <c r="Z162" s="110"/>
      <c r="AA162" s="110"/>
      <c r="AB162" s="115"/>
      <c r="AC162" s="115"/>
      <c r="AD162" s="115"/>
    </row>
    <row r="163" spans="1:30" ht="30" hidden="1" customHeight="1" x14ac:dyDescent="0.2">
      <c r="A163" s="108"/>
      <c r="B163" s="448"/>
      <c r="C163" s="385"/>
      <c r="D163" s="109"/>
      <c r="E163" s="109"/>
      <c r="F163" s="110"/>
      <c r="G163" s="111"/>
      <c r="H163" s="110"/>
      <c r="I163" s="112"/>
      <c r="J163" s="111"/>
      <c r="K163" s="110"/>
      <c r="L163" s="113"/>
      <c r="M163" s="111"/>
      <c r="N163" s="114"/>
      <c r="O163" s="113"/>
      <c r="P163" s="111"/>
      <c r="Q163" s="114"/>
      <c r="R163" s="113"/>
      <c r="S163" s="111"/>
      <c r="T163" s="114"/>
      <c r="U163" s="110"/>
      <c r="V163" s="111"/>
      <c r="W163" s="110"/>
      <c r="X163" s="110"/>
      <c r="Y163" s="110"/>
      <c r="Z163" s="110"/>
      <c r="AA163" s="110"/>
      <c r="AB163" s="115"/>
      <c r="AC163" s="115"/>
      <c r="AD163" s="115"/>
    </row>
    <row r="164" spans="1:30" ht="30" hidden="1" customHeight="1" x14ac:dyDescent="0.2">
      <c r="A164" s="108"/>
      <c r="B164" s="448"/>
      <c r="C164" s="385"/>
      <c r="D164" s="109"/>
      <c r="E164" s="109"/>
      <c r="F164" s="110"/>
      <c r="G164" s="111"/>
      <c r="H164" s="110"/>
      <c r="I164" s="112"/>
      <c r="J164" s="111"/>
      <c r="K164" s="110"/>
      <c r="L164" s="113"/>
      <c r="M164" s="111"/>
      <c r="N164" s="114"/>
      <c r="O164" s="113"/>
      <c r="P164" s="111"/>
      <c r="Q164" s="114"/>
      <c r="R164" s="113"/>
      <c r="S164" s="111"/>
      <c r="T164" s="114"/>
      <c r="U164" s="110"/>
      <c r="V164" s="111"/>
      <c r="W164" s="110"/>
      <c r="X164" s="110"/>
      <c r="Y164" s="110"/>
      <c r="Z164" s="110"/>
      <c r="AA164" s="110"/>
      <c r="AB164" s="115"/>
      <c r="AC164" s="115"/>
      <c r="AD164" s="115"/>
    </row>
    <row r="165" spans="1:30" ht="30" hidden="1" customHeight="1" x14ac:dyDescent="0.2">
      <c r="A165" s="108"/>
      <c r="B165" s="448"/>
      <c r="C165" s="385"/>
      <c r="D165" s="109"/>
      <c r="E165" s="109"/>
      <c r="F165" s="110"/>
      <c r="G165" s="111"/>
      <c r="H165" s="110"/>
      <c r="I165" s="112"/>
      <c r="J165" s="111"/>
      <c r="K165" s="110"/>
      <c r="L165" s="113"/>
      <c r="M165" s="111"/>
      <c r="N165" s="114"/>
      <c r="O165" s="113"/>
      <c r="P165" s="111"/>
      <c r="Q165" s="114"/>
      <c r="R165" s="113"/>
      <c r="S165" s="111"/>
      <c r="T165" s="114"/>
      <c r="U165" s="110"/>
      <c r="V165" s="111"/>
      <c r="W165" s="110"/>
      <c r="X165" s="110"/>
      <c r="Y165" s="110"/>
      <c r="Z165" s="110"/>
      <c r="AA165" s="110"/>
      <c r="AB165" s="115"/>
      <c r="AC165" s="115"/>
      <c r="AD165" s="115"/>
    </row>
    <row r="166" spans="1:30" ht="30" hidden="1" customHeight="1" x14ac:dyDescent="0.2">
      <c r="A166" s="108"/>
      <c r="B166" s="448"/>
      <c r="C166" s="385"/>
      <c r="D166" s="109"/>
      <c r="E166" s="109"/>
      <c r="F166" s="110"/>
      <c r="G166" s="111"/>
      <c r="H166" s="110"/>
      <c r="I166" s="112"/>
      <c r="J166" s="111"/>
      <c r="K166" s="110"/>
      <c r="L166" s="113"/>
      <c r="M166" s="111"/>
      <c r="N166" s="114"/>
      <c r="O166" s="113"/>
      <c r="P166" s="111"/>
      <c r="Q166" s="114"/>
      <c r="R166" s="113"/>
      <c r="S166" s="111"/>
      <c r="T166" s="114"/>
      <c r="U166" s="110"/>
      <c r="V166" s="111"/>
      <c r="W166" s="110"/>
      <c r="X166" s="110"/>
      <c r="Y166" s="110"/>
      <c r="Z166" s="110"/>
      <c r="AA166" s="110"/>
      <c r="AB166" s="115"/>
      <c r="AC166" s="115"/>
      <c r="AD166" s="115"/>
    </row>
    <row r="167" spans="1:30" ht="30" hidden="1" customHeight="1" x14ac:dyDescent="0.2">
      <c r="A167" s="108"/>
      <c r="B167" s="448"/>
      <c r="C167" s="385"/>
      <c r="D167" s="109"/>
      <c r="E167" s="109"/>
      <c r="F167" s="110"/>
      <c r="G167" s="111"/>
      <c r="H167" s="110"/>
      <c r="I167" s="112"/>
      <c r="J167" s="111"/>
      <c r="K167" s="110"/>
      <c r="L167" s="113"/>
      <c r="M167" s="111"/>
      <c r="N167" s="114"/>
      <c r="O167" s="113"/>
      <c r="P167" s="111"/>
      <c r="Q167" s="114"/>
      <c r="R167" s="113"/>
      <c r="S167" s="111"/>
      <c r="T167" s="114"/>
      <c r="U167" s="110"/>
      <c r="V167" s="111"/>
      <c r="W167" s="110"/>
      <c r="X167" s="110"/>
      <c r="Y167" s="110"/>
      <c r="Z167" s="110"/>
      <c r="AA167" s="110"/>
      <c r="AB167" s="115"/>
      <c r="AC167" s="115"/>
      <c r="AD167" s="115"/>
    </row>
    <row r="168" spans="1:30" ht="30" hidden="1" customHeight="1" x14ac:dyDescent="0.2">
      <c r="A168" s="108"/>
      <c r="B168" s="448"/>
      <c r="C168" s="385"/>
      <c r="D168" s="109"/>
      <c r="E168" s="109"/>
      <c r="F168" s="110"/>
      <c r="G168" s="111"/>
      <c r="H168" s="110"/>
      <c r="I168" s="112"/>
      <c r="J168" s="111"/>
      <c r="K168" s="110"/>
      <c r="L168" s="113"/>
      <c r="M168" s="111"/>
      <c r="N168" s="114"/>
      <c r="O168" s="113"/>
      <c r="P168" s="111"/>
      <c r="Q168" s="114"/>
      <c r="R168" s="113"/>
      <c r="S168" s="111"/>
      <c r="T168" s="114"/>
      <c r="U168" s="110"/>
      <c r="V168" s="111"/>
      <c r="W168" s="110"/>
      <c r="X168" s="110"/>
      <c r="Y168" s="110"/>
      <c r="Z168" s="110"/>
      <c r="AA168" s="110"/>
      <c r="AB168" s="115"/>
      <c r="AC168" s="115"/>
      <c r="AD168" s="115"/>
    </row>
    <row r="169" spans="1:30" ht="30" hidden="1" customHeight="1" x14ac:dyDescent="0.2">
      <c r="A169" s="108"/>
      <c r="B169" s="448"/>
      <c r="C169" s="385"/>
      <c r="D169" s="109"/>
      <c r="E169" s="109"/>
      <c r="F169" s="110"/>
      <c r="G169" s="111"/>
      <c r="H169" s="110"/>
      <c r="I169" s="112"/>
      <c r="J169" s="111"/>
      <c r="K169" s="110"/>
      <c r="L169" s="113"/>
      <c r="M169" s="111"/>
      <c r="N169" s="114"/>
      <c r="O169" s="113"/>
      <c r="P169" s="111"/>
      <c r="Q169" s="114"/>
      <c r="R169" s="113"/>
      <c r="S169" s="111"/>
      <c r="T169" s="114"/>
      <c r="U169" s="110"/>
      <c r="V169" s="111"/>
      <c r="W169" s="110"/>
      <c r="X169" s="110"/>
      <c r="Y169" s="110"/>
      <c r="Z169" s="110"/>
      <c r="AA169" s="110"/>
      <c r="AB169" s="115"/>
      <c r="AC169" s="115"/>
      <c r="AD169" s="115"/>
    </row>
    <row r="170" spans="1:30" ht="30" hidden="1" customHeight="1" x14ac:dyDescent="0.2">
      <c r="A170" s="108"/>
      <c r="B170" s="448"/>
      <c r="C170" s="385"/>
      <c r="D170" s="109"/>
      <c r="E170" s="109"/>
      <c r="F170" s="110"/>
      <c r="G170" s="111"/>
      <c r="H170" s="110"/>
      <c r="I170" s="112"/>
      <c r="J170" s="111"/>
      <c r="K170" s="110"/>
      <c r="L170" s="113"/>
      <c r="M170" s="111"/>
      <c r="N170" s="114"/>
      <c r="O170" s="113"/>
      <c r="P170" s="111"/>
      <c r="Q170" s="114"/>
      <c r="R170" s="113"/>
      <c r="S170" s="111"/>
      <c r="T170" s="114"/>
      <c r="U170" s="110"/>
      <c r="V170" s="111"/>
      <c r="W170" s="110"/>
      <c r="X170" s="110"/>
      <c r="Y170" s="110"/>
      <c r="Z170" s="110"/>
      <c r="AA170" s="110"/>
      <c r="AB170" s="115"/>
      <c r="AC170" s="115"/>
      <c r="AD170" s="115"/>
    </row>
    <row r="171" spans="1:30" ht="30" hidden="1" customHeight="1" x14ac:dyDescent="0.2">
      <c r="A171" s="108"/>
      <c r="B171" s="448"/>
      <c r="C171" s="385"/>
      <c r="D171" s="109"/>
      <c r="E171" s="109"/>
      <c r="F171" s="110"/>
      <c r="G171" s="111"/>
      <c r="H171" s="110"/>
      <c r="I171" s="112"/>
      <c r="J171" s="111"/>
      <c r="K171" s="110"/>
      <c r="L171" s="113"/>
      <c r="M171" s="111"/>
      <c r="N171" s="114"/>
      <c r="O171" s="113"/>
      <c r="P171" s="111"/>
      <c r="Q171" s="114"/>
      <c r="R171" s="113"/>
      <c r="S171" s="111"/>
      <c r="T171" s="114"/>
      <c r="U171" s="110"/>
      <c r="V171" s="111"/>
      <c r="W171" s="110"/>
      <c r="X171" s="110"/>
      <c r="Y171" s="110"/>
      <c r="Z171" s="110"/>
      <c r="AA171" s="110"/>
      <c r="AB171" s="115"/>
      <c r="AC171" s="115"/>
      <c r="AD171" s="115"/>
    </row>
    <row r="172" spans="1:30" ht="30" hidden="1" customHeight="1" x14ac:dyDescent="0.2">
      <c r="A172" s="108"/>
      <c r="B172" s="448"/>
      <c r="C172" s="385"/>
      <c r="D172" s="109"/>
      <c r="E172" s="109"/>
      <c r="F172" s="110"/>
      <c r="G172" s="111"/>
      <c r="H172" s="110"/>
      <c r="I172" s="112"/>
      <c r="J172" s="111"/>
      <c r="K172" s="110"/>
      <c r="L172" s="113"/>
      <c r="M172" s="111"/>
      <c r="N172" s="114"/>
      <c r="O172" s="113"/>
      <c r="P172" s="111"/>
      <c r="Q172" s="114"/>
      <c r="R172" s="113"/>
      <c r="S172" s="111"/>
      <c r="T172" s="114"/>
      <c r="U172" s="110"/>
      <c r="V172" s="111"/>
      <c r="W172" s="110"/>
      <c r="X172" s="110"/>
      <c r="Y172" s="110"/>
      <c r="Z172" s="110"/>
      <c r="AA172" s="110"/>
      <c r="AB172" s="115"/>
      <c r="AC172" s="115"/>
      <c r="AD172" s="115"/>
    </row>
    <row r="173" spans="1:30" ht="30" hidden="1" customHeight="1" x14ac:dyDescent="0.2">
      <c r="A173" s="108"/>
      <c r="B173" s="448"/>
      <c r="C173" s="385"/>
      <c r="D173" s="109"/>
      <c r="E173" s="109"/>
      <c r="F173" s="110"/>
      <c r="G173" s="111"/>
      <c r="H173" s="110"/>
      <c r="I173" s="112"/>
      <c r="J173" s="111"/>
      <c r="K173" s="110"/>
      <c r="L173" s="113"/>
      <c r="M173" s="111"/>
      <c r="N173" s="114"/>
      <c r="O173" s="113"/>
      <c r="P173" s="111"/>
      <c r="Q173" s="114"/>
      <c r="R173" s="113"/>
      <c r="S173" s="111"/>
      <c r="T173" s="114"/>
      <c r="U173" s="110"/>
      <c r="V173" s="111"/>
      <c r="W173" s="110"/>
      <c r="X173" s="110"/>
      <c r="Y173" s="110"/>
      <c r="Z173" s="110"/>
      <c r="AA173" s="110"/>
      <c r="AB173" s="115"/>
      <c r="AC173" s="115"/>
      <c r="AD173" s="115"/>
    </row>
    <row r="174" spans="1:30" ht="30" hidden="1" customHeight="1" x14ac:dyDescent="0.2">
      <c r="A174" s="108"/>
      <c r="B174" s="448"/>
      <c r="C174" s="385"/>
      <c r="D174" s="109"/>
      <c r="E174" s="109"/>
      <c r="F174" s="110"/>
      <c r="G174" s="111"/>
      <c r="H174" s="110"/>
      <c r="I174" s="112"/>
      <c r="J174" s="111"/>
      <c r="K174" s="110"/>
      <c r="L174" s="113"/>
      <c r="M174" s="111"/>
      <c r="N174" s="114"/>
      <c r="O174" s="113"/>
      <c r="P174" s="111"/>
      <c r="Q174" s="114"/>
      <c r="R174" s="113"/>
      <c r="S174" s="111"/>
      <c r="T174" s="114"/>
      <c r="U174" s="110"/>
      <c r="V174" s="111"/>
      <c r="W174" s="110"/>
      <c r="X174" s="110"/>
      <c r="Y174" s="110"/>
      <c r="Z174" s="110"/>
      <c r="AA174" s="110"/>
      <c r="AB174" s="115"/>
      <c r="AC174" s="115"/>
      <c r="AD174" s="115"/>
    </row>
    <row r="175" spans="1:30" ht="30" hidden="1" customHeight="1" x14ac:dyDescent="0.2">
      <c r="A175" s="108"/>
      <c r="B175" s="448"/>
      <c r="C175" s="385"/>
      <c r="D175" s="109"/>
      <c r="E175" s="109"/>
      <c r="F175" s="110"/>
      <c r="G175" s="111"/>
      <c r="H175" s="110"/>
      <c r="I175" s="112"/>
      <c r="J175" s="111"/>
      <c r="K175" s="110"/>
      <c r="L175" s="113"/>
      <c r="M175" s="111"/>
      <c r="N175" s="114"/>
      <c r="O175" s="113"/>
      <c r="P175" s="111"/>
      <c r="Q175" s="114"/>
      <c r="R175" s="113"/>
      <c r="S175" s="111"/>
      <c r="T175" s="114"/>
      <c r="U175" s="110"/>
      <c r="V175" s="111"/>
      <c r="W175" s="110"/>
      <c r="X175" s="110"/>
      <c r="Y175" s="110"/>
      <c r="Z175" s="110"/>
      <c r="AA175" s="110"/>
      <c r="AB175" s="115"/>
      <c r="AC175" s="115"/>
      <c r="AD175" s="115"/>
    </row>
    <row r="176" spans="1:30" ht="30" hidden="1" customHeight="1" x14ac:dyDescent="0.2">
      <c r="A176" s="108"/>
      <c r="B176" s="448"/>
      <c r="C176" s="385"/>
      <c r="D176" s="109"/>
      <c r="E176" s="109"/>
      <c r="F176" s="110"/>
      <c r="G176" s="111"/>
      <c r="H176" s="110"/>
      <c r="I176" s="112"/>
      <c r="J176" s="111"/>
      <c r="K176" s="110"/>
      <c r="L176" s="113"/>
      <c r="M176" s="111"/>
      <c r="N176" s="114"/>
      <c r="O176" s="113"/>
      <c r="P176" s="111"/>
      <c r="Q176" s="114"/>
      <c r="R176" s="113"/>
      <c r="S176" s="111"/>
      <c r="T176" s="114"/>
      <c r="U176" s="110"/>
      <c r="V176" s="111"/>
      <c r="W176" s="110"/>
      <c r="X176" s="110"/>
      <c r="Y176" s="110"/>
      <c r="Z176" s="110"/>
      <c r="AA176" s="110"/>
      <c r="AB176" s="115"/>
      <c r="AC176" s="115"/>
      <c r="AD176" s="115"/>
    </row>
    <row r="177" spans="1:30" ht="30" hidden="1" customHeight="1" x14ac:dyDescent="0.2">
      <c r="A177" s="108"/>
      <c r="B177" s="448"/>
      <c r="C177" s="385"/>
      <c r="D177" s="109"/>
      <c r="E177" s="109"/>
      <c r="F177" s="110"/>
      <c r="G177" s="111"/>
      <c r="H177" s="110"/>
      <c r="I177" s="112"/>
      <c r="J177" s="111"/>
      <c r="K177" s="110"/>
      <c r="L177" s="113"/>
      <c r="M177" s="111"/>
      <c r="N177" s="114"/>
      <c r="O177" s="113"/>
      <c r="P177" s="111"/>
      <c r="Q177" s="114"/>
      <c r="R177" s="113"/>
      <c r="S177" s="111"/>
      <c r="T177" s="114"/>
      <c r="U177" s="110"/>
      <c r="V177" s="111"/>
      <c r="W177" s="110"/>
      <c r="X177" s="110"/>
      <c r="Y177" s="110"/>
      <c r="Z177" s="110"/>
      <c r="AA177" s="110"/>
      <c r="AB177" s="115"/>
      <c r="AC177" s="115"/>
      <c r="AD177" s="115"/>
    </row>
    <row r="178" spans="1:30" ht="30" hidden="1" customHeight="1" x14ac:dyDescent="0.2">
      <c r="A178" s="108"/>
      <c r="B178" s="448"/>
      <c r="C178" s="385"/>
      <c r="D178" s="109"/>
      <c r="E178" s="109"/>
      <c r="F178" s="110"/>
      <c r="G178" s="111"/>
      <c r="H178" s="110"/>
      <c r="I178" s="112"/>
      <c r="J178" s="111"/>
      <c r="K178" s="110"/>
      <c r="L178" s="113"/>
      <c r="M178" s="111"/>
      <c r="N178" s="114"/>
      <c r="O178" s="113"/>
      <c r="P178" s="111"/>
      <c r="Q178" s="114"/>
      <c r="R178" s="113"/>
      <c r="S178" s="111"/>
      <c r="T178" s="114"/>
      <c r="U178" s="110"/>
      <c r="V178" s="111"/>
      <c r="W178" s="110"/>
      <c r="X178" s="110"/>
      <c r="Y178" s="110"/>
      <c r="Z178" s="110"/>
      <c r="AA178" s="110"/>
      <c r="AB178" s="115"/>
      <c r="AC178" s="115"/>
      <c r="AD178" s="115"/>
    </row>
    <row r="179" spans="1:30" ht="30" hidden="1" customHeight="1" x14ac:dyDescent="0.2">
      <c r="A179" s="108"/>
      <c r="B179" s="448"/>
      <c r="C179" s="385"/>
      <c r="D179" s="109"/>
      <c r="E179" s="109"/>
      <c r="F179" s="110"/>
      <c r="G179" s="111"/>
      <c r="H179" s="110"/>
      <c r="I179" s="112"/>
      <c r="J179" s="111"/>
      <c r="K179" s="110"/>
      <c r="L179" s="113"/>
      <c r="M179" s="111"/>
      <c r="N179" s="114"/>
      <c r="O179" s="113"/>
      <c r="P179" s="111"/>
      <c r="Q179" s="114"/>
      <c r="R179" s="113"/>
      <c r="S179" s="111"/>
      <c r="T179" s="114"/>
      <c r="U179" s="110"/>
      <c r="V179" s="111"/>
      <c r="W179" s="110"/>
      <c r="X179" s="110"/>
      <c r="Y179" s="110"/>
      <c r="Z179" s="110"/>
      <c r="AA179" s="110"/>
      <c r="AB179" s="115"/>
      <c r="AC179" s="115"/>
      <c r="AD179" s="115"/>
    </row>
    <row r="180" spans="1:30" ht="30" hidden="1" customHeight="1" x14ac:dyDescent="0.2">
      <c r="A180" s="108"/>
      <c r="B180" s="448"/>
      <c r="C180" s="385"/>
      <c r="D180" s="109"/>
      <c r="E180" s="109"/>
      <c r="F180" s="110"/>
      <c r="G180" s="111"/>
      <c r="H180" s="110"/>
      <c r="I180" s="112"/>
      <c r="J180" s="111"/>
      <c r="K180" s="110"/>
      <c r="L180" s="113"/>
      <c r="M180" s="111"/>
      <c r="N180" s="114"/>
      <c r="O180" s="113"/>
      <c r="P180" s="111"/>
      <c r="Q180" s="114"/>
      <c r="R180" s="113"/>
      <c r="S180" s="111"/>
      <c r="T180" s="114"/>
      <c r="U180" s="110"/>
      <c r="V180" s="111"/>
      <c r="W180" s="110"/>
      <c r="X180" s="110"/>
      <c r="Y180" s="110"/>
      <c r="Z180" s="110"/>
      <c r="AA180" s="110"/>
      <c r="AB180" s="115"/>
      <c r="AC180" s="115"/>
      <c r="AD180" s="115"/>
    </row>
    <row r="181" spans="1:30" ht="30" hidden="1" customHeight="1" x14ac:dyDescent="0.2">
      <c r="A181" s="108"/>
      <c r="B181" s="448"/>
      <c r="C181" s="385"/>
      <c r="D181" s="109"/>
      <c r="E181" s="109"/>
      <c r="F181" s="110"/>
      <c r="G181" s="111"/>
      <c r="H181" s="110"/>
      <c r="I181" s="112"/>
      <c r="J181" s="111"/>
      <c r="K181" s="110"/>
      <c r="L181" s="113"/>
      <c r="M181" s="111"/>
      <c r="N181" s="114"/>
      <c r="O181" s="113"/>
      <c r="P181" s="111"/>
      <c r="Q181" s="114"/>
      <c r="R181" s="113"/>
      <c r="S181" s="111"/>
      <c r="T181" s="114"/>
      <c r="U181" s="110"/>
      <c r="V181" s="111"/>
      <c r="W181" s="110"/>
      <c r="X181" s="110"/>
      <c r="Y181" s="110"/>
      <c r="Z181" s="110"/>
      <c r="AA181" s="110"/>
      <c r="AB181" s="115"/>
      <c r="AC181" s="115"/>
      <c r="AD181" s="115"/>
    </row>
    <row r="182" spans="1:30" ht="30" hidden="1" customHeight="1" x14ac:dyDescent="0.2">
      <c r="A182" s="108"/>
      <c r="B182" s="448"/>
      <c r="C182" s="385"/>
      <c r="D182" s="109"/>
      <c r="E182" s="109"/>
      <c r="F182" s="110"/>
      <c r="G182" s="111"/>
      <c r="H182" s="110"/>
      <c r="I182" s="112"/>
      <c r="J182" s="111"/>
      <c r="K182" s="110"/>
      <c r="L182" s="113"/>
      <c r="M182" s="111"/>
      <c r="N182" s="114"/>
      <c r="O182" s="113"/>
      <c r="P182" s="111"/>
      <c r="Q182" s="114"/>
      <c r="R182" s="113"/>
      <c r="S182" s="111"/>
      <c r="T182" s="114"/>
      <c r="U182" s="110"/>
      <c r="V182" s="111"/>
      <c r="W182" s="110"/>
      <c r="X182" s="110"/>
      <c r="Y182" s="110"/>
      <c r="Z182" s="110"/>
      <c r="AA182" s="110"/>
      <c r="AB182" s="115"/>
      <c r="AC182" s="115"/>
      <c r="AD182" s="115"/>
    </row>
    <row r="183" spans="1:30" ht="30" hidden="1" customHeight="1" x14ac:dyDescent="0.2">
      <c r="A183" s="108"/>
      <c r="B183" s="448"/>
      <c r="C183" s="385"/>
      <c r="D183" s="109"/>
      <c r="E183" s="109"/>
      <c r="F183" s="110"/>
      <c r="G183" s="111"/>
      <c r="H183" s="110"/>
      <c r="I183" s="112"/>
      <c r="J183" s="111"/>
      <c r="K183" s="110"/>
      <c r="L183" s="113"/>
      <c r="M183" s="111"/>
      <c r="N183" s="114"/>
      <c r="O183" s="113"/>
      <c r="P183" s="111"/>
      <c r="Q183" s="114"/>
      <c r="R183" s="113"/>
      <c r="S183" s="111"/>
      <c r="T183" s="114"/>
      <c r="U183" s="110"/>
      <c r="V183" s="111"/>
      <c r="W183" s="110"/>
      <c r="X183" s="110"/>
      <c r="Y183" s="110"/>
      <c r="Z183" s="110"/>
      <c r="AA183" s="110"/>
      <c r="AB183" s="115"/>
      <c r="AC183" s="115"/>
      <c r="AD183" s="115"/>
    </row>
    <row r="184" spans="1:30" ht="30" hidden="1" customHeight="1" x14ac:dyDescent="0.2">
      <c r="A184" s="108"/>
      <c r="B184" s="448"/>
      <c r="C184" s="385"/>
      <c r="D184" s="109"/>
      <c r="E184" s="109"/>
      <c r="F184" s="110"/>
      <c r="G184" s="111"/>
      <c r="H184" s="110"/>
      <c r="I184" s="112"/>
      <c r="J184" s="111"/>
      <c r="K184" s="110"/>
      <c r="L184" s="113"/>
      <c r="M184" s="111"/>
      <c r="N184" s="114"/>
      <c r="O184" s="113"/>
      <c r="P184" s="111"/>
      <c r="Q184" s="114"/>
      <c r="R184" s="113"/>
      <c r="S184" s="111"/>
      <c r="T184" s="114"/>
      <c r="U184" s="110"/>
      <c r="V184" s="111"/>
      <c r="W184" s="110"/>
      <c r="X184" s="110"/>
      <c r="Y184" s="110"/>
      <c r="Z184" s="110"/>
      <c r="AA184" s="110"/>
      <c r="AB184" s="115"/>
      <c r="AC184" s="115"/>
      <c r="AD184" s="115"/>
    </row>
    <row r="185" spans="1:30" ht="30" hidden="1" customHeight="1" x14ac:dyDescent="0.2">
      <c r="A185" s="108"/>
      <c r="B185" s="448"/>
      <c r="C185" s="385"/>
      <c r="D185" s="109"/>
      <c r="E185" s="109"/>
      <c r="F185" s="110"/>
      <c r="G185" s="111"/>
      <c r="H185" s="110"/>
      <c r="I185" s="112"/>
      <c r="J185" s="111"/>
      <c r="K185" s="110"/>
      <c r="L185" s="113"/>
      <c r="M185" s="111"/>
      <c r="N185" s="114"/>
      <c r="O185" s="113"/>
      <c r="P185" s="111"/>
      <c r="Q185" s="114"/>
      <c r="R185" s="113"/>
      <c r="S185" s="111"/>
      <c r="T185" s="114"/>
      <c r="U185" s="110"/>
      <c r="V185" s="111"/>
      <c r="W185" s="110"/>
      <c r="X185" s="110"/>
      <c r="Y185" s="110"/>
      <c r="Z185" s="110"/>
      <c r="AA185" s="110"/>
      <c r="AB185" s="115"/>
      <c r="AC185" s="115"/>
      <c r="AD185" s="115"/>
    </row>
    <row r="186" spans="1:30" ht="30" hidden="1" customHeight="1" x14ac:dyDescent="0.2">
      <c r="A186" s="108"/>
      <c r="B186" s="448"/>
      <c r="C186" s="385"/>
      <c r="D186" s="109"/>
      <c r="E186" s="109"/>
      <c r="F186" s="110"/>
      <c r="G186" s="111"/>
      <c r="H186" s="110"/>
      <c r="I186" s="112"/>
      <c r="J186" s="111"/>
      <c r="K186" s="110"/>
      <c r="L186" s="113"/>
      <c r="M186" s="111"/>
      <c r="N186" s="114"/>
      <c r="O186" s="113"/>
      <c r="P186" s="111"/>
      <c r="Q186" s="114"/>
      <c r="R186" s="113"/>
      <c r="S186" s="111"/>
      <c r="T186" s="114"/>
      <c r="U186" s="110"/>
      <c r="V186" s="111"/>
      <c r="W186" s="110"/>
      <c r="X186" s="110"/>
      <c r="Y186" s="110"/>
      <c r="Z186" s="110"/>
      <c r="AA186" s="110"/>
      <c r="AB186" s="115"/>
      <c r="AC186" s="115"/>
      <c r="AD186" s="115"/>
    </row>
    <row r="187" spans="1:30" ht="30" hidden="1" customHeight="1" x14ac:dyDescent="0.2">
      <c r="A187" s="108"/>
      <c r="B187" s="448"/>
      <c r="C187" s="385"/>
      <c r="D187" s="109"/>
      <c r="E187" s="109"/>
      <c r="F187" s="110"/>
      <c r="G187" s="111"/>
      <c r="H187" s="110"/>
      <c r="I187" s="112"/>
      <c r="J187" s="111"/>
      <c r="K187" s="110"/>
      <c r="L187" s="113"/>
      <c r="M187" s="111"/>
      <c r="N187" s="114"/>
      <c r="O187" s="113"/>
      <c r="P187" s="111"/>
      <c r="Q187" s="114"/>
      <c r="R187" s="113"/>
      <c r="S187" s="111"/>
      <c r="T187" s="114"/>
      <c r="U187" s="110"/>
      <c r="V187" s="111"/>
      <c r="W187" s="110"/>
      <c r="X187" s="110"/>
      <c r="Y187" s="110"/>
      <c r="Z187" s="110"/>
      <c r="AA187" s="110"/>
      <c r="AB187" s="115"/>
      <c r="AC187" s="115"/>
      <c r="AD187" s="115"/>
    </row>
    <row r="188" spans="1:30" ht="30" hidden="1" customHeight="1" x14ac:dyDescent="0.2">
      <c r="A188" s="108"/>
      <c r="B188" s="448"/>
      <c r="C188" s="385"/>
      <c r="D188" s="109"/>
      <c r="E188" s="109"/>
      <c r="F188" s="110"/>
      <c r="G188" s="111"/>
      <c r="H188" s="110"/>
      <c r="I188" s="112"/>
      <c r="J188" s="111"/>
      <c r="K188" s="110"/>
      <c r="L188" s="113"/>
      <c r="M188" s="111"/>
      <c r="N188" s="114"/>
      <c r="O188" s="113"/>
      <c r="P188" s="111"/>
      <c r="Q188" s="114"/>
      <c r="R188" s="113"/>
      <c r="S188" s="111"/>
      <c r="T188" s="114"/>
      <c r="U188" s="110"/>
      <c r="V188" s="111"/>
      <c r="W188" s="110"/>
      <c r="X188" s="110"/>
      <c r="Y188" s="110"/>
      <c r="Z188" s="110"/>
      <c r="AA188" s="110"/>
      <c r="AB188" s="115"/>
      <c r="AC188" s="115"/>
      <c r="AD188" s="115"/>
    </row>
    <row r="189" spans="1:30" ht="30" hidden="1" customHeight="1" x14ac:dyDescent="0.2">
      <c r="A189" s="108"/>
      <c r="B189" s="448"/>
      <c r="C189" s="385"/>
      <c r="D189" s="109"/>
      <c r="E189" s="109"/>
      <c r="F189" s="110"/>
      <c r="G189" s="111"/>
      <c r="H189" s="110"/>
      <c r="I189" s="112"/>
      <c r="J189" s="111"/>
      <c r="K189" s="110"/>
      <c r="L189" s="113"/>
      <c r="M189" s="111"/>
      <c r="N189" s="114"/>
      <c r="O189" s="113"/>
      <c r="P189" s="111"/>
      <c r="Q189" s="114"/>
      <c r="R189" s="113"/>
      <c r="S189" s="111"/>
      <c r="T189" s="114"/>
      <c r="U189" s="110"/>
      <c r="V189" s="111"/>
      <c r="W189" s="110"/>
      <c r="X189" s="110"/>
      <c r="Y189" s="110"/>
      <c r="Z189" s="110"/>
      <c r="AA189" s="110"/>
      <c r="AB189" s="115"/>
      <c r="AC189" s="115"/>
      <c r="AD189" s="115"/>
    </row>
    <row r="190" spans="1:30" ht="30" hidden="1" customHeight="1" x14ac:dyDescent="0.2">
      <c r="A190" s="108"/>
      <c r="B190" s="448"/>
      <c r="C190" s="385"/>
      <c r="D190" s="109"/>
      <c r="E190" s="109"/>
      <c r="F190" s="110"/>
      <c r="G190" s="111"/>
      <c r="H190" s="110"/>
      <c r="I190" s="112"/>
      <c r="J190" s="111"/>
      <c r="K190" s="110"/>
      <c r="L190" s="113"/>
      <c r="M190" s="111"/>
      <c r="N190" s="114"/>
      <c r="O190" s="113"/>
      <c r="P190" s="111"/>
      <c r="Q190" s="114"/>
      <c r="R190" s="113"/>
      <c r="S190" s="111"/>
      <c r="T190" s="114"/>
      <c r="U190" s="110"/>
      <c r="V190" s="111"/>
      <c r="W190" s="110"/>
      <c r="X190" s="110"/>
      <c r="Y190" s="110"/>
      <c r="Z190" s="110"/>
      <c r="AA190" s="110"/>
      <c r="AB190" s="115"/>
      <c r="AC190" s="115"/>
      <c r="AD190" s="115"/>
    </row>
    <row r="191" spans="1:30" ht="30" hidden="1" customHeight="1" x14ac:dyDescent="0.2">
      <c r="A191" s="108"/>
      <c r="B191" s="448"/>
      <c r="C191" s="385"/>
      <c r="D191" s="109"/>
      <c r="E191" s="109"/>
      <c r="F191" s="110"/>
      <c r="G191" s="111"/>
      <c r="H191" s="110"/>
      <c r="I191" s="112"/>
      <c r="J191" s="111"/>
      <c r="K191" s="110"/>
      <c r="L191" s="113"/>
      <c r="M191" s="111"/>
      <c r="N191" s="114"/>
      <c r="O191" s="113"/>
      <c r="P191" s="111"/>
      <c r="Q191" s="114"/>
      <c r="R191" s="113"/>
      <c r="S191" s="111"/>
      <c r="T191" s="114"/>
      <c r="U191" s="110"/>
      <c r="V191" s="111"/>
      <c r="W191" s="110"/>
      <c r="X191" s="110"/>
      <c r="Y191" s="110"/>
      <c r="Z191" s="110"/>
      <c r="AA191" s="110"/>
      <c r="AB191" s="115"/>
      <c r="AC191" s="115"/>
      <c r="AD191" s="115"/>
    </row>
    <row r="192" spans="1:30" ht="30" hidden="1" customHeight="1" x14ac:dyDescent="0.2">
      <c r="A192" s="108"/>
      <c r="B192" s="448"/>
      <c r="C192" s="385"/>
      <c r="D192" s="109"/>
      <c r="E192" s="109"/>
      <c r="F192" s="110"/>
      <c r="G192" s="111"/>
      <c r="H192" s="110"/>
      <c r="I192" s="112"/>
      <c r="J192" s="111"/>
      <c r="K192" s="110"/>
      <c r="L192" s="113"/>
      <c r="M192" s="111"/>
      <c r="N192" s="114"/>
      <c r="O192" s="113"/>
      <c r="P192" s="111"/>
      <c r="Q192" s="114"/>
      <c r="R192" s="113"/>
      <c r="S192" s="111"/>
      <c r="T192" s="114"/>
      <c r="U192" s="110"/>
      <c r="V192" s="111"/>
      <c r="W192" s="110"/>
      <c r="X192" s="110"/>
      <c r="Y192" s="110"/>
      <c r="Z192" s="110"/>
      <c r="AA192" s="110"/>
      <c r="AB192" s="115"/>
      <c r="AC192" s="115"/>
      <c r="AD192" s="115"/>
    </row>
    <row r="193" spans="1:30" ht="30" hidden="1" customHeight="1" x14ac:dyDescent="0.2">
      <c r="A193" s="108"/>
      <c r="B193" s="448"/>
      <c r="C193" s="385"/>
      <c r="D193" s="109"/>
      <c r="E193" s="109"/>
      <c r="F193" s="110"/>
      <c r="G193" s="111"/>
      <c r="H193" s="110"/>
      <c r="I193" s="112"/>
      <c r="J193" s="111"/>
      <c r="K193" s="110"/>
      <c r="L193" s="113"/>
      <c r="M193" s="111"/>
      <c r="N193" s="114"/>
      <c r="O193" s="113"/>
      <c r="P193" s="111"/>
      <c r="Q193" s="114"/>
      <c r="R193" s="113"/>
      <c r="S193" s="111"/>
      <c r="T193" s="114"/>
      <c r="U193" s="110"/>
      <c r="V193" s="111"/>
      <c r="W193" s="110"/>
      <c r="X193" s="110"/>
      <c r="Y193" s="110"/>
      <c r="Z193" s="110"/>
      <c r="AA193" s="110"/>
      <c r="AB193" s="115"/>
      <c r="AC193" s="115"/>
      <c r="AD193" s="115"/>
    </row>
    <row r="194" spans="1:30" ht="30" hidden="1" customHeight="1" x14ac:dyDescent="0.2">
      <c r="A194" s="108"/>
      <c r="B194" s="448"/>
      <c r="C194" s="385"/>
      <c r="D194" s="109"/>
      <c r="E194" s="109"/>
      <c r="F194" s="110"/>
      <c r="G194" s="111"/>
      <c r="H194" s="110"/>
      <c r="I194" s="112"/>
      <c r="J194" s="111"/>
      <c r="K194" s="110"/>
      <c r="L194" s="113"/>
      <c r="M194" s="111"/>
      <c r="N194" s="114"/>
      <c r="O194" s="113"/>
      <c r="P194" s="111"/>
      <c r="Q194" s="114"/>
      <c r="R194" s="113"/>
      <c r="S194" s="111"/>
      <c r="T194" s="114"/>
      <c r="U194" s="110"/>
      <c r="V194" s="111"/>
      <c r="W194" s="110"/>
      <c r="X194" s="110"/>
      <c r="Y194" s="110"/>
      <c r="Z194" s="110"/>
      <c r="AA194" s="110"/>
      <c r="AB194" s="115"/>
      <c r="AC194" s="115"/>
      <c r="AD194" s="115"/>
    </row>
    <row r="195" spans="1:30" ht="30" hidden="1" customHeight="1" x14ac:dyDescent="0.2">
      <c r="A195" s="108"/>
      <c r="B195" s="448"/>
      <c r="C195" s="385"/>
      <c r="D195" s="109"/>
      <c r="E195" s="109"/>
      <c r="F195" s="110"/>
      <c r="G195" s="111"/>
      <c r="H195" s="110"/>
      <c r="I195" s="112"/>
      <c r="J195" s="111"/>
      <c r="K195" s="110"/>
      <c r="L195" s="113"/>
      <c r="M195" s="111"/>
      <c r="N195" s="114"/>
      <c r="O195" s="113"/>
      <c r="P195" s="111"/>
      <c r="Q195" s="114"/>
      <c r="R195" s="113"/>
      <c r="S195" s="111"/>
      <c r="T195" s="114"/>
      <c r="U195" s="110"/>
      <c r="V195" s="111"/>
      <c r="W195" s="110"/>
      <c r="X195" s="110"/>
      <c r="Y195" s="110"/>
      <c r="Z195" s="110"/>
      <c r="AA195" s="110"/>
      <c r="AB195" s="115"/>
      <c r="AC195" s="115"/>
      <c r="AD195" s="115"/>
    </row>
    <row r="196" spans="1:30" ht="30" hidden="1" customHeight="1" x14ac:dyDescent="0.2">
      <c r="A196" s="108"/>
      <c r="B196" s="448"/>
      <c r="C196" s="385"/>
      <c r="D196" s="109"/>
      <c r="E196" s="109"/>
      <c r="F196" s="110"/>
      <c r="G196" s="111"/>
      <c r="H196" s="110"/>
      <c r="I196" s="112"/>
      <c r="J196" s="111"/>
      <c r="K196" s="110"/>
      <c r="L196" s="113"/>
      <c r="M196" s="111"/>
      <c r="N196" s="114"/>
      <c r="O196" s="113"/>
      <c r="P196" s="111"/>
      <c r="Q196" s="114"/>
      <c r="R196" s="113"/>
      <c r="S196" s="111"/>
      <c r="T196" s="114"/>
      <c r="U196" s="110"/>
      <c r="V196" s="111"/>
      <c r="W196" s="110"/>
      <c r="X196" s="110"/>
      <c r="Y196" s="110"/>
      <c r="Z196" s="110"/>
      <c r="AA196" s="110"/>
      <c r="AB196" s="115"/>
      <c r="AC196" s="115"/>
      <c r="AD196" s="115"/>
    </row>
    <row r="197" spans="1:30" ht="30" hidden="1" customHeight="1" x14ac:dyDescent="0.2">
      <c r="A197" s="108"/>
      <c r="B197" s="448"/>
      <c r="C197" s="385"/>
      <c r="D197" s="109"/>
      <c r="E197" s="109"/>
      <c r="F197" s="110"/>
      <c r="G197" s="111"/>
      <c r="H197" s="110"/>
      <c r="I197" s="112"/>
      <c r="J197" s="111"/>
      <c r="K197" s="110"/>
      <c r="L197" s="113"/>
      <c r="M197" s="111"/>
      <c r="N197" s="114"/>
      <c r="O197" s="113"/>
      <c r="P197" s="111"/>
      <c r="Q197" s="114"/>
      <c r="R197" s="113"/>
      <c r="S197" s="111"/>
      <c r="T197" s="114"/>
      <c r="U197" s="110"/>
      <c r="V197" s="111"/>
      <c r="W197" s="110"/>
      <c r="X197" s="110"/>
      <c r="Y197" s="110"/>
      <c r="Z197" s="110"/>
      <c r="AA197" s="110"/>
      <c r="AB197" s="115"/>
      <c r="AC197" s="115"/>
      <c r="AD197" s="115"/>
    </row>
    <row r="198" spans="1:30" ht="30" hidden="1" customHeight="1" x14ac:dyDescent="0.2">
      <c r="A198" s="108"/>
      <c r="B198" s="448"/>
      <c r="C198" s="385"/>
      <c r="D198" s="109"/>
      <c r="E198" s="109"/>
      <c r="F198" s="110"/>
      <c r="G198" s="111"/>
      <c r="H198" s="110"/>
      <c r="I198" s="112"/>
      <c r="J198" s="111"/>
      <c r="K198" s="110"/>
      <c r="L198" s="113"/>
      <c r="M198" s="111"/>
      <c r="N198" s="114"/>
      <c r="O198" s="113"/>
      <c r="P198" s="111"/>
      <c r="Q198" s="114"/>
      <c r="R198" s="113"/>
      <c r="S198" s="111"/>
      <c r="T198" s="114"/>
      <c r="U198" s="110"/>
      <c r="V198" s="111"/>
      <c r="W198" s="110"/>
      <c r="X198" s="110"/>
      <c r="Y198" s="110"/>
      <c r="Z198" s="110"/>
      <c r="AA198" s="110"/>
      <c r="AB198" s="115"/>
      <c r="AC198" s="115"/>
      <c r="AD198" s="115"/>
    </row>
    <row r="199" spans="1:30" ht="30" hidden="1" customHeight="1" x14ac:dyDescent="0.2">
      <c r="A199" s="108"/>
      <c r="B199" s="448"/>
      <c r="C199" s="385"/>
      <c r="D199" s="109"/>
      <c r="E199" s="109"/>
      <c r="F199" s="110"/>
      <c r="G199" s="111"/>
      <c r="H199" s="110"/>
      <c r="I199" s="112"/>
      <c r="J199" s="111"/>
      <c r="K199" s="110"/>
      <c r="L199" s="113"/>
      <c r="M199" s="111"/>
      <c r="N199" s="114"/>
      <c r="O199" s="113"/>
      <c r="P199" s="111"/>
      <c r="Q199" s="114"/>
      <c r="R199" s="113"/>
      <c r="S199" s="111"/>
      <c r="T199" s="114"/>
      <c r="U199" s="110"/>
      <c r="V199" s="111"/>
      <c r="W199" s="110"/>
      <c r="X199" s="110"/>
      <c r="Y199" s="110"/>
      <c r="Z199" s="110"/>
      <c r="AA199" s="110"/>
      <c r="AB199" s="115"/>
      <c r="AC199" s="115"/>
      <c r="AD199" s="115"/>
    </row>
    <row r="200" spans="1:30" ht="30" hidden="1" customHeight="1" x14ac:dyDescent="0.2">
      <c r="A200" s="108"/>
      <c r="B200" s="448"/>
      <c r="C200" s="385"/>
      <c r="D200" s="109"/>
      <c r="E200" s="109"/>
      <c r="F200" s="110"/>
      <c r="G200" s="111"/>
      <c r="H200" s="110"/>
      <c r="I200" s="112"/>
      <c r="J200" s="111"/>
      <c r="K200" s="110"/>
      <c r="L200" s="113"/>
      <c r="M200" s="111"/>
      <c r="N200" s="114"/>
      <c r="O200" s="113"/>
      <c r="P200" s="111"/>
      <c r="Q200" s="114"/>
      <c r="R200" s="113"/>
      <c r="S200" s="111"/>
      <c r="T200" s="114"/>
      <c r="U200" s="110"/>
      <c r="V200" s="111"/>
      <c r="W200" s="110"/>
      <c r="X200" s="110"/>
      <c r="Y200" s="110"/>
      <c r="Z200" s="110"/>
      <c r="AA200" s="110"/>
      <c r="AB200" s="115"/>
      <c r="AC200" s="115"/>
      <c r="AD200" s="115"/>
    </row>
    <row r="201" spans="1:30" ht="30" hidden="1" customHeight="1" x14ac:dyDescent="0.2">
      <c r="A201" s="108"/>
      <c r="B201" s="448"/>
      <c r="C201" s="385"/>
      <c r="D201" s="109"/>
      <c r="E201" s="109"/>
      <c r="F201" s="110"/>
      <c r="G201" s="111"/>
      <c r="H201" s="110"/>
      <c r="I201" s="112"/>
      <c r="J201" s="111"/>
      <c r="K201" s="110"/>
      <c r="L201" s="113"/>
      <c r="M201" s="111"/>
      <c r="N201" s="114"/>
      <c r="O201" s="113"/>
      <c r="P201" s="111"/>
      <c r="Q201" s="114"/>
      <c r="R201" s="113"/>
      <c r="S201" s="111"/>
      <c r="T201" s="114"/>
      <c r="U201" s="110"/>
      <c r="V201" s="111"/>
      <c r="W201" s="110"/>
      <c r="X201" s="110"/>
      <c r="Y201" s="110"/>
      <c r="Z201" s="110"/>
      <c r="AA201" s="110"/>
      <c r="AB201" s="115"/>
      <c r="AC201" s="115"/>
      <c r="AD201" s="115"/>
    </row>
    <row r="202" spans="1:30" ht="30" hidden="1" customHeight="1" x14ac:dyDescent="0.2">
      <c r="A202" s="108"/>
      <c r="B202" s="448"/>
      <c r="C202" s="385"/>
      <c r="D202" s="109"/>
      <c r="E202" s="109"/>
      <c r="F202" s="110"/>
      <c r="G202" s="111"/>
      <c r="H202" s="110"/>
      <c r="I202" s="112"/>
      <c r="J202" s="111"/>
      <c r="K202" s="110"/>
      <c r="L202" s="113"/>
      <c r="M202" s="111"/>
      <c r="N202" s="114"/>
      <c r="O202" s="113"/>
      <c r="P202" s="111"/>
      <c r="Q202" s="114"/>
      <c r="R202" s="113"/>
      <c r="S202" s="111"/>
      <c r="T202" s="114"/>
      <c r="U202" s="110"/>
      <c r="V202" s="111"/>
      <c r="W202" s="110"/>
      <c r="X202" s="110"/>
      <c r="Y202" s="110"/>
      <c r="Z202" s="110"/>
      <c r="AA202" s="110"/>
      <c r="AB202" s="115"/>
      <c r="AC202" s="115"/>
      <c r="AD202" s="115"/>
    </row>
    <row r="203" spans="1:30" ht="30" hidden="1" customHeight="1" x14ac:dyDescent="0.2">
      <c r="A203" s="108"/>
      <c r="B203" s="448"/>
      <c r="C203" s="385"/>
      <c r="D203" s="109"/>
      <c r="E203" s="109"/>
      <c r="F203" s="110"/>
      <c r="G203" s="111"/>
      <c r="H203" s="110"/>
      <c r="I203" s="112"/>
      <c r="J203" s="111"/>
      <c r="K203" s="110"/>
      <c r="L203" s="113"/>
      <c r="M203" s="111"/>
      <c r="N203" s="114"/>
      <c r="O203" s="113"/>
      <c r="P203" s="111"/>
      <c r="Q203" s="114"/>
      <c r="R203" s="113"/>
      <c r="S203" s="111"/>
      <c r="T203" s="114"/>
      <c r="U203" s="110"/>
      <c r="V203" s="111"/>
      <c r="W203" s="110"/>
      <c r="X203" s="110"/>
      <c r="Y203" s="110"/>
      <c r="Z203" s="110"/>
      <c r="AA203" s="110"/>
      <c r="AB203" s="115"/>
      <c r="AC203" s="115"/>
      <c r="AD203" s="115"/>
    </row>
    <row r="204" spans="1:30" ht="30" hidden="1" customHeight="1" x14ac:dyDescent="0.2">
      <c r="A204" s="108"/>
      <c r="B204" s="448"/>
      <c r="C204" s="385"/>
      <c r="D204" s="109"/>
      <c r="E204" s="109"/>
      <c r="F204" s="110"/>
      <c r="G204" s="111"/>
      <c r="H204" s="110"/>
      <c r="I204" s="112"/>
      <c r="J204" s="111"/>
      <c r="K204" s="110"/>
      <c r="L204" s="113"/>
      <c r="M204" s="111"/>
      <c r="N204" s="114"/>
      <c r="O204" s="113"/>
      <c r="P204" s="111"/>
      <c r="Q204" s="114"/>
      <c r="R204" s="113"/>
      <c r="S204" s="111"/>
      <c r="T204" s="114"/>
      <c r="U204" s="110"/>
      <c r="V204" s="111"/>
      <c r="W204" s="110"/>
      <c r="X204" s="110"/>
      <c r="Y204" s="110"/>
      <c r="Z204" s="110"/>
      <c r="AA204" s="110"/>
      <c r="AB204" s="115"/>
      <c r="AC204" s="115"/>
      <c r="AD204" s="115"/>
    </row>
    <row r="205" spans="1:30" ht="30" hidden="1" customHeight="1" x14ac:dyDescent="0.2">
      <c r="A205" s="108"/>
      <c r="B205" s="448"/>
      <c r="C205" s="385"/>
      <c r="D205" s="109"/>
      <c r="E205" s="109"/>
      <c r="F205" s="110"/>
      <c r="G205" s="111"/>
      <c r="H205" s="110"/>
      <c r="I205" s="112"/>
      <c r="J205" s="111"/>
      <c r="K205" s="110"/>
      <c r="L205" s="113"/>
      <c r="M205" s="111"/>
      <c r="N205" s="114"/>
      <c r="O205" s="113"/>
      <c r="P205" s="111"/>
      <c r="Q205" s="114"/>
      <c r="R205" s="113"/>
      <c r="S205" s="111"/>
      <c r="T205" s="114"/>
      <c r="U205" s="110"/>
      <c r="V205" s="111"/>
      <c r="W205" s="110"/>
      <c r="X205" s="110"/>
      <c r="Y205" s="110"/>
      <c r="Z205" s="110"/>
      <c r="AA205" s="110"/>
      <c r="AB205" s="115"/>
      <c r="AC205" s="115"/>
      <c r="AD205" s="115"/>
    </row>
    <row r="206" spans="1:30" ht="30" hidden="1" customHeight="1" x14ac:dyDescent="0.2">
      <c r="A206" s="108"/>
      <c r="B206" s="448"/>
      <c r="C206" s="385"/>
      <c r="D206" s="109"/>
      <c r="E206" s="109"/>
      <c r="F206" s="110"/>
      <c r="G206" s="111"/>
      <c r="H206" s="110"/>
      <c r="I206" s="112"/>
      <c r="J206" s="111"/>
      <c r="K206" s="110"/>
      <c r="L206" s="113"/>
      <c r="M206" s="111"/>
      <c r="N206" s="114"/>
      <c r="O206" s="113"/>
      <c r="P206" s="111"/>
      <c r="Q206" s="114"/>
      <c r="R206" s="113"/>
      <c r="S206" s="111"/>
      <c r="T206" s="114"/>
      <c r="U206" s="110"/>
      <c r="V206" s="111"/>
      <c r="W206" s="110"/>
      <c r="X206" s="110"/>
      <c r="Y206" s="110"/>
      <c r="Z206" s="110"/>
      <c r="AA206" s="110"/>
      <c r="AB206" s="115"/>
      <c r="AC206" s="115"/>
      <c r="AD206" s="115"/>
    </row>
    <row r="207" spans="1:30" ht="30" hidden="1" customHeight="1" x14ac:dyDescent="0.2">
      <c r="A207" s="108"/>
      <c r="B207" s="448"/>
      <c r="C207" s="385"/>
      <c r="D207" s="109"/>
      <c r="E207" s="109"/>
      <c r="F207" s="110"/>
      <c r="G207" s="111"/>
      <c r="H207" s="110"/>
      <c r="I207" s="112"/>
      <c r="J207" s="111"/>
      <c r="K207" s="110"/>
      <c r="L207" s="113"/>
      <c r="M207" s="111"/>
      <c r="N207" s="114"/>
      <c r="O207" s="113"/>
      <c r="P207" s="111"/>
      <c r="Q207" s="114"/>
      <c r="R207" s="113"/>
      <c r="S207" s="111"/>
      <c r="T207" s="114"/>
      <c r="U207" s="110"/>
      <c r="V207" s="111"/>
      <c r="W207" s="110"/>
      <c r="X207" s="110"/>
      <c r="Y207" s="110"/>
      <c r="Z207" s="110"/>
      <c r="AA207" s="110"/>
      <c r="AB207" s="115"/>
      <c r="AC207" s="115"/>
      <c r="AD207" s="115"/>
    </row>
    <row r="208" spans="1:30" ht="30" hidden="1" customHeight="1" x14ac:dyDescent="0.2">
      <c r="A208" s="108"/>
      <c r="B208" s="448"/>
      <c r="C208" s="385"/>
      <c r="D208" s="109"/>
      <c r="E208" s="109"/>
      <c r="F208" s="110"/>
      <c r="G208" s="111"/>
      <c r="H208" s="110"/>
      <c r="I208" s="112"/>
      <c r="J208" s="111"/>
      <c r="K208" s="110"/>
      <c r="L208" s="113"/>
      <c r="M208" s="111"/>
      <c r="N208" s="114"/>
      <c r="O208" s="113"/>
      <c r="P208" s="111"/>
      <c r="Q208" s="114"/>
      <c r="R208" s="113"/>
      <c r="S208" s="111"/>
      <c r="T208" s="114"/>
      <c r="U208" s="110"/>
      <c r="V208" s="111"/>
      <c r="W208" s="110"/>
      <c r="X208" s="110"/>
      <c r="Y208" s="110"/>
      <c r="Z208" s="110"/>
      <c r="AA208" s="110"/>
      <c r="AB208" s="115"/>
      <c r="AC208" s="115"/>
      <c r="AD208" s="115"/>
    </row>
    <row r="209" spans="1:30" ht="30" hidden="1" customHeight="1" x14ac:dyDescent="0.2">
      <c r="A209" s="108"/>
      <c r="B209" s="448"/>
      <c r="C209" s="385"/>
      <c r="D209" s="109"/>
      <c r="E209" s="109"/>
      <c r="F209" s="110"/>
      <c r="G209" s="111"/>
      <c r="H209" s="110"/>
      <c r="I209" s="112"/>
      <c r="J209" s="111"/>
      <c r="K209" s="110"/>
      <c r="L209" s="113"/>
      <c r="M209" s="111"/>
      <c r="N209" s="114"/>
      <c r="O209" s="113"/>
      <c r="P209" s="111"/>
      <c r="Q209" s="114"/>
      <c r="R209" s="113"/>
      <c r="S209" s="111"/>
      <c r="T209" s="114"/>
      <c r="U209" s="110"/>
      <c r="V209" s="111"/>
      <c r="W209" s="110"/>
      <c r="X209" s="110"/>
      <c r="Y209" s="110"/>
      <c r="Z209" s="110"/>
      <c r="AA209" s="110"/>
      <c r="AB209" s="115"/>
      <c r="AC209" s="115"/>
      <c r="AD209" s="115"/>
    </row>
    <row r="210" spans="1:30" ht="30" hidden="1" customHeight="1" x14ac:dyDescent="0.2">
      <c r="A210" s="108"/>
      <c r="B210" s="448"/>
      <c r="C210" s="385"/>
      <c r="D210" s="109"/>
      <c r="E210" s="109"/>
      <c r="F210" s="110"/>
      <c r="G210" s="111"/>
      <c r="H210" s="110"/>
      <c r="I210" s="112"/>
      <c r="J210" s="111"/>
      <c r="K210" s="110"/>
      <c r="L210" s="113"/>
      <c r="M210" s="111"/>
      <c r="N210" s="114"/>
      <c r="O210" s="113"/>
      <c r="P210" s="111"/>
      <c r="Q210" s="114"/>
      <c r="R210" s="113"/>
      <c r="S210" s="111"/>
      <c r="T210" s="114"/>
      <c r="U210" s="110"/>
      <c r="V210" s="111"/>
      <c r="W210" s="110"/>
      <c r="X210" s="110"/>
      <c r="Y210" s="110"/>
      <c r="Z210" s="110"/>
      <c r="AA210" s="110"/>
      <c r="AB210" s="115"/>
      <c r="AC210" s="115"/>
      <c r="AD210" s="115"/>
    </row>
    <row r="211" spans="1:30" ht="30" hidden="1" customHeight="1" x14ac:dyDescent="0.2">
      <c r="A211" s="108"/>
      <c r="B211" s="448"/>
      <c r="C211" s="385"/>
      <c r="D211" s="109"/>
      <c r="E211" s="109"/>
      <c r="F211" s="110"/>
      <c r="G211" s="111"/>
      <c r="H211" s="110"/>
      <c r="I211" s="112"/>
      <c r="J211" s="111"/>
      <c r="K211" s="110"/>
      <c r="L211" s="113"/>
      <c r="M211" s="111"/>
      <c r="N211" s="114"/>
      <c r="O211" s="113"/>
      <c r="P211" s="111"/>
      <c r="Q211" s="114"/>
      <c r="R211" s="113"/>
      <c r="S211" s="111"/>
      <c r="T211" s="114"/>
      <c r="U211" s="110"/>
      <c r="V211" s="111"/>
      <c r="W211" s="110"/>
      <c r="X211" s="110"/>
      <c r="Y211" s="110"/>
      <c r="Z211" s="110"/>
      <c r="AA211" s="110"/>
      <c r="AB211" s="115"/>
      <c r="AC211" s="115"/>
      <c r="AD211" s="115"/>
    </row>
    <row r="212" spans="1:30" ht="30" hidden="1" customHeight="1" x14ac:dyDescent="0.2">
      <c r="A212" s="108"/>
      <c r="B212" s="448"/>
      <c r="C212" s="385"/>
      <c r="D212" s="109"/>
      <c r="E212" s="109"/>
      <c r="F212" s="110"/>
      <c r="G212" s="111"/>
      <c r="H212" s="110"/>
      <c r="I212" s="112"/>
      <c r="J212" s="111"/>
      <c r="K212" s="110"/>
      <c r="L212" s="113"/>
      <c r="M212" s="111"/>
      <c r="N212" s="114"/>
      <c r="O212" s="113"/>
      <c r="P212" s="111"/>
      <c r="Q212" s="114"/>
      <c r="R212" s="113"/>
      <c r="S212" s="111"/>
      <c r="T212" s="114"/>
      <c r="U212" s="110"/>
      <c r="V212" s="111"/>
      <c r="W212" s="110"/>
      <c r="X212" s="110"/>
      <c r="Y212" s="110"/>
      <c r="Z212" s="110"/>
      <c r="AA212" s="110"/>
      <c r="AB212" s="115"/>
      <c r="AC212" s="115"/>
      <c r="AD212" s="115"/>
    </row>
    <row r="213" spans="1:30" ht="30" hidden="1" customHeight="1" x14ac:dyDescent="0.2">
      <c r="A213" s="108"/>
      <c r="B213" s="448"/>
      <c r="C213" s="385"/>
      <c r="D213" s="109"/>
      <c r="E213" s="109"/>
      <c r="F213" s="110"/>
      <c r="G213" s="111"/>
      <c r="H213" s="110"/>
      <c r="I213" s="112"/>
      <c r="J213" s="111"/>
      <c r="K213" s="110"/>
      <c r="L213" s="113"/>
      <c r="M213" s="111"/>
      <c r="N213" s="114"/>
      <c r="O213" s="113"/>
      <c r="P213" s="111"/>
      <c r="Q213" s="114"/>
      <c r="R213" s="113"/>
      <c r="S213" s="111"/>
      <c r="T213" s="114"/>
      <c r="U213" s="110"/>
      <c r="V213" s="111"/>
      <c r="W213" s="110"/>
      <c r="X213" s="110"/>
      <c r="Y213" s="110"/>
      <c r="Z213" s="110"/>
      <c r="AA213" s="110"/>
      <c r="AB213" s="115"/>
      <c r="AC213" s="115"/>
      <c r="AD213" s="115"/>
    </row>
    <row r="214" spans="1:30" ht="30" hidden="1" customHeight="1" x14ac:dyDescent="0.2">
      <c r="A214" s="108"/>
      <c r="B214" s="448"/>
      <c r="C214" s="385"/>
      <c r="D214" s="109"/>
      <c r="E214" s="109"/>
      <c r="F214" s="110"/>
      <c r="G214" s="111"/>
      <c r="H214" s="110"/>
      <c r="I214" s="112"/>
      <c r="J214" s="111"/>
      <c r="K214" s="110"/>
      <c r="L214" s="113"/>
      <c r="M214" s="111"/>
      <c r="N214" s="114"/>
      <c r="O214" s="113"/>
      <c r="P214" s="111"/>
      <c r="Q214" s="114"/>
      <c r="R214" s="113"/>
      <c r="S214" s="111"/>
      <c r="T214" s="114"/>
      <c r="U214" s="110"/>
      <c r="V214" s="111"/>
      <c r="W214" s="110"/>
      <c r="X214" s="110"/>
      <c r="Y214" s="110"/>
      <c r="Z214" s="110"/>
      <c r="AA214" s="110"/>
      <c r="AB214" s="115"/>
      <c r="AC214" s="115"/>
      <c r="AD214" s="115"/>
    </row>
    <row r="215" spans="1:30" ht="30" hidden="1" customHeight="1" x14ac:dyDescent="0.2">
      <c r="A215" s="108"/>
      <c r="B215" s="448"/>
      <c r="C215" s="385"/>
      <c r="D215" s="109"/>
      <c r="E215" s="109"/>
      <c r="F215" s="110"/>
      <c r="G215" s="111"/>
      <c r="H215" s="110"/>
      <c r="I215" s="112"/>
      <c r="J215" s="111"/>
      <c r="K215" s="110"/>
      <c r="L215" s="113"/>
      <c r="M215" s="111"/>
      <c r="N215" s="114"/>
      <c r="O215" s="113"/>
      <c r="P215" s="111"/>
      <c r="Q215" s="114"/>
      <c r="R215" s="113"/>
      <c r="S215" s="111"/>
      <c r="T215" s="114"/>
      <c r="U215" s="110"/>
      <c r="V215" s="111"/>
      <c r="W215" s="110"/>
      <c r="X215" s="110"/>
      <c r="Y215" s="110"/>
      <c r="Z215" s="110"/>
      <c r="AA215" s="110"/>
      <c r="AB215" s="115"/>
      <c r="AC215" s="115"/>
      <c r="AD215" s="115"/>
    </row>
    <row r="216" spans="1:30" ht="30" hidden="1" customHeight="1" x14ac:dyDescent="0.2">
      <c r="A216" s="108"/>
      <c r="B216" s="448"/>
      <c r="C216" s="385"/>
      <c r="D216" s="109"/>
      <c r="E216" s="109"/>
      <c r="F216" s="110"/>
      <c r="G216" s="111"/>
      <c r="H216" s="110"/>
      <c r="I216" s="112"/>
      <c r="J216" s="111"/>
      <c r="K216" s="110"/>
      <c r="L216" s="113"/>
      <c r="M216" s="111"/>
      <c r="N216" s="114"/>
      <c r="O216" s="113"/>
      <c r="P216" s="111"/>
      <c r="Q216" s="114"/>
      <c r="R216" s="113"/>
      <c r="S216" s="111"/>
      <c r="T216" s="114"/>
      <c r="U216" s="110"/>
      <c r="V216" s="111"/>
      <c r="W216" s="110"/>
      <c r="X216" s="110"/>
      <c r="Y216" s="110"/>
      <c r="Z216" s="110"/>
      <c r="AA216" s="110"/>
      <c r="AB216" s="115"/>
      <c r="AC216" s="115"/>
      <c r="AD216" s="115"/>
    </row>
    <row r="217" spans="1:30" ht="30" hidden="1" customHeight="1" x14ac:dyDescent="0.2">
      <c r="A217" s="108"/>
      <c r="B217" s="448"/>
      <c r="C217" s="385"/>
      <c r="D217" s="109"/>
      <c r="E217" s="109"/>
      <c r="F217" s="110"/>
      <c r="G217" s="111"/>
      <c r="H217" s="110"/>
      <c r="I217" s="112"/>
      <c r="J217" s="111"/>
      <c r="K217" s="110"/>
      <c r="L217" s="113"/>
      <c r="M217" s="111"/>
      <c r="N217" s="114"/>
      <c r="O217" s="113"/>
      <c r="P217" s="111"/>
      <c r="Q217" s="114"/>
      <c r="R217" s="113"/>
      <c r="S217" s="111"/>
      <c r="T217" s="114"/>
      <c r="U217" s="110"/>
      <c r="V217" s="111"/>
      <c r="W217" s="110"/>
      <c r="X217" s="110"/>
      <c r="Y217" s="110"/>
      <c r="Z217" s="110"/>
      <c r="AA217" s="110"/>
      <c r="AB217" s="115"/>
      <c r="AC217" s="115"/>
      <c r="AD217" s="115"/>
    </row>
    <row r="218" spans="1:30" ht="30" hidden="1" customHeight="1" x14ac:dyDescent="0.2">
      <c r="A218" s="108"/>
      <c r="B218" s="448"/>
      <c r="C218" s="385"/>
      <c r="D218" s="109"/>
      <c r="E218" s="109"/>
      <c r="F218" s="110"/>
      <c r="G218" s="111"/>
      <c r="H218" s="110"/>
      <c r="I218" s="112"/>
      <c r="J218" s="111"/>
      <c r="K218" s="110"/>
      <c r="L218" s="113"/>
      <c r="M218" s="111"/>
      <c r="N218" s="114"/>
      <c r="O218" s="113"/>
      <c r="P218" s="111"/>
      <c r="Q218" s="114"/>
      <c r="R218" s="113"/>
      <c r="S218" s="111"/>
      <c r="T218" s="114"/>
      <c r="U218" s="110"/>
      <c r="V218" s="111"/>
      <c r="W218" s="110"/>
      <c r="X218" s="110"/>
      <c r="Y218" s="110"/>
      <c r="Z218" s="110"/>
      <c r="AA218" s="110"/>
      <c r="AB218" s="115"/>
      <c r="AC218" s="115"/>
      <c r="AD218" s="115"/>
    </row>
    <row r="219" spans="1:30" ht="30" hidden="1" customHeight="1" x14ac:dyDescent="0.2">
      <c r="A219" s="108"/>
      <c r="B219" s="448"/>
      <c r="C219" s="385"/>
      <c r="D219" s="109"/>
      <c r="E219" s="109"/>
      <c r="F219" s="110"/>
      <c r="G219" s="111"/>
      <c r="H219" s="110"/>
      <c r="I219" s="112"/>
      <c r="J219" s="111"/>
      <c r="K219" s="110"/>
      <c r="L219" s="113"/>
      <c r="M219" s="111"/>
      <c r="N219" s="114"/>
      <c r="O219" s="113"/>
      <c r="P219" s="111"/>
      <c r="Q219" s="114"/>
      <c r="R219" s="113"/>
      <c r="S219" s="111"/>
      <c r="T219" s="114"/>
      <c r="U219" s="110"/>
      <c r="V219" s="111"/>
      <c r="W219" s="110"/>
      <c r="X219" s="110"/>
      <c r="Y219" s="110"/>
      <c r="Z219" s="110"/>
      <c r="AA219" s="110"/>
      <c r="AB219" s="115"/>
      <c r="AC219" s="115"/>
      <c r="AD219" s="115"/>
    </row>
    <row r="220" spans="1:30" ht="30" hidden="1" customHeight="1" x14ac:dyDescent="0.2">
      <c r="A220" s="108"/>
      <c r="B220" s="448"/>
      <c r="C220" s="385"/>
      <c r="D220" s="109"/>
      <c r="E220" s="109"/>
      <c r="F220" s="110"/>
      <c r="G220" s="111"/>
      <c r="H220" s="110"/>
      <c r="I220" s="112"/>
      <c r="J220" s="111"/>
      <c r="K220" s="110"/>
      <c r="L220" s="113"/>
      <c r="M220" s="111"/>
      <c r="N220" s="114"/>
      <c r="O220" s="113"/>
      <c r="P220" s="111"/>
      <c r="Q220" s="114"/>
      <c r="R220" s="113"/>
      <c r="S220" s="111"/>
      <c r="T220" s="114"/>
      <c r="U220" s="110"/>
      <c r="V220" s="111"/>
      <c r="W220" s="110"/>
      <c r="X220" s="110"/>
      <c r="Y220" s="110"/>
      <c r="Z220" s="110"/>
      <c r="AA220" s="110"/>
      <c r="AB220" s="115"/>
      <c r="AC220" s="115"/>
      <c r="AD220" s="115"/>
    </row>
    <row r="221" spans="1:30" ht="30" hidden="1" customHeight="1" x14ac:dyDescent="0.2">
      <c r="A221" s="108"/>
      <c r="B221" s="448"/>
      <c r="C221" s="385"/>
      <c r="D221" s="109"/>
      <c r="E221" s="109"/>
      <c r="F221" s="110"/>
      <c r="G221" s="111"/>
      <c r="H221" s="110"/>
      <c r="I221" s="112"/>
      <c r="J221" s="111"/>
      <c r="K221" s="110"/>
      <c r="L221" s="113"/>
      <c r="M221" s="111"/>
      <c r="N221" s="114"/>
      <c r="O221" s="113"/>
      <c r="P221" s="111"/>
      <c r="Q221" s="114"/>
      <c r="R221" s="113"/>
      <c r="S221" s="111"/>
      <c r="T221" s="114"/>
      <c r="U221" s="110"/>
      <c r="V221" s="111"/>
      <c r="W221" s="110"/>
      <c r="X221" s="110"/>
      <c r="Y221" s="110"/>
      <c r="Z221" s="110"/>
      <c r="AA221" s="110"/>
      <c r="AB221" s="115"/>
      <c r="AC221" s="115"/>
      <c r="AD221" s="115"/>
    </row>
    <row r="222" spans="1:30" ht="30" hidden="1" customHeight="1" x14ac:dyDescent="0.2">
      <c r="A222" s="108"/>
      <c r="B222" s="448"/>
      <c r="C222" s="385"/>
      <c r="D222" s="109"/>
      <c r="E222" s="109"/>
      <c r="F222" s="110"/>
      <c r="G222" s="111"/>
      <c r="H222" s="110"/>
      <c r="I222" s="112"/>
      <c r="J222" s="111"/>
      <c r="K222" s="110"/>
      <c r="L222" s="113"/>
      <c r="M222" s="111"/>
      <c r="N222" s="114"/>
      <c r="O222" s="113"/>
      <c r="P222" s="111"/>
      <c r="Q222" s="114"/>
      <c r="R222" s="113"/>
      <c r="S222" s="111"/>
      <c r="T222" s="114"/>
      <c r="U222" s="110"/>
      <c r="V222" s="111"/>
      <c r="W222" s="110"/>
      <c r="X222" s="110"/>
      <c r="Y222" s="110"/>
      <c r="Z222" s="110"/>
      <c r="AA222" s="110"/>
      <c r="AB222" s="115"/>
      <c r="AC222" s="115"/>
      <c r="AD222" s="115"/>
    </row>
    <row r="223" spans="1:30" ht="30" hidden="1" customHeight="1" x14ac:dyDescent="0.2">
      <c r="A223" s="108"/>
      <c r="B223" s="448"/>
      <c r="C223" s="385"/>
      <c r="D223" s="109"/>
      <c r="E223" s="109"/>
      <c r="F223" s="110"/>
      <c r="G223" s="111"/>
      <c r="H223" s="110"/>
      <c r="I223" s="112"/>
      <c r="J223" s="111"/>
      <c r="K223" s="110"/>
      <c r="L223" s="113"/>
      <c r="M223" s="111"/>
      <c r="N223" s="114"/>
      <c r="O223" s="113"/>
      <c r="P223" s="111"/>
      <c r="Q223" s="114"/>
      <c r="R223" s="113"/>
      <c r="S223" s="111"/>
      <c r="T223" s="114"/>
      <c r="U223" s="110"/>
      <c r="V223" s="111"/>
      <c r="W223" s="110"/>
      <c r="X223" s="110"/>
      <c r="Y223" s="110"/>
      <c r="Z223" s="110"/>
      <c r="AA223" s="110"/>
      <c r="AB223" s="115"/>
      <c r="AC223" s="115"/>
      <c r="AD223" s="115"/>
    </row>
    <row r="224" spans="1:30" ht="30" hidden="1" customHeight="1" x14ac:dyDescent="0.2">
      <c r="A224" s="108"/>
      <c r="B224" s="448"/>
      <c r="C224" s="385"/>
      <c r="D224" s="109"/>
      <c r="E224" s="109"/>
      <c r="F224" s="110"/>
      <c r="G224" s="111"/>
      <c r="H224" s="110"/>
      <c r="I224" s="112"/>
      <c r="J224" s="111"/>
      <c r="K224" s="110"/>
      <c r="L224" s="113"/>
      <c r="M224" s="111"/>
      <c r="N224" s="114"/>
      <c r="O224" s="113"/>
      <c r="P224" s="111"/>
      <c r="Q224" s="114"/>
      <c r="R224" s="113"/>
      <c r="S224" s="111"/>
      <c r="T224" s="114"/>
      <c r="U224" s="110"/>
      <c r="V224" s="111"/>
      <c r="W224" s="110"/>
      <c r="X224" s="110"/>
      <c r="Y224" s="110"/>
      <c r="Z224" s="110"/>
      <c r="AA224" s="110"/>
      <c r="AB224" s="115"/>
      <c r="AC224" s="115"/>
      <c r="AD224" s="115"/>
    </row>
    <row r="225" spans="1:30" ht="30" hidden="1" customHeight="1" x14ac:dyDescent="0.2">
      <c r="A225" s="108"/>
      <c r="B225" s="448"/>
      <c r="C225" s="385"/>
      <c r="D225" s="109"/>
      <c r="E225" s="109"/>
      <c r="F225" s="110"/>
      <c r="G225" s="111"/>
      <c r="H225" s="110"/>
      <c r="I225" s="112"/>
      <c r="J225" s="111"/>
      <c r="K225" s="110"/>
      <c r="L225" s="113"/>
      <c r="M225" s="111"/>
      <c r="N225" s="114"/>
      <c r="O225" s="113"/>
      <c r="P225" s="111"/>
      <c r="Q225" s="114"/>
      <c r="R225" s="113"/>
      <c r="S225" s="111"/>
      <c r="T225" s="114"/>
      <c r="U225" s="110"/>
      <c r="V225" s="111"/>
      <c r="W225" s="110"/>
      <c r="X225" s="110"/>
      <c r="Y225" s="110"/>
      <c r="Z225" s="110"/>
      <c r="AA225" s="110"/>
      <c r="AB225" s="115"/>
      <c r="AC225" s="115"/>
      <c r="AD225" s="115"/>
    </row>
    <row r="226" spans="1:30" ht="30" hidden="1" customHeight="1" x14ac:dyDescent="0.2">
      <c r="A226" s="108"/>
      <c r="B226" s="448"/>
      <c r="C226" s="385"/>
      <c r="D226" s="109"/>
      <c r="E226" s="109"/>
      <c r="F226" s="110"/>
      <c r="G226" s="111"/>
      <c r="H226" s="110"/>
      <c r="I226" s="112"/>
      <c r="J226" s="111"/>
      <c r="K226" s="110"/>
      <c r="L226" s="113"/>
      <c r="M226" s="111"/>
      <c r="N226" s="114"/>
      <c r="O226" s="113"/>
      <c r="P226" s="111"/>
      <c r="Q226" s="114"/>
      <c r="R226" s="113"/>
      <c r="S226" s="111"/>
      <c r="T226" s="114"/>
      <c r="U226" s="110"/>
      <c r="V226" s="111"/>
      <c r="W226" s="110"/>
      <c r="X226" s="110"/>
      <c r="Y226" s="110"/>
      <c r="Z226" s="110"/>
      <c r="AA226" s="110"/>
      <c r="AB226" s="115"/>
      <c r="AC226" s="115"/>
      <c r="AD226" s="115"/>
    </row>
    <row r="227" spans="1:30" ht="30" hidden="1" customHeight="1" x14ac:dyDescent="0.2">
      <c r="A227" s="108"/>
      <c r="B227" s="448"/>
      <c r="C227" s="385"/>
      <c r="D227" s="109"/>
      <c r="E227" s="109"/>
      <c r="F227" s="110"/>
      <c r="G227" s="111"/>
      <c r="H227" s="110"/>
      <c r="I227" s="112"/>
      <c r="J227" s="111"/>
      <c r="K227" s="110"/>
      <c r="L227" s="113"/>
      <c r="M227" s="111"/>
      <c r="N227" s="114"/>
      <c r="O227" s="113"/>
      <c r="P227" s="111"/>
      <c r="Q227" s="114"/>
      <c r="R227" s="113"/>
      <c r="S227" s="111"/>
      <c r="T227" s="114"/>
      <c r="U227" s="110"/>
      <c r="V227" s="111"/>
      <c r="W227" s="110"/>
      <c r="X227" s="110"/>
      <c r="Y227" s="110"/>
      <c r="Z227" s="110"/>
      <c r="AA227" s="110"/>
      <c r="AB227" s="115"/>
      <c r="AC227" s="115"/>
      <c r="AD227" s="115"/>
    </row>
    <row r="228" spans="1:30" ht="30" hidden="1" customHeight="1" x14ac:dyDescent="0.2">
      <c r="A228" s="108"/>
      <c r="B228" s="448"/>
      <c r="C228" s="385"/>
      <c r="D228" s="109"/>
      <c r="E228" s="109"/>
      <c r="F228" s="110"/>
      <c r="G228" s="111"/>
      <c r="H228" s="110"/>
      <c r="I228" s="112"/>
      <c r="J228" s="111"/>
      <c r="K228" s="110"/>
      <c r="L228" s="113"/>
      <c r="M228" s="111"/>
      <c r="N228" s="114"/>
      <c r="O228" s="113"/>
      <c r="P228" s="111"/>
      <c r="Q228" s="114"/>
      <c r="R228" s="113"/>
      <c r="S228" s="111"/>
      <c r="T228" s="114"/>
      <c r="U228" s="110"/>
      <c r="V228" s="111"/>
      <c r="W228" s="110"/>
      <c r="X228" s="110"/>
      <c r="Y228" s="110"/>
      <c r="Z228" s="110"/>
      <c r="AA228" s="110"/>
      <c r="AB228" s="115"/>
      <c r="AC228" s="115"/>
      <c r="AD228" s="115"/>
    </row>
    <row r="229" spans="1:30" ht="30" hidden="1" customHeight="1" x14ac:dyDescent="0.2">
      <c r="A229" s="108"/>
      <c r="B229" s="448"/>
      <c r="C229" s="385"/>
      <c r="D229" s="109"/>
      <c r="E229" s="109"/>
      <c r="F229" s="110"/>
      <c r="G229" s="111"/>
      <c r="H229" s="110"/>
      <c r="I229" s="112"/>
      <c r="J229" s="111"/>
      <c r="K229" s="110"/>
      <c r="L229" s="113"/>
      <c r="M229" s="111"/>
      <c r="N229" s="114"/>
      <c r="O229" s="113"/>
      <c r="P229" s="111"/>
      <c r="Q229" s="114"/>
      <c r="R229" s="113"/>
      <c r="S229" s="111"/>
      <c r="T229" s="114"/>
      <c r="U229" s="110"/>
      <c r="V229" s="111"/>
      <c r="W229" s="110"/>
      <c r="X229" s="110"/>
      <c r="Y229" s="110"/>
      <c r="Z229" s="110"/>
      <c r="AA229" s="110"/>
      <c r="AB229" s="115"/>
      <c r="AC229" s="115"/>
      <c r="AD229" s="115"/>
    </row>
    <row r="230" spans="1:30" ht="30" hidden="1" customHeight="1" x14ac:dyDescent="0.2">
      <c r="A230" s="108"/>
      <c r="B230" s="448"/>
      <c r="C230" s="385"/>
      <c r="D230" s="109"/>
      <c r="E230" s="109"/>
      <c r="F230" s="110"/>
      <c r="G230" s="111"/>
      <c r="H230" s="110"/>
      <c r="I230" s="112"/>
      <c r="J230" s="111"/>
      <c r="K230" s="110"/>
      <c r="L230" s="113"/>
      <c r="M230" s="111"/>
      <c r="N230" s="114"/>
      <c r="O230" s="113"/>
      <c r="P230" s="111"/>
      <c r="Q230" s="114"/>
      <c r="R230" s="113"/>
      <c r="S230" s="111"/>
      <c r="T230" s="114"/>
      <c r="U230" s="110"/>
      <c r="V230" s="111"/>
      <c r="W230" s="110"/>
      <c r="X230" s="110"/>
      <c r="Y230" s="110"/>
      <c r="Z230" s="110"/>
      <c r="AA230" s="110"/>
      <c r="AB230" s="115"/>
      <c r="AC230" s="115"/>
      <c r="AD230" s="115"/>
    </row>
    <row r="231" spans="1:30" ht="30" hidden="1" customHeight="1" x14ac:dyDescent="0.2">
      <c r="A231" s="108"/>
      <c r="B231" s="448"/>
      <c r="C231" s="385"/>
      <c r="D231" s="109"/>
      <c r="E231" s="109"/>
      <c r="F231" s="110"/>
      <c r="G231" s="111"/>
      <c r="H231" s="110"/>
      <c r="I231" s="112"/>
      <c r="J231" s="111"/>
      <c r="K231" s="110"/>
      <c r="L231" s="113"/>
      <c r="M231" s="111"/>
      <c r="N231" s="114"/>
      <c r="O231" s="113"/>
      <c r="P231" s="111"/>
      <c r="Q231" s="114"/>
      <c r="R231" s="113"/>
      <c r="S231" s="111"/>
      <c r="T231" s="114"/>
      <c r="U231" s="110"/>
      <c r="V231" s="111"/>
      <c r="W231" s="110"/>
      <c r="X231" s="110"/>
      <c r="Y231" s="110"/>
      <c r="Z231" s="110"/>
      <c r="AA231" s="110"/>
      <c r="AB231" s="115"/>
      <c r="AC231" s="115"/>
      <c r="AD231" s="115"/>
    </row>
    <row r="232" spans="1:30" ht="30" hidden="1" customHeight="1" x14ac:dyDescent="0.2">
      <c r="A232" s="108"/>
      <c r="B232" s="448"/>
      <c r="C232" s="385"/>
      <c r="D232" s="109"/>
      <c r="E232" s="109"/>
      <c r="F232" s="110"/>
      <c r="G232" s="111"/>
      <c r="H232" s="110"/>
      <c r="I232" s="112"/>
      <c r="J232" s="111"/>
      <c r="K232" s="110"/>
      <c r="L232" s="113"/>
      <c r="M232" s="111"/>
      <c r="N232" s="114"/>
      <c r="O232" s="113"/>
      <c r="P232" s="111"/>
      <c r="Q232" s="114"/>
      <c r="R232" s="113"/>
      <c r="S232" s="111"/>
      <c r="T232" s="114"/>
      <c r="U232" s="110"/>
      <c r="V232" s="111"/>
      <c r="W232" s="110"/>
      <c r="X232" s="110"/>
      <c r="Y232" s="110"/>
      <c r="Z232" s="110"/>
      <c r="AA232" s="110"/>
      <c r="AB232" s="115"/>
      <c r="AC232" s="115"/>
      <c r="AD232" s="115"/>
    </row>
    <row r="233" spans="1:30" ht="30" hidden="1" customHeight="1" x14ac:dyDescent="0.2">
      <c r="A233" s="108"/>
      <c r="B233" s="448"/>
      <c r="C233" s="385"/>
      <c r="D233" s="109"/>
      <c r="E233" s="109"/>
      <c r="F233" s="110"/>
      <c r="G233" s="111"/>
      <c r="H233" s="110"/>
      <c r="I233" s="112"/>
      <c r="J233" s="111"/>
      <c r="K233" s="110"/>
      <c r="L233" s="113"/>
      <c r="M233" s="111"/>
      <c r="N233" s="114"/>
      <c r="O233" s="113"/>
      <c r="P233" s="111"/>
      <c r="Q233" s="114"/>
      <c r="R233" s="113"/>
      <c r="S233" s="111"/>
      <c r="T233" s="114"/>
      <c r="U233" s="110"/>
      <c r="V233" s="111"/>
      <c r="W233" s="110"/>
      <c r="X233" s="110"/>
      <c r="Y233" s="110"/>
      <c r="Z233" s="110"/>
      <c r="AA233" s="110"/>
      <c r="AB233" s="115"/>
      <c r="AC233" s="115"/>
      <c r="AD233" s="115"/>
    </row>
    <row r="234" spans="1:30" ht="30" hidden="1" customHeight="1" x14ac:dyDescent="0.2">
      <c r="A234" s="108"/>
      <c r="B234" s="448"/>
      <c r="C234" s="385"/>
      <c r="D234" s="109"/>
      <c r="E234" s="109"/>
      <c r="F234" s="110"/>
      <c r="G234" s="111"/>
      <c r="H234" s="110"/>
      <c r="I234" s="112"/>
      <c r="J234" s="111"/>
      <c r="K234" s="110"/>
      <c r="L234" s="113"/>
      <c r="M234" s="111"/>
      <c r="N234" s="114"/>
      <c r="O234" s="113"/>
      <c r="P234" s="111"/>
      <c r="Q234" s="114"/>
      <c r="R234" s="113"/>
      <c r="S234" s="111"/>
      <c r="T234" s="114"/>
      <c r="U234" s="110"/>
      <c r="V234" s="111"/>
      <c r="W234" s="110"/>
      <c r="X234" s="110"/>
      <c r="Y234" s="110"/>
      <c r="Z234" s="110"/>
      <c r="AA234" s="110"/>
      <c r="AB234" s="115"/>
      <c r="AC234" s="115"/>
      <c r="AD234" s="115"/>
    </row>
    <row r="235" spans="1:30" ht="30" hidden="1" customHeight="1" x14ac:dyDescent="0.2">
      <c r="A235" s="108"/>
      <c r="B235" s="448"/>
      <c r="C235" s="385"/>
      <c r="D235" s="109"/>
      <c r="E235" s="109"/>
      <c r="F235" s="110"/>
      <c r="G235" s="111"/>
      <c r="H235" s="110"/>
      <c r="I235" s="112"/>
      <c r="J235" s="111"/>
      <c r="K235" s="110"/>
      <c r="L235" s="113"/>
      <c r="M235" s="111"/>
      <c r="N235" s="114"/>
      <c r="O235" s="113"/>
      <c r="P235" s="111"/>
      <c r="Q235" s="114"/>
      <c r="R235" s="113"/>
      <c r="S235" s="111"/>
      <c r="T235" s="114"/>
      <c r="U235" s="110"/>
      <c r="V235" s="111"/>
      <c r="W235" s="110"/>
      <c r="X235" s="110"/>
      <c r="Y235" s="110"/>
      <c r="Z235" s="110"/>
      <c r="AA235" s="110"/>
      <c r="AB235" s="115"/>
      <c r="AC235" s="115"/>
      <c r="AD235" s="115"/>
    </row>
    <row r="236" spans="1:30" ht="30" hidden="1" customHeight="1" x14ac:dyDescent="0.2">
      <c r="A236" s="108"/>
      <c r="B236" s="448"/>
      <c r="C236" s="385"/>
      <c r="D236" s="109"/>
      <c r="E236" s="109"/>
      <c r="F236" s="110"/>
      <c r="G236" s="111"/>
      <c r="H236" s="110"/>
      <c r="I236" s="112"/>
      <c r="J236" s="111"/>
      <c r="K236" s="110"/>
      <c r="L236" s="113"/>
      <c r="M236" s="111"/>
      <c r="N236" s="114"/>
      <c r="O236" s="113"/>
      <c r="P236" s="111"/>
      <c r="Q236" s="114"/>
      <c r="R236" s="113"/>
      <c r="S236" s="111"/>
      <c r="T236" s="114"/>
      <c r="U236" s="110"/>
      <c r="V236" s="111"/>
      <c r="W236" s="110"/>
      <c r="X236" s="110"/>
      <c r="Y236" s="110"/>
      <c r="Z236" s="110"/>
      <c r="AA236" s="110"/>
      <c r="AB236" s="115"/>
      <c r="AC236" s="115"/>
      <c r="AD236" s="115"/>
    </row>
    <row r="237" spans="1:30" ht="30" hidden="1" customHeight="1" x14ac:dyDescent="0.2">
      <c r="A237" s="108"/>
      <c r="B237" s="448"/>
      <c r="C237" s="385"/>
      <c r="D237" s="109"/>
      <c r="E237" s="109"/>
      <c r="F237" s="110"/>
      <c r="G237" s="111"/>
      <c r="H237" s="110"/>
      <c r="I237" s="112"/>
      <c r="J237" s="111"/>
      <c r="K237" s="110"/>
      <c r="L237" s="113"/>
      <c r="M237" s="111"/>
      <c r="N237" s="114"/>
      <c r="O237" s="113"/>
      <c r="P237" s="111"/>
      <c r="Q237" s="114"/>
      <c r="R237" s="113"/>
      <c r="S237" s="111"/>
      <c r="T237" s="114"/>
      <c r="U237" s="110"/>
      <c r="V237" s="111"/>
      <c r="W237" s="110"/>
      <c r="X237" s="110"/>
      <c r="Y237" s="110"/>
      <c r="Z237" s="110"/>
      <c r="AA237" s="110"/>
      <c r="AB237" s="115"/>
      <c r="AC237" s="115"/>
      <c r="AD237" s="115"/>
    </row>
    <row r="238" spans="1:30" ht="30" hidden="1" customHeight="1" x14ac:dyDescent="0.2">
      <c r="A238" s="108"/>
      <c r="B238" s="448"/>
      <c r="C238" s="385"/>
      <c r="D238" s="109"/>
      <c r="E238" s="109"/>
      <c r="F238" s="110"/>
      <c r="G238" s="111"/>
      <c r="H238" s="110"/>
      <c r="I238" s="112"/>
      <c r="J238" s="111"/>
      <c r="K238" s="110"/>
      <c r="L238" s="113"/>
      <c r="M238" s="111"/>
      <c r="N238" s="114"/>
      <c r="O238" s="113"/>
      <c r="P238" s="111"/>
      <c r="Q238" s="114"/>
      <c r="R238" s="113"/>
      <c r="S238" s="111"/>
      <c r="T238" s="114"/>
      <c r="U238" s="110"/>
      <c r="V238" s="111"/>
      <c r="W238" s="110"/>
      <c r="X238" s="110"/>
      <c r="Y238" s="110"/>
      <c r="Z238" s="110"/>
      <c r="AA238" s="110"/>
      <c r="AB238" s="115"/>
      <c r="AC238" s="115"/>
      <c r="AD238" s="115"/>
    </row>
    <row r="239" spans="1:30" ht="30" hidden="1" customHeight="1" x14ac:dyDescent="0.2">
      <c r="A239" s="108"/>
      <c r="B239" s="448"/>
      <c r="C239" s="385"/>
      <c r="D239" s="109"/>
      <c r="E239" s="109"/>
      <c r="F239" s="110"/>
      <c r="G239" s="111"/>
      <c r="H239" s="110"/>
      <c r="I239" s="112"/>
      <c r="J239" s="111"/>
      <c r="K239" s="110"/>
      <c r="L239" s="113"/>
      <c r="M239" s="111"/>
      <c r="N239" s="114"/>
      <c r="O239" s="113"/>
      <c r="P239" s="111"/>
      <c r="Q239" s="114"/>
      <c r="R239" s="113"/>
      <c r="S239" s="111"/>
      <c r="T239" s="114"/>
      <c r="U239" s="110"/>
      <c r="V239" s="111"/>
      <c r="W239" s="110"/>
      <c r="X239" s="110"/>
      <c r="Y239" s="110"/>
      <c r="Z239" s="110"/>
      <c r="AA239" s="110"/>
      <c r="AB239" s="115"/>
      <c r="AC239" s="115"/>
      <c r="AD239" s="115"/>
    </row>
    <row r="240" spans="1:30" ht="30" hidden="1" customHeight="1" x14ac:dyDescent="0.2">
      <c r="A240" s="108"/>
      <c r="B240" s="448"/>
      <c r="C240" s="385"/>
      <c r="D240" s="109"/>
      <c r="E240" s="109"/>
      <c r="F240" s="110"/>
      <c r="G240" s="111"/>
      <c r="H240" s="110"/>
      <c r="I240" s="112"/>
      <c r="J240" s="111"/>
      <c r="K240" s="110"/>
      <c r="L240" s="113"/>
      <c r="M240" s="111"/>
      <c r="N240" s="114"/>
      <c r="O240" s="113"/>
      <c r="P240" s="111"/>
      <c r="Q240" s="114"/>
      <c r="R240" s="113"/>
      <c r="S240" s="111"/>
      <c r="T240" s="114"/>
      <c r="U240" s="110"/>
      <c r="V240" s="111"/>
      <c r="W240" s="110"/>
      <c r="X240" s="110"/>
      <c r="Y240" s="110"/>
      <c r="Z240" s="110"/>
      <c r="AA240" s="110"/>
      <c r="AB240" s="115"/>
      <c r="AC240" s="115"/>
      <c r="AD240" s="115"/>
    </row>
    <row r="241" spans="1:30" ht="30" hidden="1" customHeight="1" x14ac:dyDescent="0.2">
      <c r="A241" s="108"/>
      <c r="B241" s="448"/>
      <c r="C241" s="385"/>
      <c r="D241" s="109"/>
      <c r="E241" s="109"/>
      <c r="F241" s="110"/>
      <c r="G241" s="111"/>
      <c r="H241" s="110"/>
      <c r="I241" s="112"/>
      <c r="J241" s="111"/>
      <c r="K241" s="110"/>
      <c r="L241" s="113"/>
      <c r="M241" s="111"/>
      <c r="N241" s="114"/>
      <c r="O241" s="113"/>
      <c r="P241" s="111"/>
      <c r="Q241" s="114"/>
      <c r="R241" s="113"/>
      <c r="S241" s="111"/>
      <c r="T241" s="114"/>
      <c r="U241" s="110"/>
      <c r="V241" s="111"/>
      <c r="W241" s="110"/>
      <c r="X241" s="110"/>
      <c r="Y241" s="110"/>
      <c r="Z241" s="110"/>
      <c r="AA241" s="110"/>
      <c r="AB241" s="115"/>
      <c r="AC241" s="115"/>
      <c r="AD241" s="115"/>
    </row>
    <row r="242" spans="1:30" ht="30" hidden="1" customHeight="1" x14ac:dyDescent="0.2">
      <c r="A242" s="108"/>
      <c r="B242" s="448"/>
      <c r="C242" s="385"/>
      <c r="D242" s="109"/>
      <c r="E242" s="109"/>
      <c r="F242" s="110"/>
      <c r="G242" s="111"/>
      <c r="H242" s="110"/>
      <c r="I242" s="112"/>
      <c r="J242" s="111"/>
      <c r="K242" s="110"/>
      <c r="L242" s="113"/>
      <c r="M242" s="111"/>
      <c r="N242" s="114"/>
      <c r="O242" s="113"/>
      <c r="P242" s="111"/>
      <c r="Q242" s="114"/>
      <c r="R242" s="113"/>
      <c r="S242" s="111"/>
      <c r="T242" s="114"/>
      <c r="U242" s="110"/>
      <c r="V242" s="111"/>
      <c r="W242" s="110"/>
      <c r="X242" s="110"/>
      <c r="Y242" s="110"/>
      <c r="Z242" s="110"/>
      <c r="AA242" s="110"/>
      <c r="AB242" s="115"/>
      <c r="AC242" s="115"/>
      <c r="AD242" s="115"/>
    </row>
    <row r="243" spans="1:30" ht="30" hidden="1" customHeight="1" x14ac:dyDescent="0.2">
      <c r="A243" s="108"/>
      <c r="B243" s="448"/>
      <c r="C243" s="385"/>
      <c r="D243" s="109"/>
      <c r="E243" s="109"/>
      <c r="F243" s="110"/>
      <c r="G243" s="111"/>
      <c r="H243" s="110"/>
      <c r="I243" s="112"/>
      <c r="J243" s="111"/>
      <c r="K243" s="110"/>
      <c r="L243" s="113"/>
      <c r="M243" s="111"/>
      <c r="N243" s="114"/>
      <c r="O243" s="113"/>
      <c r="P243" s="111"/>
      <c r="Q243" s="114"/>
      <c r="R243" s="113"/>
      <c r="S243" s="111"/>
      <c r="T243" s="114"/>
      <c r="U243" s="110"/>
      <c r="V243" s="111"/>
      <c r="W243" s="110"/>
      <c r="X243" s="110"/>
      <c r="Y243" s="110"/>
      <c r="Z243" s="110"/>
      <c r="AA243" s="110"/>
      <c r="AB243" s="115"/>
      <c r="AC243" s="115"/>
      <c r="AD243" s="115"/>
    </row>
    <row r="244" spans="1:30" ht="30" hidden="1" customHeight="1" x14ac:dyDescent="0.2">
      <c r="A244" s="108"/>
      <c r="B244" s="448"/>
      <c r="C244" s="385"/>
      <c r="D244" s="109"/>
      <c r="E244" s="109"/>
      <c r="F244" s="110"/>
      <c r="G244" s="111"/>
      <c r="H244" s="110"/>
      <c r="I244" s="112"/>
      <c r="J244" s="111"/>
      <c r="K244" s="110"/>
      <c r="L244" s="113"/>
      <c r="M244" s="111"/>
      <c r="N244" s="114"/>
      <c r="O244" s="113"/>
      <c r="P244" s="111"/>
      <c r="Q244" s="114"/>
      <c r="R244" s="113"/>
      <c r="S244" s="111"/>
      <c r="T244" s="114"/>
      <c r="U244" s="110"/>
      <c r="V244" s="111"/>
      <c r="W244" s="110"/>
      <c r="X244" s="110"/>
      <c r="Y244" s="110"/>
      <c r="Z244" s="110"/>
      <c r="AA244" s="110"/>
      <c r="AB244" s="115"/>
      <c r="AC244" s="115"/>
      <c r="AD244" s="115"/>
    </row>
    <row r="245" spans="1:30" ht="30" hidden="1" customHeight="1" x14ac:dyDescent="0.2">
      <c r="A245" s="108"/>
      <c r="B245" s="448"/>
      <c r="C245" s="385"/>
      <c r="D245" s="109"/>
      <c r="E245" s="109"/>
      <c r="F245" s="110"/>
      <c r="G245" s="111"/>
      <c r="H245" s="110"/>
      <c r="I245" s="112"/>
      <c r="J245" s="111"/>
      <c r="K245" s="110"/>
      <c r="L245" s="113"/>
      <c r="M245" s="111"/>
      <c r="N245" s="114"/>
      <c r="O245" s="113"/>
      <c r="P245" s="111"/>
      <c r="Q245" s="114"/>
      <c r="R245" s="113"/>
      <c r="S245" s="111"/>
      <c r="T245" s="114"/>
      <c r="U245" s="110"/>
      <c r="V245" s="111"/>
      <c r="W245" s="110"/>
      <c r="X245" s="110"/>
      <c r="Y245" s="110"/>
      <c r="Z245" s="110"/>
      <c r="AA245" s="110"/>
      <c r="AB245" s="115"/>
      <c r="AC245" s="115"/>
      <c r="AD245" s="115"/>
    </row>
    <row r="246" spans="1:30" ht="30" hidden="1" customHeight="1" x14ac:dyDescent="0.2">
      <c r="A246" s="108"/>
      <c r="B246" s="448"/>
      <c r="C246" s="385"/>
      <c r="D246" s="109"/>
      <c r="E246" s="109"/>
      <c r="F246" s="110"/>
      <c r="G246" s="111"/>
      <c r="H246" s="110"/>
      <c r="I246" s="112"/>
      <c r="J246" s="111"/>
      <c r="K246" s="110"/>
      <c r="L246" s="113"/>
      <c r="M246" s="111"/>
      <c r="N246" s="114"/>
      <c r="O246" s="113"/>
      <c r="P246" s="111"/>
      <c r="Q246" s="114"/>
      <c r="R246" s="113"/>
      <c r="S246" s="111"/>
      <c r="T246" s="114"/>
      <c r="U246" s="110"/>
      <c r="V246" s="111"/>
      <c r="W246" s="110"/>
      <c r="X246" s="110"/>
      <c r="Y246" s="110"/>
      <c r="Z246" s="110"/>
      <c r="AA246" s="110"/>
      <c r="AB246" s="115"/>
      <c r="AC246" s="115"/>
      <c r="AD246" s="115"/>
    </row>
    <row r="247" spans="1:30" ht="30" hidden="1" customHeight="1" x14ac:dyDescent="0.2">
      <c r="A247" s="108"/>
      <c r="B247" s="448"/>
      <c r="C247" s="385"/>
      <c r="D247" s="109"/>
      <c r="E247" s="109"/>
      <c r="F247" s="110"/>
      <c r="G247" s="111"/>
      <c r="H247" s="110"/>
      <c r="I247" s="112"/>
      <c r="J247" s="111"/>
      <c r="K247" s="110"/>
      <c r="L247" s="113"/>
      <c r="M247" s="111"/>
      <c r="N247" s="114"/>
      <c r="O247" s="113"/>
      <c r="P247" s="111"/>
      <c r="Q247" s="114"/>
      <c r="R247" s="113"/>
      <c r="S247" s="111"/>
      <c r="T247" s="114"/>
      <c r="U247" s="110"/>
      <c r="V247" s="111"/>
      <c r="W247" s="110"/>
      <c r="X247" s="110"/>
      <c r="Y247" s="110"/>
      <c r="Z247" s="110"/>
      <c r="AA247" s="110"/>
      <c r="AB247" s="115"/>
      <c r="AC247" s="115"/>
      <c r="AD247" s="115"/>
    </row>
    <row r="248" spans="1:30" ht="30" hidden="1" customHeight="1" x14ac:dyDescent="0.2">
      <c r="A248" s="116"/>
      <c r="D248" s="117"/>
      <c r="E248" s="117"/>
      <c r="I248" s="118"/>
      <c r="J248" s="13"/>
      <c r="K248" s="269"/>
      <c r="L248" s="57"/>
      <c r="M248" s="119"/>
      <c r="N248" s="57"/>
      <c r="O248" s="57"/>
      <c r="P248" s="57"/>
      <c r="Q248" s="57"/>
      <c r="R248" s="57"/>
      <c r="S248" s="119"/>
      <c r="T248" s="57"/>
      <c r="AD248" s="120"/>
    </row>
    <row r="249" spans="1:30" ht="30" hidden="1" customHeight="1" x14ac:dyDescent="0.2">
      <c r="A249" s="116"/>
      <c r="D249" s="117"/>
      <c r="E249" s="117"/>
      <c r="I249" s="118"/>
      <c r="J249" s="13"/>
      <c r="K249" s="269"/>
      <c r="L249" s="57"/>
      <c r="M249" s="119"/>
      <c r="N249" s="57"/>
      <c r="O249" s="57"/>
      <c r="P249" s="57"/>
      <c r="Q249" s="57"/>
      <c r="R249" s="57"/>
      <c r="S249" s="119"/>
      <c r="T249" s="57"/>
      <c r="AD249" s="120"/>
    </row>
    <row r="250" spans="1:30" ht="30" hidden="1" customHeight="1" x14ac:dyDescent="0.2">
      <c r="A250" s="116"/>
      <c r="D250" s="117"/>
      <c r="E250" s="117"/>
      <c r="I250" s="118"/>
      <c r="J250" s="13"/>
      <c r="K250" s="269"/>
      <c r="L250" s="57"/>
      <c r="M250" s="119"/>
      <c r="N250" s="57"/>
      <c r="O250" s="57"/>
      <c r="P250" s="57"/>
      <c r="Q250" s="57"/>
      <c r="R250" s="57"/>
      <c r="S250" s="119"/>
      <c r="T250" s="57"/>
      <c r="AD250" s="120"/>
    </row>
    <row r="251" spans="1:30" ht="30" hidden="1" customHeight="1" x14ac:dyDescent="0.2">
      <c r="A251" s="116"/>
      <c r="D251" s="117"/>
      <c r="E251" s="117"/>
      <c r="I251" s="118"/>
      <c r="J251" s="13"/>
      <c r="K251" s="269"/>
      <c r="L251" s="57"/>
      <c r="M251" s="119"/>
      <c r="N251" s="57"/>
      <c r="O251" s="57"/>
      <c r="P251" s="57"/>
      <c r="Q251" s="57"/>
      <c r="R251" s="57"/>
      <c r="S251" s="119"/>
      <c r="T251" s="57"/>
      <c r="AD251" s="120"/>
    </row>
    <row r="252" spans="1:30" ht="30" hidden="1" customHeight="1" x14ac:dyDescent="0.2">
      <c r="A252" s="116"/>
      <c r="D252" s="117"/>
      <c r="E252" s="117"/>
      <c r="I252" s="118"/>
      <c r="J252" s="13"/>
      <c r="K252" s="269"/>
      <c r="L252" s="57"/>
      <c r="M252" s="119"/>
      <c r="N252" s="57"/>
      <c r="O252" s="57"/>
      <c r="P252" s="57"/>
      <c r="Q252" s="57"/>
      <c r="R252" s="57"/>
      <c r="S252" s="119"/>
      <c r="T252" s="57"/>
      <c r="AD252" s="120"/>
    </row>
    <row r="253" spans="1:30" ht="30" hidden="1" customHeight="1" x14ac:dyDescent="0.2">
      <c r="A253" s="116"/>
      <c r="D253" s="117"/>
      <c r="E253" s="117"/>
      <c r="I253" s="118"/>
      <c r="J253" s="13"/>
      <c r="K253" s="269"/>
      <c r="L253" s="57"/>
      <c r="M253" s="119"/>
      <c r="N253" s="57"/>
      <c r="O253" s="57"/>
      <c r="P253" s="57"/>
      <c r="Q253" s="57"/>
      <c r="R253" s="57"/>
      <c r="S253" s="119"/>
      <c r="T253" s="57"/>
      <c r="AD253" s="120"/>
    </row>
    <row r="254" spans="1:30" ht="30" hidden="1" customHeight="1" x14ac:dyDescent="0.2">
      <c r="A254" s="116"/>
      <c r="D254" s="117"/>
      <c r="E254" s="117"/>
      <c r="I254" s="118"/>
      <c r="J254" s="13"/>
      <c r="K254" s="269"/>
      <c r="L254" s="57"/>
      <c r="M254" s="119"/>
      <c r="N254" s="57"/>
      <c r="O254" s="57"/>
      <c r="P254" s="57"/>
      <c r="Q254" s="57"/>
      <c r="R254" s="57"/>
      <c r="S254" s="119"/>
      <c r="T254" s="57"/>
      <c r="AD254" s="120"/>
    </row>
    <row r="255" spans="1:30" ht="30" hidden="1" customHeight="1" x14ac:dyDescent="0.2">
      <c r="A255" s="116"/>
      <c r="D255" s="117"/>
      <c r="E255" s="117"/>
      <c r="I255" s="118"/>
      <c r="J255" s="13"/>
      <c r="K255" s="269"/>
      <c r="L255" s="57"/>
      <c r="M255" s="119"/>
      <c r="N255" s="57"/>
      <c r="O255" s="57"/>
      <c r="P255" s="57"/>
      <c r="Q255" s="57"/>
      <c r="R255" s="57"/>
      <c r="S255" s="119"/>
      <c r="T255" s="57"/>
      <c r="AD255" s="120"/>
    </row>
    <row r="256" spans="1:30" ht="30" hidden="1" customHeight="1" x14ac:dyDescent="0.2">
      <c r="A256" s="116"/>
      <c r="D256" s="117"/>
      <c r="E256" s="117"/>
      <c r="I256" s="118"/>
      <c r="J256" s="13"/>
      <c r="K256" s="269"/>
      <c r="L256" s="57"/>
      <c r="M256" s="119"/>
      <c r="N256" s="57"/>
      <c r="O256" s="57"/>
      <c r="P256" s="57"/>
      <c r="Q256" s="57"/>
      <c r="R256" s="57"/>
      <c r="S256" s="119"/>
      <c r="T256" s="57"/>
      <c r="AD256" s="120"/>
    </row>
    <row r="257" spans="1:30" ht="12.75" hidden="1" customHeight="1" x14ac:dyDescent="0.2">
      <c r="A257" s="121"/>
      <c r="D257" s="117"/>
      <c r="E257" s="117"/>
      <c r="I257" s="118"/>
      <c r="J257" s="13"/>
      <c r="K257" s="269"/>
      <c r="L257" s="57"/>
      <c r="M257" s="119"/>
      <c r="N257" s="57"/>
      <c r="O257" s="57"/>
      <c r="P257" s="57"/>
      <c r="Q257" s="57"/>
      <c r="R257" s="57"/>
      <c r="S257" s="119"/>
      <c r="T257" s="57"/>
      <c r="AD257" s="122"/>
    </row>
    <row r="258" spans="1:30" ht="12.75" hidden="1" customHeight="1" x14ac:dyDescent="0.2">
      <c r="A258" s="121"/>
      <c r="D258" s="117"/>
      <c r="E258" s="117"/>
      <c r="I258" s="118"/>
      <c r="J258" s="13"/>
      <c r="K258" s="269"/>
      <c r="L258" s="57"/>
      <c r="M258" s="119"/>
      <c r="N258" s="57"/>
      <c r="O258" s="57"/>
      <c r="P258" s="57"/>
      <c r="Q258" s="57"/>
      <c r="R258" s="57"/>
      <c r="S258" s="119"/>
      <c r="T258" s="57"/>
      <c r="AD258" s="122"/>
    </row>
    <row r="259" spans="1:30" ht="12.75" hidden="1" customHeight="1" x14ac:dyDescent="0.2">
      <c r="A259" s="121"/>
      <c r="D259" s="117"/>
      <c r="E259" s="117"/>
      <c r="I259" s="118"/>
      <c r="J259" s="13"/>
      <c r="K259" s="269"/>
      <c r="L259" s="57"/>
      <c r="M259" s="119"/>
      <c r="N259" s="57"/>
      <c r="O259" s="57"/>
      <c r="P259" s="57"/>
      <c r="Q259" s="57"/>
      <c r="R259" s="57"/>
      <c r="S259" s="119"/>
      <c r="T259" s="57"/>
      <c r="AD259" s="122"/>
    </row>
    <row r="260" spans="1:30" ht="12.75" hidden="1" customHeight="1" x14ac:dyDescent="0.2">
      <c r="A260" s="121"/>
      <c r="D260" s="117"/>
      <c r="E260" s="117"/>
      <c r="I260" s="118"/>
      <c r="J260" s="13"/>
      <c r="K260" s="269"/>
      <c r="L260" s="57"/>
      <c r="M260" s="119"/>
      <c r="N260" s="57"/>
      <c r="O260" s="57"/>
      <c r="P260" s="57"/>
      <c r="Q260" s="57"/>
      <c r="R260" s="57"/>
      <c r="S260" s="119"/>
      <c r="T260" s="57"/>
      <c r="AD260" s="122"/>
    </row>
    <row r="261" spans="1:30" ht="12.75" hidden="1" customHeight="1" x14ac:dyDescent="0.2">
      <c r="A261" s="121"/>
      <c r="D261" s="117"/>
      <c r="E261" s="117"/>
      <c r="I261" s="118"/>
      <c r="J261" s="13"/>
      <c r="K261" s="269"/>
      <c r="L261" s="57"/>
      <c r="M261" s="119"/>
      <c r="N261" s="57"/>
      <c r="O261" s="57"/>
      <c r="P261" s="57"/>
      <c r="Q261" s="57"/>
      <c r="R261" s="57"/>
      <c r="S261" s="119"/>
      <c r="T261" s="57"/>
      <c r="AD261" s="122"/>
    </row>
    <row r="262" spans="1:30" ht="12.75" hidden="1" customHeight="1" x14ac:dyDescent="0.2">
      <c r="A262" s="121"/>
      <c r="D262" s="117"/>
      <c r="E262" s="117"/>
      <c r="I262" s="118"/>
      <c r="J262" s="13"/>
      <c r="K262" s="269"/>
      <c r="L262" s="57"/>
      <c r="M262" s="119"/>
      <c r="N262" s="57"/>
      <c r="O262" s="57"/>
      <c r="P262" s="57"/>
      <c r="Q262" s="57"/>
      <c r="R262" s="57"/>
      <c r="S262" s="119"/>
      <c r="T262" s="57"/>
      <c r="AD262" s="122"/>
    </row>
    <row r="263" spans="1:30" ht="12.75" hidden="1" customHeight="1" x14ac:dyDescent="0.2">
      <c r="A263" s="121"/>
      <c r="D263" s="117"/>
      <c r="E263" s="117"/>
      <c r="I263" s="118"/>
      <c r="J263" s="13"/>
      <c r="K263" s="269"/>
      <c r="L263" s="57"/>
      <c r="M263" s="119"/>
      <c r="N263" s="57"/>
      <c r="O263" s="57"/>
      <c r="P263" s="57"/>
      <c r="Q263" s="57"/>
      <c r="R263" s="57"/>
      <c r="S263" s="119"/>
      <c r="T263" s="57"/>
      <c r="AD263" s="122"/>
    </row>
    <row r="264" spans="1:30" ht="12.75" hidden="1" customHeight="1" x14ac:dyDescent="0.2">
      <c r="A264" s="121"/>
      <c r="D264" s="117"/>
      <c r="E264" s="117"/>
      <c r="I264" s="118"/>
      <c r="J264" s="13"/>
      <c r="K264" s="269"/>
      <c r="L264" s="57"/>
      <c r="M264" s="119"/>
      <c r="N264" s="57"/>
      <c r="O264" s="57"/>
      <c r="P264" s="57"/>
      <c r="Q264" s="57"/>
      <c r="R264" s="57"/>
      <c r="S264" s="119"/>
      <c r="T264" s="57"/>
      <c r="AD264" s="122"/>
    </row>
    <row r="265" spans="1:30" ht="12.75" hidden="1" customHeight="1" x14ac:dyDescent="0.2">
      <c r="A265" s="121"/>
      <c r="D265" s="117"/>
      <c r="E265" s="117"/>
      <c r="I265" s="118"/>
      <c r="J265" s="13"/>
      <c r="K265" s="269"/>
      <c r="L265" s="57"/>
      <c r="M265" s="119"/>
      <c r="N265" s="57"/>
      <c r="O265" s="57"/>
      <c r="P265" s="57"/>
      <c r="Q265" s="57"/>
      <c r="R265" s="57"/>
      <c r="S265" s="119"/>
      <c r="T265" s="57"/>
      <c r="AD265" s="122"/>
    </row>
    <row r="266" spans="1:30" ht="12.75" hidden="1" customHeight="1" x14ac:dyDescent="0.2">
      <c r="A266" s="121"/>
      <c r="D266" s="117"/>
      <c r="E266" s="117"/>
      <c r="I266" s="118"/>
      <c r="J266" s="13"/>
      <c r="K266" s="269"/>
      <c r="L266" s="57"/>
      <c r="M266" s="119"/>
      <c r="N266" s="57"/>
      <c r="O266" s="57"/>
      <c r="P266" s="57"/>
      <c r="Q266" s="57"/>
      <c r="R266" s="57"/>
      <c r="S266" s="119"/>
      <c r="T266" s="57"/>
      <c r="AD266" s="122"/>
    </row>
    <row r="267" spans="1:30" ht="12.75" hidden="1" customHeight="1" x14ac:dyDescent="0.2">
      <c r="A267" s="121"/>
      <c r="D267" s="117"/>
      <c r="E267" s="117"/>
      <c r="I267" s="118"/>
      <c r="J267" s="13"/>
      <c r="K267" s="269"/>
      <c r="L267" s="57"/>
      <c r="M267" s="119"/>
      <c r="N267" s="57"/>
      <c r="O267" s="57"/>
      <c r="P267" s="57"/>
      <c r="Q267" s="57"/>
      <c r="R267" s="57"/>
      <c r="S267" s="119"/>
      <c r="T267" s="57"/>
      <c r="AD267" s="122"/>
    </row>
    <row r="268" spans="1:30" ht="12.75" hidden="1" customHeight="1" x14ac:dyDescent="0.2">
      <c r="A268" s="121"/>
      <c r="D268" s="117"/>
      <c r="E268" s="117"/>
      <c r="I268" s="118"/>
      <c r="J268" s="13"/>
      <c r="K268" s="269"/>
      <c r="L268" s="57"/>
      <c r="M268" s="119"/>
      <c r="N268" s="57"/>
      <c r="O268" s="57"/>
      <c r="P268" s="57"/>
      <c r="Q268" s="57"/>
      <c r="R268" s="57"/>
      <c r="S268" s="119"/>
      <c r="T268" s="57"/>
      <c r="AD268" s="122"/>
    </row>
    <row r="269" spans="1:30" ht="12.75" hidden="1" customHeight="1" x14ac:dyDescent="0.2">
      <c r="A269" s="121"/>
      <c r="D269" s="117"/>
      <c r="E269" s="117"/>
      <c r="I269" s="118"/>
      <c r="J269" s="13"/>
      <c r="K269" s="269"/>
      <c r="L269" s="57"/>
      <c r="M269" s="119"/>
      <c r="N269" s="57"/>
      <c r="O269" s="57"/>
      <c r="P269" s="57"/>
      <c r="Q269" s="57"/>
      <c r="R269" s="57"/>
      <c r="S269" s="119"/>
      <c r="T269" s="57"/>
      <c r="AD269" s="122"/>
    </row>
    <row r="270" spans="1:30" ht="12.75" hidden="1" customHeight="1" x14ac:dyDescent="0.2">
      <c r="A270" s="121"/>
      <c r="D270" s="117"/>
      <c r="E270" s="117"/>
      <c r="I270" s="118"/>
      <c r="J270" s="13"/>
      <c r="K270" s="269"/>
      <c r="L270" s="57"/>
      <c r="M270" s="119"/>
      <c r="N270" s="57"/>
      <c r="O270" s="57"/>
      <c r="P270" s="57"/>
      <c r="Q270" s="57"/>
      <c r="R270" s="57"/>
      <c r="S270" s="119"/>
      <c r="T270" s="57"/>
      <c r="AD270" s="122"/>
    </row>
    <row r="271" spans="1:30" ht="12.75" hidden="1" customHeight="1" x14ac:dyDescent="0.2">
      <c r="A271" s="121"/>
      <c r="D271" s="117"/>
      <c r="E271" s="117"/>
      <c r="I271" s="118"/>
      <c r="J271" s="13"/>
      <c r="K271" s="269"/>
      <c r="L271" s="57"/>
      <c r="M271" s="119"/>
      <c r="N271" s="57"/>
      <c r="O271" s="57"/>
      <c r="P271" s="57"/>
      <c r="Q271" s="57"/>
      <c r="R271" s="57"/>
      <c r="S271" s="119"/>
      <c r="T271" s="57"/>
      <c r="AD271" s="122"/>
    </row>
    <row r="272" spans="1:30" ht="12.75" hidden="1" customHeight="1" x14ac:dyDescent="0.2">
      <c r="A272" s="121"/>
      <c r="D272" s="117"/>
      <c r="E272" s="117"/>
      <c r="I272" s="118"/>
      <c r="J272" s="13"/>
      <c r="K272" s="269"/>
      <c r="L272" s="57"/>
      <c r="M272" s="119"/>
      <c r="N272" s="57"/>
      <c r="O272" s="57"/>
      <c r="P272" s="57"/>
      <c r="Q272" s="57"/>
      <c r="R272" s="57"/>
      <c r="S272" s="119"/>
      <c r="T272" s="57"/>
      <c r="AD272" s="122"/>
    </row>
    <row r="273" spans="1:30" ht="12.75" hidden="1" customHeight="1" x14ac:dyDescent="0.2">
      <c r="A273" s="121"/>
      <c r="D273" s="117"/>
      <c r="E273" s="117"/>
      <c r="I273" s="118"/>
      <c r="J273" s="13"/>
      <c r="K273" s="269"/>
      <c r="L273" s="57"/>
      <c r="M273" s="119"/>
      <c r="N273" s="57"/>
      <c r="O273" s="57"/>
      <c r="P273" s="57"/>
      <c r="Q273" s="57"/>
      <c r="R273" s="57"/>
      <c r="S273" s="119"/>
      <c r="T273" s="57"/>
      <c r="AD273" s="122"/>
    </row>
    <row r="274" spans="1:30" ht="12.75" hidden="1" customHeight="1" x14ac:dyDescent="0.2">
      <c r="A274" s="121"/>
      <c r="D274" s="117"/>
      <c r="E274" s="117"/>
      <c r="I274" s="118"/>
      <c r="J274" s="13"/>
      <c r="K274" s="269"/>
      <c r="L274" s="57"/>
      <c r="M274" s="119"/>
      <c r="N274" s="57"/>
      <c r="O274" s="57"/>
      <c r="P274" s="57"/>
      <c r="Q274" s="57"/>
      <c r="R274" s="57"/>
      <c r="S274" s="119"/>
      <c r="T274" s="57"/>
      <c r="AD274" s="122"/>
    </row>
    <row r="275" spans="1:30" ht="12.75" hidden="1" customHeight="1" x14ac:dyDescent="0.2">
      <c r="A275" s="121"/>
      <c r="D275" s="117"/>
      <c r="E275" s="117"/>
      <c r="I275" s="118"/>
      <c r="J275" s="13"/>
      <c r="K275" s="269"/>
      <c r="L275" s="57"/>
      <c r="M275" s="119"/>
      <c r="N275" s="57"/>
      <c r="O275" s="57"/>
      <c r="P275" s="57"/>
      <c r="Q275" s="57"/>
      <c r="R275" s="57"/>
      <c r="S275" s="119"/>
      <c r="T275" s="57"/>
      <c r="AD275" s="122"/>
    </row>
    <row r="276" spans="1:30" ht="12.75" hidden="1" customHeight="1" x14ac:dyDescent="0.2">
      <c r="A276" s="121"/>
      <c r="D276" s="117"/>
      <c r="E276" s="117"/>
      <c r="I276" s="118"/>
      <c r="J276" s="13"/>
      <c r="K276" s="269"/>
      <c r="L276" s="57"/>
      <c r="M276" s="119"/>
      <c r="N276" s="57"/>
      <c r="O276" s="57"/>
      <c r="P276" s="57"/>
      <c r="Q276" s="57"/>
      <c r="R276" s="57"/>
      <c r="S276" s="119"/>
      <c r="T276" s="57"/>
      <c r="AD276" s="122"/>
    </row>
    <row r="277" spans="1:30" ht="12.75" hidden="1" customHeight="1" x14ac:dyDescent="0.2">
      <c r="A277" s="121"/>
      <c r="D277" s="117"/>
      <c r="E277" s="117"/>
      <c r="I277" s="118"/>
      <c r="J277" s="13"/>
      <c r="K277" s="269"/>
      <c r="L277" s="57"/>
      <c r="M277" s="119"/>
      <c r="N277" s="57"/>
      <c r="O277" s="57"/>
      <c r="P277" s="57"/>
      <c r="Q277" s="57"/>
      <c r="R277" s="57"/>
      <c r="S277" s="119"/>
      <c r="T277" s="57"/>
      <c r="AD277" s="122"/>
    </row>
    <row r="278" spans="1:30" ht="12.75" hidden="1" customHeight="1" x14ac:dyDescent="0.2">
      <c r="A278" s="121"/>
      <c r="D278" s="117"/>
      <c r="E278" s="117"/>
      <c r="I278" s="118"/>
      <c r="J278" s="13"/>
      <c r="K278" s="269"/>
      <c r="L278" s="57"/>
      <c r="M278" s="119"/>
      <c r="N278" s="57"/>
      <c r="O278" s="57"/>
      <c r="P278" s="57"/>
      <c r="Q278" s="57"/>
      <c r="R278" s="57"/>
      <c r="S278" s="119"/>
      <c r="T278" s="57"/>
      <c r="AD278" s="122"/>
    </row>
    <row r="279" spans="1:30" ht="12.75" hidden="1" customHeight="1" x14ac:dyDescent="0.2">
      <c r="A279" s="121"/>
      <c r="D279" s="117"/>
      <c r="E279" s="117"/>
      <c r="I279" s="118"/>
      <c r="J279" s="13"/>
      <c r="K279" s="269"/>
      <c r="L279" s="57"/>
      <c r="M279" s="119"/>
      <c r="N279" s="57"/>
      <c r="O279" s="57"/>
      <c r="P279" s="57"/>
      <c r="Q279" s="57"/>
      <c r="R279" s="57"/>
      <c r="S279" s="119"/>
      <c r="T279" s="57"/>
      <c r="AD279" s="122"/>
    </row>
    <row r="280" spans="1:30" ht="12.75" hidden="1" customHeight="1" x14ac:dyDescent="0.2">
      <c r="A280" s="121"/>
      <c r="D280" s="117"/>
      <c r="E280" s="117"/>
      <c r="I280" s="118"/>
      <c r="J280" s="13"/>
      <c r="K280" s="269"/>
      <c r="L280" s="57"/>
      <c r="M280" s="119"/>
      <c r="N280" s="57"/>
      <c r="O280" s="57"/>
      <c r="P280" s="57"/>
      <c r="Q280" s="57"/>
      <c r="R280" s="57"/>
      <c r="S280" s="119"/>
      <c r="T280" s="57"/>
      <c r="AD280" s="122"/>
    </row>
    <row r="281" spans="1:30" ht="12.75" hidden="1" customHeight="1" x14ac:dyDescent="0.2">
      <c r="A281" s="121"/>
      <c r="D281" s="117"/>
      <c r="E281" s="117"/>
      <c r="I281" s="118"/>
      <c r="J281" s="13"/>
      <c r="K281" s="269"/>
      <c r="L281" s="57"/>
      <c r="M281" s="119"/>
      <c r="N281" s="57"/>
      <c r="O281" s="57"/>
      <c r="P281" s="57"/>
      <c r="Q281" s="57"/>
      <c r="R281" s="57"/>
      <c r="S281" s="119"/>
      <c r="T281" s="57"/>
      <c r="AD281" s="122"/>
    </row>
    <row r="282" spans="1:30" ht="12.75" hidden="1" customHeight="1" x14ac:dyDescent="0.2">
      <c r="A282" s="121"/>
      <c r="D282" s="117"/>
      <c r="E282" s="117"/>
      <c r="I282" s="118"/>
      <c r="J282" s="13"/>
      <c r="K282" s="269"/>
      <c r="L282" s="57"/>
      <c r="M282" s="119"/>
      <c r="N282" s="57"/>
      <c r="O282" s="57"/>
      <c r="P282" s="57"/>
      <c r="Q282" s="57"/>
      <c r="R282" s="57"/>
      <c r="S282" s="119"/>
      <c r="T282" s="57"/>
      <c r="AD282" s="122"/>
    </row>
    <row r="283" spans="1:30" ht="12.75" hidden="1" customHeight="1" x14ac:dyDescent="0.2">
      <c r="A283" s="121"/>
      <c r="D283" s="117"/>
      <c r="E283" s="117"/>
      <c r="I283" s="118"/>
      <c r="J283" s="13"/>
      <c r="K283" s="269"/>
      <c r="L283" s="57"/>
      <c r="M283" s="119"/>
      <c r="N283" s="57"/>
      <c r="O283" s="57"/>
      <c r="P283" s="57"/>
      <c r="Q283" s="57"/>
      <c r="R283" s="57"/>
      <c r="S283" s="119"/>
      <c r="T283" s="57"/>
      <c r="AD283" s="122"/>
    </row>
    <row r="284" spans="1:30" ht="12.75" hidden="1" customHeight="1" x14ac:dyDescent="0.2">
      <c r="A284" s="121"/>
      <c r="D284" s="117"/>
      <c r="E284" s="117"/>
      <c r="I284" s="118"/>
      <c r="J284" s="13"/>
      <c r="K284" s="269"/>
      <c r="L284" s="57"/>
      <c r="M284" s="119"/>
      <c r="N284" s="57"/>
      <c r="O284" s="57"/>
      <c r="P284" s="57"/>
      <c r="Q284" s="57"/>
      <c r="R284" s="57"/>
      <c r="S284" s="119"/>
      <c r="T284" s="57"/>
      <c r="AD284" s="122"/>
    </row>
    <row r="285" spans="1:30" ht="12.75" hidden="1" customHeight="1" x14ac:dyDescent="0.2">
      <c r="A285" s="121"/>
      <c r="D285" s="117"/>
      <c r="E285" s="117"/>
      <c r="I285" s="118"/>
      <c r="J285" s="13"/>
      <c r="K285" s="269"/>
      <c r="L285" s="57"/>
      <c r="M285" s="119"/>
      <c r="N285" s="57"/>
      <c r="O285" s="57"/>
      <c r="P285" s="57"/>
      <c r="Q285" s="57"/>
      <c r="R285" s="57"/>
      <c r="S285" s="119"/>
      <c r="T285" s="57"/>
      <c r="AD285" s="122"/>
    </row>
    <row r="286" spans="1:30" ht="12.75" hidden="1" customHeight="1" x14ac:dyDescent="0.2">
      <c r="A286" s="121"/>
      <c r="D286" s="117"/>
      <c r="E286" s="117"/>
      <c r="I286" s="118"/>
      <c r="J286" s="13"/>
      <c r="K286" s="269"/>
      <c r="L286" s="57"/>
      <c r="M286" s="119"/>
      <c r="N286" s="57"/>
      <c r="O286" s="57"/>
      <c r="P286" s="57"/>
      <c r="Q286" s="57"/>
      <c r="R286" s="57"/>
      <c r="S286" s="119"/>
      <c r="T286" s="57"/>
      <c r="AD286" s="122"/>
    </row>
    <row r="287" spans="1:30" ht="12.75" hidden="1" customHeight="1" x14ac:dyDescent="0.2">
      <c r="A287" s="121"/>
      <c r="D287" s="117"/>
      <c r="E287" s="117"/>
      <c r="I287" s="118"/>
      <c r="J287" s="13"/>
      <c r="K287" s="269"/>
      <c r="L287" s="57"/>
      <c r="M287" s="119"/>
      <c r="N287" s="57"/>
      <c r="O287" s="57"/>
      <c r="P287" s="57"/>
      <c r="Q287" s="57"/>
      <c r="R287" s="57"/>
      <c r="S287" s="119"/>
      <c r="T287" s="57"/>
      <c r="AD287" s="122"/>
    </row>
    <row r="288" spans="1:30" ht="12.75" hidden="1" customHeight="1" x14ac:dyDescent="0.2">
      <c r="A288" s="121"/>
      <c r="D288" s="117"/>
      <c r="E288" s="117"/>
      <c r="I288" s="118"/>
      <c r="J288" s="13"/>
      <c r="K288" s="269"/>
      <c r="L288" s="57"/>
      <c r="M288" s="119"/>
      <c r="N288" s="57"/>
      <c r="O288" s="57"/>
      <c r="P288" s="57"/>
      <c r="Q288" s="57"/>
      <c r="R288" s="57"/>
      <c r="S288" s="119"/>
      <c r="T288" s="57"/>
      <c r="AD288" s="122"/>
    </row>
    <row r="289" spans="1:30" ht="12.75" hidden="1" customHeight="1" x14ac:dyDescent="0.2">
      <c r="A289" s="121"/>
      <c r="D289" s="117"/>
      <c r="E289" s="117"/>
      <c r="I289" s="118"/>
      <c r="J289" s="13"/>
      <c r="K289" s="269"/>
      <c r="L289" s="57"/>
      <c r="M289" s="119"/>
      <c r="N289" s="57"/>
      <c r="O289" s="57"/>
      <c r="P289" s="57"/>
      <c r="Q289" s="57"/>
      <c r="R289" s="57"/>
      <c r="S289" s="119"/>
      <c r="T289" s="57"/>
      <c r="AD289" s="122"/>
    </row>
    <row r="290" spans="1:30" ht="12.75" hidden="1" customHeight="1" x14ac:dyDescent="0.2">
      <c r="A290" s="121"/>
      <c r="D290" s="117"/>
      <c r="E290" s="117"/>
      <c r="I290" s="118"/>
      <c r="J290" s="13"/>
      <c r="K290" s="269"/>
      <c r="L290" s="57"/>
      <c r="M290" s="119"/>
      <c r="N290" s="57"/>
      <c r="O290" s="57"/>
      <c r="P290" s="57"/>
      <c r="Q290" s="57"/>
      <c r="R290" s="57"/>
      <c r="S290" s="119"/>
      <c r="T290" s="57"/>
      <c r="AD290" s="122"/>
    </row>
    <row r="291" spans="1:30" ht="12.75" hidden="1" customHeight="1" x14ac:dyDescent="0.2">
      <c r="A291" s="121"/>
      <c r="D291" s="117"/>
      <c r="E291" s="117"/>
      <c r="I291" s="118"/>
      <c r="J291" s="13"/>
      <c r="K291" s="269"/>
      <c r="L291" s="57"/>
      <c r="M291" s="119"/>
      <c r="N291" s="57"/>
      <c r="O291" s="57"/>
      <c r="P291" s="57"/>
      <c r="Q291" s="57"/>
      <c r="R291" s="57"/>
      <c r="S291" s="119"/>
      <c r="T291" s="57"/>
      <c r="AD291" s="122"/>
    </row>
    <row r="292" spans="1:30" ht="12.75" hidden="1" customHeight="1" x14ac:dyDescent="0.2">
      <c r="A292" s="121"/>
      <c r="D292" s="117"/>
      <c r="E292" s="117"/>
      <c r="I292" s="118"/>
      <c r="J292" s="13"/>
      <c r="K292" s="269"/>
      <c r="L292" s="57"/>
      <c r="M292" s="119"/>
      <c r="N292" s="57"/>
      <c r="O292" s="57"/>
      <c r="P292" s="57"/>
      <c r="Q292" s="57"/>
      <c r="R292" s="57"/>
      <c r="S292" s="119"/>
      <c r="T292" s="57"/>
      <c r="AD292" s="122"/>
    </row>
    <row r="293" spans="1:30" ht="12.75" hidden="1" customHeight="1" x14ac:dyDescent="0.2">
      <c r="A293" s="121"/>
      <c r="D293" s="117"/>
      <c r="E293" s="117"/>
      <c r="I293" s="118"/>
      <c r="J293" s="13"/>
      <c r="K293" s="269"/>
      <c r="L293" s="57"/>
      <c r="M293" s="119"/>
      <c r="N293" s="57"/>
      <c r="O293" s="57"/>
      <c r="P293" s="57"/>
      <c r="Q293" s="57"/>
      <c r="R293" s="57"/>
      <c r="S293" s="119"/>
      <c r="T293" s="57"/>
      <c r="AD293" s="122"/>
    </row>
    <row r="294" spans="1:30" ht="12.75" hidden="1" customHeight="1" x14ac:dyDescent="0.2">
      <c r="A294" s="121"/>
      <c r="D294" s="117"/>
      <c r="E294" s="117"/>
      <c r="I294" s="118"/>
      <c r="J294" s="13"/>
      <c r="K294" s="269"/>
      <c r="L294" s="57"/>
      <c r="M294" s="119"/>
      <c r="N294" s="57"/>
      <c r="O294" s="57"/>
      <c r="P294" s="57"/>
      <c r="Q294" s="57"/>
      <c r="R294" s="57"/>
      <c r="S294" s="119"/>
      <c r="T294" s="57"/>
      <c r="AD294" s="122"/>
    </row>
    <row r="295" spans="1:30" ht="12.75" hidden="1" customHeight="1" x14ac:dyDescent="0.2">
      <c r="A295" s="121"/>
      <c r="D295" s="117"/>
      <c r="E295" s="117"/>
      <c r="I295" s="118"/>
      <c r="J295" s="13"/>
      <c r="K295" s="269"/>
      <c r="L295" s="57"/>
      <c r="M295" s="119"/>
      <c r="N295" s="57"/>
      <c r="O295" s="57"/>
      <c r="P295" s="57"/>
      <c r="Q295" s="57"/>
      <c r="R295" s="57"/>
      <c r="S295" s="119"/>
      <c r="T295" s="57"/>
      <c r="AD295" s="122"/>
    </row>
    <row r="296" spans="1:30" ht="12.75" hidden="1" customHeight="1" x14ac:dyDescent="0.2">
      <c r="A296" s="121"/>
      <c r="D296" s="117"/>
      <c r="E296" s="117"/>
      <c r="I296" s="118"/>
      <c r="J296" s="13"/>
      <c r="K296" s="269"/>
      <c r="L296" s="57"/>
      <c r="M296" s="119"/>
      <c r="N296" s="57"/>
      <c r="O296" s="57"/>
      <c r="P296" s="57"/>
      <c r="Q296" s="57"/>
      <c r="R296" s="57"/>
      <c r="S296" s="119"/>
      <c r="T296" s="57"/>
      <c r="AD296" s="122"/>
    </row>
    <row r="297" spans="1:30" ht="12.75" hidden="1" customHeight="1" x14ac:dyDescent="0.2">
      <c r="A297" s="121"/>
      <c r="D297" s="117"/>
      <c r="E297" s="117"/>
      <c r="I297" s="118"/>
      <c r="J297" s="13"/>
      <c r="K297" s="269"/>
      <c r="L297" s="57"/>
      <c r="M297" s="119"/>
      <c r="N297" s="57"/>
      <c r="O297" s="57"/>
      <c r="P297" s="57"/>
      <c r="Q297" s="57"/>
      <c r="R297" s="57"/>
      <c r="S297" s="119"/>
      <c r="T297" s="57"/>
      <c r="AD297" s="122"/>
    </row>
    <row r="298" spans="1:30" ht="12.75" hidden="1" customHeight="1" x14ac:dyDescent="0.2">
      <c r="A298" s="121"/>
      <c r="D298" s="117"/>
      <c r="E298" s="117"/>
      <c r="I298" s="118"/>
      <c r="J298" s="13"/>
      <c r="K298" s="269"/>
      <c r="L298" s="57"/>
      <c r="M298" s="119"/>
      <c r="N298" s="57"/>
      <c r="O298" s="57"/>
      <c r="P298" s="57"/>
      <c r="Q298" s="57"/>
      <c r="R298" s="57"/>
      <c r="S298" s="119"/>
      <c r="T298" s="57"/>
      <c r="AD298" s="122"/>
    </row>
    <row r="299" spans="1:30" ht="12.75" hidden="1" customHeight="1" x14ac:dyDescent="0.2">
      <c r="A299" s="121"/>
      <c r="D299" s="117"/>
      <c r="E299" s="117"/>
      <c r="I299" s="118"/>
      <c r="J299" s="13"/>
      <c r="K299" s="269"/>
      <c r="L299" s="57"/>
      <c r="M299" s="119"/>
      <c r="N299" s="57"/>
      <c r="O299" s="57"/>
      <c r="P299" s="57"/>
      <c r="Q299" s="57"/>
      <c r="R299" s="57"/>
      <c r="S299" s="119"/>
      <c r="T299" s="57"/>
      <c r="AD299" s="122"/>
    </row>
    <row r="300" spans="1:30" ht="12.75" hidden="1" customHeight="1" x14ac:dyDescent="0.2">
      <c r="A300" s="121"/>
      <c r="D300" s="117"/>
      <c r="E300" s="117"/>
      <c r="I300" s="118"/>
      <c r="J300" s="13"/>
      <c r="K300" s="269"/>
      <c r="L300" s="57"/>
      <c r="M300" s="119"/>
      <c r="N300" s="57"/>
      <c r="O300" s="57"/>
      <c r="P300" s="57"/>
      <c r="Q300" s="57"/>
      <c r="R300" s="57"/>
      <c r="S300" s="119"/>
      <c r="T300" s="57"/>
      <c r="AD300" s="122"/>
    </row>
    <row r="301" spans="1:30" ht="12.75" hidden="1" customHeight="1" x14ac:dyDescent="0.2">
      <c r="A301" s="121"/>
      <c r="D301" s="117"/>
      <c r="E301" s="117"/>
      <c r="I301" s="118"/>
      <c r="J301" s="13"/>
      <c r="K301" s="269"/>
      <c r="L301" s="57"/>
      <c r="M301" s="119"/>
      <c r="N301" s="57"/>
      <c r="O301" s="57"/>
      <c r="P301" s="57"/>
      <c r="Q301" s="57"/>
      <c r="R301" s="57"/>
      <c r="S301" s="119"/>
      <c r="T301" s="57"/>
      <c r="AD301" s="122"/>
    </row>
    <row r="302" spans="1:30" ht="12.75" hidden="1" customHeight="1" x14ac:dyDescent="0.2">
      <c r="A302" s="121"/>
      <c r="D302" s="117"/>
      <c r="E302" s="117"/>
      <c r="I302" s="118"/>
      <c r="J302" s="13"/>
      <c r="K302" s="269"/>
      <c r="L302" s="57"/>
      <c r="M302" s="119"/>
      <c r="N302" s="57"/>
      <c r="O302" s="57"/>
      <c r="P302" s="57"/>
      <c r="Q302" s="57"/>
      <c r="R302" s="57"/>
      <c r="S302" s="119"/>
      <c r="T302" s="57"/>
      <c r="AD302" s="122"/>
    </row>
    <row r="303" spans="1:30" ht="12.75" hidden="1" customHeight="1" x14ac:dyDescent="0.2">
      <c r="A303" s="121"/>
      <c r="D303" s="117"/>
      <c r="E303" s="117"/>
      <c r="I303" s="118"/>
      <c r="J303" s="13"/>
      <c r="K303" s="269"/>
      <c r="L303" s="57"/>
      <c r="M303" s="119"/>
      <c r="N303" s="57"/>
      <c r="O303" s="57"/>
      <c r="P303" s="57"/>
      <c r="Q303" s="57"/>
      <c r="R303" s="57"/>
      <c r="S303" s="119"/>
      <c r="T303" s="57"/>
      <c r="AD303" s="122"/>
    </row>
    <row r="304" spans="1:30" ht="12.75" hidden="1" customHeight="1" x14ac:dyDescent="0.2">
      <c r="A304" s="121"/>
      <c r="D304" s="117"/>
      <c r="E304" s="117"/>
      <c r="I304" s="118"/>
      <c r="J304" s="13"/>
      <c r="K304" s="269"/>
      <c r="L304" s="57"/>
      <c r="M304" s="119"/>
      <c r="N304" s="57"/>
      <c r="O304" s="57"/>
      <c r="P304" s="57"/>
      <c r="Q304" s="57"/>
      <c r="R304" s="57"/>
      <c r="S304" s="119"/>
      <c r="T304" s="57"/>
      <c r="AD304" s="122"/>
    </row>
    <row r="305" spans="1:30" ht="12.75" hidden="1" customHeight="1" x14ac:dyDescent="0.2">
      <c r="A305" s="121"/>
      <c r="D305" s="117"/>
      <c r="E305" s="117"/>
      <c r="I305" s="118"/>
      <c r="J305" s="13"/>
      <c r="K305" s="269"/>
      <c r="L305" s="57"/>
      <c r="M305" s="119"/>
      <c r="N305" s="57"/>
      <c r="O305" s="57"/>
      <c r="P305" s="57"/>
      <c r="Q305" s="57"/>
      <c r="R305" s="57"/>
      <c r="S305" s="119"/>
      <c r="T305" s="57"/>
      <c r="AD305" s="122"/>
    </row>
    <row r="306" spans="1:30" ht="12.75" hidden="1" customHeight="1" x14ac:dyDescent="0.2">
      <c r="A306" s="121"/>
      <c r="D306" s="117"/>
      <c r="E306" s="117"/>
      <c r="I306" s="118"/>
      <c r="J306" s="13"/>
      <c r="K306" s="269"/>
      <c r="L306" s="57"/>
      <c r="M306" s="119"/>
      <c r="N306" s="57"/>
      <c r="O306" s="57"/>
      <c r="P306" s="57"/>
      <c r="Q306" s="57"/>
      <c r="R306" s="57"/>
      <c r="S306" s="119"/>
      <c r="T306" s="57"/>
      <c r="AD306" s="122"/>
    </row>
    <row r="307" spans="1:30" ht="12.75" hidden="1" customHeight="1" x14ac:dyDescent="0.2">
      <c r="A307" s="121"/>
      <c r="D307" s="117"/>
      <c r="E307" s="117"/>
      <c r="I307" s="118"/>
      <c r="J307" s="13"/>
      <c r="K307" s="269"/>
      <c r="L307" s="57"/>
      <c r="M307" s="119"/>
      <c r="N307" s="57"/>
      <c r="O307" s="57"/>
      <c r="P307" s="57"/>
      <c r="Q307" s="57"/>
      <c r="R307" s="57"/>
      <c r="S307" s="119"/>
      <c r="T307" s="57"/>
      <c r="AD307" s="122"/>
    </row>
    <row r="308" spans="1:30" ht="12.75" hidden="1" customHeight="1" x14ac:dyDescent="0.2">
      <c r="A308" s="121"/>
      <c r="D308" s="117"/>
      <c r="E308" s="117"/>
      <c r="I308" s="118"/>
      <c r="J308" s="13"/>
      <c r="K308" s="269"/>
      <c r="L308" s="57"/>
      <c r="M308" s="119"/>
      <c r="N308" s="57"/>
      <c r="O308" s="57"/>
      <c r="P308" s="57"/>
      <c r="Q308" s="57"/>
      <c r="R308" s="57"/>
      <c r="S308" s="119"/>
      <c r="T308" s="57"/>
      <c r="AD308" s="122"/>
    </row>
    <row r="309" spans="1:30" ht="12.75" hidden="1" customHeight="1" x14ac:dyDescent="0.2">
      <c r="A309" s="121"/>
      <c r="D309" s="117"/>
      <c r="E309" s="117"/>
      <c r="I309" s="118"/>
      <c r="J309" s="13"/>
      <c r="K309" s="269"/>
      <c r="L309" s="57"/>
      <c r="M309" s="119"/>
      <c r="N309" s="57"/>
      <c r="O309" s="57"/>
      <c r="P309" s="57"/>
      <c r="Q309" s="57"/>
      <c r="R309" s="57"/>
      <c r="S309" s="119"/>
      <c r="T309" s="57"/>
      <c r="AD309" s="122"/>
    </row>
    <row r="310" spans="1:30" ht="12.75" hidden="1" customHeight="1" x14ac:dyDescent="0.2">
      <c r="A310" s="121"/>
      <c r="D310" s="117"/>
      <c r="E310" s="117"/>
      <c r="I310" s="118"/>
      <c r="J310" s="13"/>
      <c r="K310" s="269"/>
      <c r="L310" s="57"/>
      <c r="M310" s="119"/>
      <c r="N310" s="57"/>
      <c r="O310" s="57"/>
      <c r="P310" s="57"/>
      <c r="Q310" s="57"/>
      <c r="R310" s="57"/>
      <c r="S310" s="119"/>
      <c r="T310" s="57"/>
      <c r="AD310" s="122"/>
    </row>
    <row r="311" spans="1:30" ht="12.75" hidden="1" customHeight="1" x14ac:dyDescent="0.2">
      <c r="A311" s="121"/>
      <c r="D311" s="117"/>
      <c r="E311" s="117"/>
      <c r="I311" s="118"/>
      <c r="J311" s="13"/>
      <c r="K311" s="269"/>
      <c r="L311" s="57"/>
      <c r="M311" s="119"/>
      <c r="N311" s="57"/>
      <c r="O311" s="57"/>
      <c r="P311" s="57"/>
      <c r="Q311" s="57"/>
      <c r="R311" s="57"/>
      <c r="S311" s="119"/>
      <c r="T311" s="57"/>
      <c r="AD311" s="122"/>
    </row>
    <row r="312" spans="1:30" ht="12.75" hidden="1" customHeight="1" x14ac:dyDescent="0.2">
      <c r="A312" s="121"/>
      <c r="D312" s="117"/>
      <c r="E312" s="117"/>
      <c r="I312" s="118"/>
      <c r="J312" s="13"/>
      <c r="K312" s="269"/>
      <c r="L312" s="57"/>
      <c r="M312" s="119"/>
      <c r="N312" s="57"/>
      <c r="O312" s="57"/>
      <c r="P312" s="57"/>
      <c r="Q312" s="57"/>
      <c r="R312" s="57"/>
      <c r="S312" s="119"/>
      <c r="T312" s="57"/>
      <c r="AD312" s="122"/>
    </row>
    <row r="313" spans="1:30" ht="12.75" hidden="1" customHeight="1" x14ac:dyDescent="0.2">
      <c r="A313" s="121"/>
      <c r="D313" s="117"/>
      <c r="E313" s="117"/>
      <c r="I313" s="118"/>
      <c r="J313" s="13"/>
      <c r="K313" s="269"/>
      <c r="L313" s="57"/>
      <c r="M313" s="119"/>
      <c r="N313" s="57"/>
      <c r="O313" s="57"/>
      <c r="P313" s="57"/>
      <c r="Q313" s="57"/>
      <c r="R313" s="57"/>
      <c r="S313" s="119"/>
      <c r="T313" s="57"/>
      <c r="AD313" s="122"/>
    </row>
    <row r="314" spans="1:30" ht="12.75" hidden="1" customHeight="1" x14ac:dyDescent="0.2">
      <c r="A314" s="121"/>
      <c r="D314" s="117"/>
      <c r="E314" s="117"/>
      <c r="I314" s="118"/>
      <c r="J314" s="13"/>
      <c r="K314" s="269"/>
      <c r="L314" s="57"/>
      <c r="M314" s="119"/>
      <c r="N314" s="57"/>
      <c r="O314" s="57"/>
      <c r="P314" s="57"/>
      <c r="Q314" s="57"/>
      <c r="R314" s="57"/>
      <c r="S314" s="119"/>
      <c r="T314" s="57"/>
      <c r="AD314" s="122"/>
    </row>
    <row r="315" spans="1:30" ht="12.75" hidden="1" customHeight="1" x14ac:dyDescent="0.2">
      <c r="A315" s="121"/>
      <c r="D315" s="117"/>
      <c r="E315" s="117"/>
      <c r="I315" s="118"/>
      <c r="J315" s="13"/>
      <c r="K315" s="269"/>
      <c r="L315" s="57"/>
      <c r="M315" s="119"/>
      <c r="N315" s="57"/>
      <c r="O315" s="57"/>
      <c r="P315" s="57"/>
      <c r="Q315" s="57"/>
      <c r="R315" s="57"/>
      <c r="S315" s="119"/>
      <c r="T315" s="57"/>
      <c r="AD315" s="122"/>
    </row>
    <row r="316" spans="1:30" ht="12.75" hidden="1" customHeight="1" x14ac:dyDescent="0.2">
      <c r="A316" s="121"/>
      <c r="D316" s="117"/>
      <c r="E316" s="117"/>
      <c r="I316" s="118"/>
      <c r="J316" s="13"/>
      <c r="K316" s="269"/>
      <c r="L316" s="57"/>
      <c r="M316" s="119"/>
      <c r="N316" s="57"/>
      <c r="O316" s="57"/>
      <c r="P316" s="57"/>
      <c r="Q316" s="57"/>
      <c r="R316" s="57"/>
      <c r="S316" s="119"/>
      <c r="T316" s="57"/>
      <c r="AD316" s="122"/>
    </row>
    <row r="317" spans="1:30" ht="12.75" hidden="1" customHeight="1" x14ac:dyDescent="0.2">
      <c r="A317" s="121"/>
      <c r="D317" s="117"/>
      <c r="E317" s="117"/>
      <c r="I317" s="118"/>
      <c r="J317" s="13"/>
      <c r="K317" s="269"/>
      <c r="L317" s="57"/>
      <c r="M317" s="119"/>
      <c r="N317" s="57"/>
      <c r="O317" s="57"/>
      <c r="P317" s="57"/>
      <c r="Q317" s="57"/>
      <c r="R317" s="57"/>
      <c r="S317" s="119"/>
      <c r="T317" s="57"/>
      <c r="AD317" s="122"/>
    </row>
    <row r="318" spans="1:30" ht="12.75" hidden="1" customHeight="1" x14ac:dyDescent="0.2">
      <c r="A318" s="121"/>
      <c r="D318" s="117"/>
      <c r="E318" s="117"/>
      <c r="I318" s="118"/>
      <c r="J318" s="13"/>
      <c r="K318" s="269"/>
      <c r="L318" s="57"/>
      <c r="M318" s="119"/>
      <c r="N318" s="57"/>
      <c r="O318" s="57"/>
      <c r="P318" s="57"/>
      <c r="Q318" s="57"/>
      <c r="R318" s="57"/>
      <c r="S318" s="119"/>
      <c r="T318" s="57"/>
      <c r="AD318" s="122"/>
    </row>
    <row r="319" spans="1:30" ht="12.75" hidden="1" customHeight="1" x14ac:dyDescent="0.2">
      <c r="A319" s="121"/>
      <c r="D319" s="117"/>
      <c r="E319" s="117"/>
      <c r="I319" s="118"/>
      <c r="J319" s="13"/>
      <c r="K319" s="269"/>
      <c r="L319" s="57"/>
      <c r="M319" s="119"/>
      <c r="N319" s="57"/>
      <c r="O319" s="57"/>
      <c r="P319" s="57"/>
      <c r="Q319" s="57"/>
      <c r="R319" s="57"/>
      <c r="S319" s="119"/>
      <c r="T319" s="57"/>
      <c r="AD319" s="122"/>
    </row>
    <row r="320" spans="1:30" ht="12.75" hidden="1" customHeight="1" x14ac:dyDescent="0.2">
      <c r="A320" s="121"/>
      <c r="D320" s="117"/>
      <c r="E320" s="117"/>
      <c r="I320" s="118"/>
      <c r="J320" s="13"/>
      <c r="K320" s="269"/>
      <c r="L320" s="57"/>
      <c r="M320" s="119"/>
      <c r="N320" s="57"/>
      <c r="O320" s="57"/>
      <c r="P320" s="57"/>
      <c r="Q320" s="57"/>
      <c r="R320" s="57"/>
      <c r="S320" s="119"/>
      <c r="T320" s="57"/>
      <c r="AD320" s="122"/>
    </row>
    <row r="321" spans="1:30" ht="12.75" hidden="1" customHeight="1" x14ac:dyDescent="0.2">
      <c r="A321" s="121"/>
      <c r="D321" s="117"/>
      <c r="E321" s="117"/>
      <c r="I321" s="118"/>
      <c r="J321" s="13"/>
      <c r="K321" s="269"/>
      <c r="L321" s="57"/>
      <c r="M321" s="119"/>
      <c r="N321" s="57"/>
      <c r="O321" s="57"/>
      <c r="P321" s="57"/>
      <c r="Q321" s="57"/>
      <c r="R321" s="57"/>
      <c r="S321" s="119"/>
      <c r="T321" s="57"/>
      <c r="AD321" s="122"/>
    </row>
    <row r="322" spans="1:30" ht="12.75" hidden="1" customHeight="1" x14ac:dyDescent="0.2">
      <c r="A322" s="121"/>
      <c r="D322" s="117"/>
      <c r="E322" s="117"/>
      <c r="I322" s="118"/>
      <c r="J322" s="13"/>
      <c r="K322" s="269"/>
      <c r="L322" s="57"/>
      <c r="M322" s="119"/>
      <c r="N322" s="57"/>
      <c r="O322" s="57"/>
      <c r="P322" s="57"/>
      <c r="Q322" s="57"/>
      <c r="R322" s="57"/>
      <c r="S322" s="119"/>
      <c r="T322" s="57"/>
      <c r="AD322" s="122"/>
    </row>
    <row r="323" spans="1:30" ht="12.75" hidden="1" customHeight="1" x14ac:dyDescent="0.2">
      <c r="A323" s="121"/>
      <c r="D323" s="117"/>
      <c r="E323" s="117"/>
      <c r="I323" s="118"/>
      <c r="J323" s="13"/>
      <c r="K323" s="269"/>
      <c r="L323" s="57"/>
      <c r="M323" s="119"/>
      <c r="N323" s="57"/>
      <c r="O323" s="57"/>
      <c r="P323" s="57"/>
      <c r="Q323" s="57"/>
      <c r="R323" s="57"/>
      <c r="S323" s="119"/>
      <c r="T323" s="57"/>
      <c r="AD323" s="122"/>
    </row>
    <row r="324" spans="1:30" ht="12.75" hidden="1" customHeight="1" x14ac:dyDescent="0.2">
      <c r="A324" s="121"/>
      <c r="D324" s="117"/>
      <c r="E324" s="117"/>
      <c r="I324" s="118"/>
      <c r="J324" s="13"/>
      <c r="K324" s="269"/>
      <c r="L324" s="57"/>
      <c r="M324" s="119"/>
      <c r="N324" s="57"/>
      <c r="O324" s="57"/>
      <c r="P324" s="57"/>
      <c r="Q324" s="57"/>
      <c r="R324" s="57"/>
      <c r="S324" s="119"/>
      <c r="T324" s="57"/>
      <c r="AD324" s="122"/>
    </row>
    <row r="325" spans="1:30" ht="12.75" hidden="1" customHeight="1" x14ac:dyDescent="0.2">
      <c r="A325" s="121"/>
      <c r="D325" s="117"/>
      <c r="E325" s="117"/>
      <c r="I325" s="118"/>
      <c r="J325" s="13"/>
      <c r="K325" s="269"/>
      <c r="L325" s="57"/>
      <c r="M325" s="119"/>
      <c r="N325" s="57"/>
      <c r="O325" s="57"/>
      <c r="P325" s="57"/>
      <c r="Q325" s="57"/>
      <c r="R325" s="57"/>
      <c r="S325" s="119"/>
      <c r="T325" s="57"/>
      <c r="AD325" s="122"/>
    </row>
    <row r="326" spans="1:30" ht="12.75" hidden="1" customHeight="1" x14ac:dyDescent="0.2">
      <c r="A326" s="121"/>
      <c r="D326" s="117"/>
      <c r="E326" s="117"/>
      <c r="I326" s="118"/>
      <c r="J326" s="13"/>
      <c r="K326" s="269"/>
      <c r="L326" s="57"/>
      <c r="M326" s="119"/>
      <c r="N326" s="57"/>
      <c r="O326" s="57"/>
      <c r="P326" s="57"/>
      <c r="Q326" s="57"/>
      <c r="R326" s="57"/>
      <c r="S326" s="119"/>
      <c r="T326" s="57"/>
      <c r="AD326" s="122"/>
    </row>
    <row r="327" spans="1:30" ht="12.75" hidden="1" customHeight="1" x14ac:dyDescent="0.2">
      <c r="A327" s="121"/>
      <c r="D327" s="117"/>
      <c r="E327" s="117"/>
      <c r="I327" s="118"/>
      <c r="J327" s="13"/>
      <c r="K327" s="269"/>
      <c r="L327" s="57"/>
      <c r="M327" s="119"/>
      <c r="N327" s="57"/>
      <c r="O327" s="57"/>
      <c r="P327" s="57"/>
      <c r="Q327" s="57"/>
      <c r="R327" s="57"/>
      <c r="S327" s="119"/>
      <c r="T327" s="57"/>
      <c r="AD327" s="122"/>
    </row>
    <row r="328" spans="1:30" ht="12.75" hidden="1" customHeight="1" x14ac:dyDescent="0.2">
      <c r="A328" s="121"/>
      <c r="D328" s="117"/>
      <c r="E328" s="117"/>
      <c r="I328" s="118"/>
      <c r="J328" s="13"/>
      <c r="K328" s="269"/>
      <c r="L328" s="57"/>
      <c r="M328" s="119"/>
      <c r="N328" s="57"/>
      <c r="O328" s="57"/>
      <c r="P328" s="57"/>
      <c r="Q328" s="57"/>
      <c r="R328" s="57"/>
      <c r="S328" s="119"/>
      <c r="T328" s="57"/>
      <c r="AD328" s="122"/>
    </row>
    <row r="329" spans="1:30" ht="12.75" hidden="1" customHeight="1" x14ac:dyDescent="0.2">
      <c r="A329" s="121"/>
      <c r="D329" s="117"/>
      <c r="E329" s="117"/>
      <c r="I329" s="118"/>
      <c r="J329" s="13"/>
      <c r="K329" s="269"/>
      <c r="L329" s="57"/>
      <c r="M329" s="119"/>
      <c r="N329" s="57"/>
      <c r="O329" s="57"/>
      <c r="P329" s="57"/>
      <c r="Q329" s="57"/>
      <c r="R329" s="57"/>
      <c r="S329" s="119"/>
      <c r="T329" s="57"/>
      <c r="AD329" s="122"/>
    </row>
    <row r="330" spans="1:30" ht="12.75" hidden="1" customHeight="1" x14ac:dyDescent="0.2">
      <c r="A330" s="121"/>
      <c r="D330" s="117"/>
      <c r="E330" s="117"/>
      <c r="I330" s="118"/>
      <c r="J330" s="13"/>
      <c r="K330" s="269"/>
      <c r="L330" s="57"/>
      <c r="M330" s="119"/>
      <c r="N330" s="57"/>
      <c r="O330" s="57"/>
      <c r="P330" s="57"/>
      <c r="Q330" s="57"/>
      <c r="R330" s="57"/>
      <c r="S330" s="119"/>
      <c r="T330" s="57"/>
      <c r="AD330" s="122"/>
    </row>
    <row r="331" spans="1:30" ht="12.75" hidden="1" customHeight="1" x14ac:dyDescent="0.2">
      <c r="A331" s="121"/>
      <c r="D331" s="117"/>
      <c r="E331" s="117"/>
      <c r="I331" s="118"/>
      <c r="J331" s="13"/>
      <c r="K331" s="269"/>
      <c r="L331" s="57"/>
      <c r="M331" s="119"/>
      <c r="N331" s="57"/>
      <c r="O331" s="57"/>
      <c r="P331" s="57"/>
      <c r="Q331" s="57"/>
      <c r="R331" s="57"/>
      <c r="S331" s="119"/>
      <c r="T331" s="57"/>
      <c r="AD331" s="122"/>
    </row>
    <row r="332" spans="1:30" ht="12.75" hidden="1" customHeight="1" x14ac:dyDescent="0.2">
      <c r="A332" s="121"/>
      <c r="D332" s="117"/>
      <c r="E332" s="117"/>
      <c r="I332" s="118"/>
      <c r="J332" s="13"/>
      <c r="K332" s="269"/>
      <c r="L332" s="57"/>
      <c r="M332" s="119"/>
      <c r="N332" s="57"/>
      <c r="O332" s="57"/>
      <c r="P332" s="57"/>
      <c r="Q332" s="57"/>
      <c r="R332" s="57"/>
      <c r="S332" s="119"/>
      <c r="T332" s="57"/>
      <c r="AD332" s="122"/>
    </row>
    <row r="333" spans="1:30" ht="12.75" hidden="1" customHeight="1" x14ac:dyDescent="0.2">
      <c r="A333" s="121"/>
      <c r="D333" s="117"/>
      <c r="E333" s="117"/>
      <c r="I333" s="118"/>
      <c r="J333" s="13"/>
      <c r="K333" s="269"/>
      <c r="L333" s="57"/>
      <c r="M333" s="119"/>
      <c r="N333" s="57"/>
      <c r="O333" s="57"/>
      <c r="P333" s="57"/>
      <c r="Q333" s="57"/>
      <c r="R333" s="57"/>
      <c r="S333" s="119"/>
      <c r="T333" s="57"/>
      <c r="AD333" s="122"/>
    </row>
    <row r="334" spans="1:30" ht="12.75" hidden="1" customHeight="1" x14ac:dyDescent="0.2">
      <c r="A334" s="121"/>
      <c r="D334" s="117"/>
      <c r="E334" s="117"/>
      <c r="I334" s="118"/>
      <c r="J334" s="13"/>
      <c r="K334" s="269"/>
      <c r="L334" s="57"/>
      <c r="M334" s="119"/>
      <c r="N334" s="57"/>
      <c r="O334" s="57"/>
      <c r="P334" s="57"/>
      <c r="Q334" s="57"/>
      <c r="R334" s="57"/>
      <c r="S334" s="119"/>
      <c r="T334" s="57"/>
      <c r="AD334" s="122"/>
    </row>
    <row r="335" spans="1:30" ht="12.75" hidden="1" customHeight="1" x14ac:dyDescent="0.2">
      <c r="A335" s="121"/>
      <c r="D335" s="117"/>
      <c r="E335" s="117"/>
      <c r="I335" s="118"/>
      <c r="J335" s="13"/>
      <c r="K335" s="269"/>
      <c r="L335" s="57"/>
      <c r="M335" s="119"/>
      <c r="N335" s="57"/>
      <c r="O335" s="57"/>
      <c r="P335" s="57"/>
      <c r="Q335" s="57"/>
      <c r="R335" s="57"/>
      <c r="S335" s="119"/>
      <c r="T335" s="57"/>
      <c r="AD335" s="122"/>
    </row>
    <row r="336" spans="1:30" ht="12.75" hidden="1" customHeight="1" x14ac:dyDescent="0.2">
      <c r="A336" s="121"/>
      <c r="D336" s="117"/>
      <c r="E336" s="117"/>
      <c r="I336" s="118"/>
      <c r="J336" s="13"/>
      <c r="K336" s="269"/>
      <c r="L336" s="57"/>
      <c r="M336" s="119"/>
      <c r="N336" s="57"/>
      <c r="O336" s="57"/>
      <c r="P336" s="57"/>
      <c r="Q336" s="57"/>
      <c r="R336" s="57"/>
      <c r="S336" s="119"/>
      <c r="T336" s="57"/>
      <c r="AD336" s="122"/>
    </row>
    <row r="337" spans="1:30" ht="12.75" hidden="1" customHeight="1" x14ac:dyDescent="0.2">
      <c r="A337" s="121"/>
      <c r="D337" s="117"/>
      <c r="E337" s="117"/>
      <c r="I337" s="118"/>
      <c r="J337" s="13"/>
      <c r="K337" s="269"/>
      <c r="L337" s="57"/>
      <c r="M337" s="119"/>
      <c r="N337" s="57"/>
      <c r="O337" s="57"/>
      <c r="P337" s="57"/>
      <c r="Q337" s="57"/>
      <c r="R337" s="57"/>
      <c r="S337" s="119"/>
      <c r="T337" s="57"/>
      <c r="AD337" s="122"/>
    </row>
    <row r="338" spans="1:30" ht="12.75" hidden="1" customHeight="1" x14ac:dyDescent="0.2">
      <c r="A338" s="121"/>
      <c r="D338" s="117"/>
      <c r="E338" s="117"/>
      <c r="I338" s="118"/>
      <c r="J338" s="13"/>
      <c r="K338" s="269"/>
      <c r="L338" s="57"/>
      <c r="M338" s="119"/>
      <c r="N338" s="57"/>
      <c r="O338" s="57"/>
      <c r="P338" s="57"/>
      <c r="Q338" s="57"/>
      <c r="R338" s="57"/>
      <c r="S338" s="119"/>
      <c r="T338" s="57"/>
      <c r="AD338" s="122"/>
    </row>
    <row r="339" spans="1:30" ht="12.75" hidden="1" customHeight="1" x14ac:dyDescent="0.2">
      <c r="A339" s="121"/>
      <c r="D339" s="117"/>
      <c r="E339" s="117"/>
      <c r="I339" s="118"/>
      <c r="J339" s="13"/>
      <c r="K339" s="269"/>
      <c r="L339" s="57"/>
      <c r="M339" s="119"/>
      <c r="N339" s="57"/>
      <c r="O339" s="57"/>
      <c r="P339" s="57"/>
      <c r="Q339" s="57"/>
      <c r="R339" s="57"/>
      <c r="S339" s="119"/>
      <c r="T339" s="57"/>
      <c r="AD339" s="122"/>
    </row>
    <row r="340" spans="1:30" ht="12.75" hidden="1" customHeight="1" x14ac:dyDescent="0.2">
      <c r="A340" s="121"/>
      <c r="D340" s="117"/>
      <c r="E340" s="117"/>
      <c r="I340" s="118"/>
      <c r="J340" s="13"/>
      <c r="K340" s="269"/>
      <c r="L340" s="57"/>
      <c r="M340" s="119"/>
      <c r="N340" s="57"/>
      <c r="O340" s="57"/>
      <c r="P340" s="57"/>
      <c r="Q340" s="57"/>
      <c r="R340" s="57"/>
      <c r="S340" s="119"/>
      <c r="T340" s="57"/>
      <c r="AD340" s="122"/>
    </row>
    <row r="341" spans="1:30" ht="12.75" hidden="1" customHeight="1" x14ac:dyDescent="0.2">
      <c r="A341" s="121"/>
      <c r="D341" s="117"/>
      <c r="E341" s="117"/>
      <c r="I341" s="118"/>
      <c r="J341" s="13"/>
      <c r="K341" s="269"/>
      <c r="L341" s="57"/>
      <c r="M341" s="119"/>
      <c r="N341" s="57"/>
      <c r="O341" s="57"/>
      <c r="P341" s="57"/>
      <c r="Q341" s="57"/>
      <c r="R341" s="57"/>
      <c r="S341" s="119"/>
      <c r="T341" s="57"/>
      <c r="AD341" s="122"/>
    </row>
    <row r="342" spans="1:30" ht="12.75" hidden="1" customHeight="1" x14ac:dyDescent="0.2">
      <c r="A342" s="121"/>
      <c r="D342" s="117"/>
      <c r="E342" s="117"/>
      <c r="I342" s="118"/>
      <c r="J342" s="13"/>
      <c r="K342" s="269"/>
      <c r="L342" s="57"/>
      <c r="M342" s="119"/>
      <c r="N342" s="57"/>
      <c r="O342" s="57"/>
      <c r="P342" s="57"/>
      <c r="Q342" s="57"/>
      <c r="R342" s="57"/>
      <c r="S342" s="119"/>
      <c r="T342" s="57"/>
      <c r="AD342" s="122"/>
    </row>
    <row r="343" spans="1:30" ht="12.75" hidden="1" customHeight="1" x14ac:dyDescent="0.2">
      <c r="A343" s="121"/>
      <c r="D343" s="117"/>
      <c r="E343" s="117"/>
      <c r="I343" s="118"/>
      <c r="J343" s="13"/>
      <c r="K343" s="269"/>
      <c r="L343" s="57"/>
      <c r="M343" s="119"/>
      <c r="N343" s="57"/>
      <c r="O343" s="57"/>
      <c r="P343" s="57"/>
      <c r="Q343" s="57"/>
      <c r="R343" s="57"/>
      <c r="S343" s="119"/>
      <c r="T343" s="57"/>
      <c r="AD343" s="122"/>
    </row>
    <row r="344" spans="1:30" ht="12.75" hidden="1" customHeight="1" x14ac:dyDescent="0.2">
      <c r="A344" s="121"/>
      <c r="D344" s="117"/>
      <c r="E344" s="117"/>
      <c r="I344" s="118"/>
      <c r="J344" s="13"/>
      <c r="K344" s="269"/>
      <c r="L344" s="57"/>
      <c r="M344" s="119"/>
      <c r="N344" s="57"/>
      <c r="O344" s="57"/>
      <c r="P344" s="57"/>
      <c r="Q344" s="57"/>
      <c r="R344" s="57"/>
      <c r="S344" s="119"/>
      <c r="T344" s="57"/>
      <c r="AD344" s="122"/>
    </row>
    <row r="345" spans="1:30" ht="12.75" hidden="1" customHeight="1" x14ac:dyDescent="0.2">
      <c r="A345" s="121"/>
      <c r="D345" s="117"/>
      <c r="E345" s="117"/>
      <c r="I345" s="118"/>
      <c r="J345" s="13"/>
      <c r="K345" s="269"/>
      <c r="L345" s="57"/>
      <c r="M345" s="119"/>
      <c r="N345" s="57"/>
      <c r="O345" s="57"/>
      <c r="P345" s="57"/>
      <c r="Q345" s="57"/>
      <c r="R345" s="57"/>
      <c r="S345" s="119"/>
      <c r="T345" s="57"/>
      <c r="AD345" s="122"/>
    </row>
    <row r="346" spans="1:30" ht="12.75" hidden="1" customHeight="1" x14ac:dyDescent="0.2">
      <c r="A346" s="121"/>
      <c r="D346" s="117"/>
      <c r="E346" s="117"/>
      <c r="I346" s="118"/>
      <c r="J346" s="13"/>
      <c r="K346" s="269"/>
      <c r="L346" s="57"/>
      <c r="M346" s="119"/>
      <c r="N346" s="57"/>
      <c r="O346" s="57"/>
      <c r="P346" s="57"/>
      <c r="Q346" s="57"/>
      <c r="R346" s="57"/>
      <c r="S346" s="119"/>
      <c r="T346" s="57"/>
      <c r="AD346" s="122"/>
    </row>
    <row r="347" spans="1:30" ht="12.75" hidden="1" customHeight="1" x14ac:dyDescent="0.2">
      <c r="A347" s="121"/>
      <c r="D347" s="117"/>
      <c r="E347" s="117"/>
      <c r="I347" s="118"/>
      <c r="J347" s="13"/>
      <c r="K347" s="269"/>
      <c r="L347" s="57"/>
      <c r="M347" s="119"/>
      <c r="N347" s="57"/>
      <c r="O347" s="57"/>
      <c r="P347" s="57"/>
      <c r="Q347" s="57"/>
      <c r="R347" s="57"/>
      <c r="S347" s="119"/>
      <c r="T347" s="57"/>
      <c r="AD347" s="122"/>
    </row>
    <row r="348" spans="1:30" ht="12.75" hidden="1" customHeight="1" x14ac:dyDescent="0.2">
      <c r="A348" s="121"/>
      <c r="D348" s="117"/>
      <c r="E348" s="117"/>
      <c r="I348" s="118"/>
      <c r="J348" s="13"/>
      <c r="K348" s="269"/>
      <c r="L348" s="57"/>
      <c r="M348" s="119"/>
      <c r="N348" s="57"/>
      <c r="O348" s="57"/>
      <c r="P348" s="57"/>
      <c r="Q348" s="57"/>
      <c r="R348" s="57"/>
      <c r="S348" s="119"/>
      <c r="T348" s="57"/>
      <c r="AD348" s="122"/>
    </row>
    <row r="349" spans="1:30" ht="12.75" hidden="1" customHeight="1" x14ac:dyDescent="0.2">
      <c r="A349" s="121"/>
      <c r="D349" s="117"/>
      <c r="E349" s="117"/>
      <c r="I349" s="118"/>
      <c r="J349" s="13"/>
      <c r="K349" s="269"/>
      <c r="L349" s="57"/>
      <c r="M349" s="119"/>
      <c r="N349" s="57"/>
      <c r="O349" s="57"/>
      <c r="P349" s="57"/>
      <c r="Q349" s="57"/>
      <c r="R349" s="57"/>
      <c r="S349" s="119"/>
      <c r="T349" s="57"/>
      <c r="AD349" s="122"/>
    </row>
    <row r="350" spans="1:30" ht="12.75" hidden="1" customHeight="1" x14ac:dyDescent="0.2">
      <c r="A350" s="121"/>
      <c r="D350" s="117"/>
      <c r="E350" s="117"/>
      <c r="I350" s="118"/>
      <c r="J350" s="13"/>
      <c r="K350" s="269"/>
      <c r="L350" s="57"/>
      <c r="M350" s="119"/>
      <c r="N350" s="57"/>
      <c r="O350" s="57"/>
      <c r="P350" s="57"/>
      <c r="Q350" s="57"/>
      <c r="R350" s="57"/>
      <c r="S350" s="119"/>
      <c r="T350" s="57"/>
      <c r="AD350" s="122"/>
    </row>
    <row r="351" spans="1:30" ht="12.75" hidden="1" customHeight="1" x14ac:dyDescent="0.2">
      <c r="A351" s="121"/>
      <c r="D351" s="117"/>
      <c r="E351" s="117"/>
      <c r="I351" s="118"/>
      <c r="J351" s="13"/>
      <c r="K351" s="269"/>
      <c r="L351" s="57"/>
      <c r="M351" s="119"/>
      <c r="N351" s="57"/>
      <c r="O351" s="57"/>
      <c r="P351" s="57"/>
      <c r="Q351" s="57"/>
      <c r="R351" s="57"/>
      <c r="S351" s="119"/>
      <c r="T351" s="57"/>
      <c r="AD351" s="122"/>
    </row>
    <row r="352" spans="1:30" ht="12.75" hidden="1" customHeight="1" x14ac:dyDescent="0.2">
      <c r="A352" s="121"/>
      <c r="D352" s="117"/>
      <c r="E352" s="117"/>
      <c r="I352" s="118"/>
      <c r="J352" s="13"/>
      <c r="K352" s="269"/>
      <c r="L352" s="57"/>
      <c r="M352" s="119"/>
      <c r="N352" s="57"/>
      <c r="O352" s="57"/>
      <c r="P352" s="57"/>
      <c r="Q352" s="57"/>
      <c r="R352" s="57"/>
      <c r="S352" s="119"/>
      <c r="T352" s="57"/>
      <c r="AD352" s="122"/>
    </row>
    <row r="353" spans="1:30" ht="12.75" hidden="1" customHeight="1" x14ac:dyDescent="0.2">
      <c r="A353" s="121"/>
      <c r="D353" s="117"/>
      <c r="E353" s="117"/>
      <c r="I353" s="118"/>
      <c r="J353" s="13"/>
      <c r="K353" s="269"/>
      <c r="L353" s="57"/>
      <c r="M353" s="119"/>
      <c r="N353" s="57"/>
      <c r="O353" s="57"/>
      <c r="P353" s="57"/>
      <c r="Q353" s="57"/>
      <c r="R353" s="57"/>
      <c r="S353" s="119"/>
      <c r="T353" s="57"/>
      <c r="AD353" s="122"/>
    </row>
    <row r="354" spans="1:30" ht="12.75" hidden="1" customHeight="1" x14ac:dyDescent="0.2">
      <c r="A354" s="121"/>
      <c r="D354" s="117"/>
      <c r="E354" s="117"/>
      <c r="I354" s="118"/>
      <c r="J354" s="13"/>
      <c r="K354" s="269"/>
      <c r="L354" s="57"/>
      <c r="M354" s="119"/>
      <c r="N354" s="57"/>
      <c r="O354" s="57"/>
      <c r="P354" s="57"/>
      <c r="Q354" s="57"/>
      <c r="R354" s="57"/>
      <c r="S354" s="119"/>
      <c r="T354" s="57"/>
      <c r="AD354" s="122"/>
    </row>
    <row r="355" spans="1:30" ht="12.75" hidden="1" customHeight="1" x14ac:dyDescent="0.2">
      <c r="A355" s="121"/>
      <c r="D355" s="117"/>
      <c r="E355" s="117"/>
      <c r="I355" s="118"/>
      <c r="J355" s="13"/>
      <c r="K355" s="269"/>
      <c r="L355" s="57"/>
      <c r="M355" s="119"/>
      <c r="N355" s="57"/>
      <c r="O355" s="57"/>
      <c r="P355" s="57"/>
      <c r="Q355" s="57"/>
      <c r="R355" s="57"/>
      <c r="S355" s="119"/>
      <c r="T355" s="57"/>
      <c r="AD355" s="122"/>
    </row>
    <row r="356" spans="1:30" ht="12.75" hidden="1" customHeight="1" x14ac:dyDescent="0.2">
      <c r="A356" s="121"/>
      <c r="D356" s="117"/>
      <c r="E356" s="117"/>
      <c r="I356" s="118"/>
      <c r="J356" s="13"/>
      <c r="K356" s="269"/>
      <c r="L356" s="57"/>
      <c r="M356" s="119"/>
      <c r="N356" s="57"/>
      <c r="O356" s="57"/>
      <c r="P356" s="57"/>
      <c r="Q356" s="57"/>
      <c r="R356" s="57"/>
      <c r="S356" s="119"/>
      <c r="T356" s="57"/>
      <c r="AD356" s="122"/>
    </row>
    <row r="357" spans="1:30" ht="12.75" hidden="1" customHeight="1" x14ac:dyDescent="0.2">
      <c r="A357" s="121"/>
      <c r="D357" s="117"/>
      <c r="E357" s="117"/>
      <c r="I357" s="118"/>
      <c r="J357" s="13"/>
      <c r="K357" s="269"/>
      <c r="L357" s="57"/>
      <c r="M357" s="119"/>
      <c r="N357" s="57"/>
      <c r="O357" s="57"/>
      <c r="P357" s="57"/>
      <c r="Q357" s="57"/>
      <c r="R357" s="57"/>
      <c r="S357" s="119"/>
      <c r="T357" s="57"/>
      <c r="AD357" s="122"/>
    </row>
    <row r="358" spans="1:30" ht="12.75" hidden="1" customHeight="1" x14ac:dyDescent="0.2">
      <c r="A358" s="121"/>
      <c r="D358" s="117"/>
      <c r="E358" s="117"/>
      <c r="I358" s="118"/>
      <c r="J358" s="13"/>
      <c r="K358" s="269"/>
      <c r="L358" s="57"/>
      <c r="M358" s="119"/>
      <c r="N358" s="57"/>
      <c r="O358" s="57"/>
      <c r="P358" s="57"/>
      <c r="Q358" s="57"/>
      <c r="R358" s="57"/>
      <c r="S358" s="119"/>
      <c r="T358" s="57"/>
      <c r="AD358" s="122"/>
    </row>
    <row r="359" spans="1:30" ht="12.75" hidden="1" customHeight="1" x14ac:dyDescent="0.2">
      <c r="A359" s="121"/>
      <c r="D359" s="117"/>
      <c r="E359" s="117"/>
      <c r="I359" s="118"/>
      <c r="J359" s="13"/>
      <c r="K359" s="269"/>
      <c r="L359" s="57"/>
      <c r="M359" s="119"/>
      <c r="N359" s="57"/>
      <c r="O359" s="57"/>
      <c r="P359" s="57"/>
      <c r="Q359" s="57"/>
      <c r="R359" s="57"/>
      <c r="S359" s="119"/>
      <c r="T359" s="57"/>
      <c r="AD359" s="122"/>
    </row>
    <row r="360" spans="1:30" ht="12.75" hidden="1" customHeight="1" x14ac:dyDescent="0.2">
      <c r="A360" s="121"/>
      <c r="D360" s="117"/>
      <c r="E360" s="117"/>
      <c r="I360" s="118"/>
      <c r="J360" s="13"/>
      <c r="K360" s="269"/>
      <c r="L360" s="57"/>
      <c r="M360" s="119"/>
      <c r="N360" s="57"/>
      <c r="O360" s="57"/>
      <c r="P360" s="57"/>
      <c r="Q360" s="57"/>
      <c r="R360" s="57"/>
      <c r="S360" s="119"/>
      <c r="T360" s="57"/>
      <c r="AD360" s="122"/>
    </row>
    <row r="361" spans="1:30" ht="12.75" hidden="1" customHeight="1" x14ac:dyDescent="0.2">
      <c r="A361" s="121"/>
      <c r="D361" s="117"/>
      <c r="E361" s="117"/>
      <c r="I361" s="118"/>
      <c r="J361" s="13"/>
      <c r="K361" s="269"/>
      <c r="L361" s="57"/>
      <c r="M361" s="119"/>
      <c r="N361" s="57"/>
      <c r="O361" s="57"/>
      <c r="P361" s="57"/>
      <c r="Q361" s="57"/>
      <c r="R361" s="57"/>
      <c r="S361" s="119"/>
      <c r="T361" s="57"/>
      <c r="AD361" s="122"/>
    </row>
    <row r="362" spans="1:30" ht="12.75" hidden="1" customHeight="1" x14ac:dyDescent="0.2">
      <c r="A362" s="121"/>
      <c r="D362" s="117"/>
      <c r="E362" s="117"/>
      <c r="I362" s="118"/>
      <c r="J362" s="13"/>
      <c r="K362" s="269"/>
      <c r="L362" s="57"/>
      <c r="M362" s="119"/>
      <c r="N362" s="57"/>
      <c r="O362" s="57"/>
      <c r="P362" s="57"/>
      <c r="Q362" s="57"/>
      <c r="R362" s="57"/>
      <c r="S362" s="119"/>
      <c r="T362" s="57"/>
      <c r="AD362" s="122"/>
    </row>
    <row r="363" spans="1:30" ht="12.75" hidden="1" customHeight="1" x14ac:dyDescent="0.2">
      <c r="A363" s="121"/>
      <c r="D363" s="117"/>
      <c r="E363" s="117"/>
      <c r="I363" s="118"/>
      <c r="J363" s="13"/>
      <c r="K363" s="269"/>
      <c r="L363" s="57"/>
      <c r="M363" s="119"/>
      <c r="N363" s="57"/>
      <c r="O363" s="57"/>
      <c r="P363" s="57"/>
      <c r="Q363" s="57"/>
      <c r="R363" s="57"/>
      <c r="S363" s="119"/>
      <c r="T363" s="57"/>
      <c r="AD363" s="122"/>
    </row>
    <row r="364" spans="1:30" ht="12.75" hidden="1" customHeight="1" x14ac:dyDescent="0.2">
      <c r="A364" s="121"/>
      <c r="D364" s="117"/>
      <c r="E364" s="117"/>
      <c r="I364" s="118"/>
      <c r="J364" s="13"/>
      <c r="K364" s="269"/>
      <c r="L364" s="57"/>
      <c r="M364" s="119"/>
      <c r="N364" s="57"/>
      <c r="O364" s="57"/>
      <c r="P364" s="57"/>
      <c r="Q364" s="57"/>
      <c r="R364" s="57"/>
      <c r="S364" s="119"/>
      <c r="T364" s="57"/>
      <c r="AD364" s="122"/>
    </row>
    <row r="365" spans="1:30" ht="12.75" hidden="1" customHeight="1" x14ac:dyDescent="0.2">
      <c r="A365" s="121"/>
      <c r="D365" s="117"/>
      <c r="E365" s="117"/>
      <c r="I365" s="118"/>
      <c r="J365" s="13"/>
      <c r="K365" s="269"/>
      <c r="L365" s="57"/>
      <c r="M365" s="119"/>
      <c r="N365" s="57"/>
      <c r="O365" s="57"/>
      <c r="P365" s="57"/>
      <c r="Q365" s="57"/>
      <c r="R365" s="57"/>
      <c r="S365" s="119"/>
      <c r="T365" s="57"/>
      <c r="AD365" s="122"/>
    </row>
    <row r="366" spans="1:30" ht="12.75" hidden="1" customHeight="1" x14ac:dyDescent="0.2">
      <c r="A366" s="121"/>
      <c r="D366" s="117"/>
      <c r="E366" s="117"/>
      <c r="I366" s="118"/>
      <c r="J366" s="13"/>
      <c r="K366" s="269"/>
      <c r="L366" s="57"/>
      <c r="M366" s="119"/>
      <c r="N366" s="57"/>
      <c r="O366" s="57"/>
      <c r="P366" s="57"/>
      <c r="Q366" s="57"/>
      <c r="R366" s="57"/>
      <c r="S366" s="119"/>
      <c r="T366" s="57"/>
      <c r="AD366" s="122"/>
    </row>
    <row r="367" spans="1:30" ht="12.75" hidden="1" customHeight="1" x14ac:dyDescent="0.2">
      <c r="A367" s="121"/>
      <c r="D367" s="117"/>
      <c r="E367" s="117"/>
      <c r="I367" s="118"/>
      <c r="J367" s="13"/>
      <c r="K367" s="269"/>
      <c r="L367" s="57"/>
      <c r="M367" s="119"/>
      <c r="N367" s="57"/>
      <c r="O367" s="57"/>
      <c r="P367" s="57"/>
      <c r="Q367" s="57"/>
      <c r="R367" s="57"/>
      <c r="S367" s="119"/>
      <c r="T367" s="57"/>
      <c r="AD367" s="122"/>
    </row>
    <row r="368" spans="1:30" ht="12.75" hidden="1" customHeight="1" x14ac:dyDescent="0.2">
      <c r="A368" s="121"/>
      <c r="D368" s="117"/>
      <c r="E368" s="117"/>
      <c r="I368" s="118"/>
      <c r="J368" s="13"/>
      <c r="K368" s="269"/>
      <c r="L368" s="57"/>
      <c r="M368" s="119"/>
      <c r="N368" s="57"/>
      <c r="O368" s="57"/>
      <c r="P368" s="57"/>
      <c r="Q368" s="57"/>
      <c r="R368" s="57"/>
      <c r="S368" s="119"/>
      <c r="T368" s="57"/>
      <c r="AD368" s="122"/>
    </row>
    <row r="369" spans="1:30" ht="12.75" hidden="1" customHeight="1" x14ac:dyDescent="0.2">
      <c r="A369" s="121"/>
      <c r="D369" s="117"/>
      <c r="E369" s="117"/>
      <c r="I369" s="118"/>
      <c r="J369" s="13"/>
      <c r="K369" s="269"/>
      <c r="L369" s="57"/>
      <c r="M369" s="119"/>
      <c r="N369" s="57"/>
      <c r="O369" s="57"/>
      <c r="P369" s="57"/>
      <c r="Q369" s="57"/>
      <c r="R369" s="57"/>
      <c r="S369" s="119"/>
      <c r="T369" s="57"/>
      <c r="AD369" s="122"/>
    </row>
    <row r="370" spans="1:30" ht="12.75" hidden="1" customHeight="1" x14ac:dyDescent="0.2">
      <c r="A370" s="121"/>
      <c r="D370" s="117"/>
      <c r="E370" s="117"/>
      <c r="I370" s="118"/>
      <c r="J370" s="13"/>
      <c r="K370" s="269"/>
      <c r="L370" s="57"/>
      <c r="M370" s="119"/>
      <c r="N370" s="57"/>
      <c r="O370" s="57"/>
      <c r="P370" s="57"/>
      <c r="Q370" s="57"/>
      <c r="R370" s="57"/>
      <c r="S370" s="119"/>
      <c r="T370" s="57"/>
      <c r="AD370" s="122"/>
    </row>
    <row r="371" spans="1:30" ht="12.75" hidden="1" customHeight="1" x14ac:dyDescent="0.2">
      <c r="A371" s="121"/>
      <c r="D371" s="117"/>
      <c r="E371" s="117"/>
      <c r="I371" s="118"/>
      <c r="J371" s="13"/>
      <c r="K371" s="269"/>
      <c r="L371" s="57"/>
      <c r="M371" s="119"/>
      <c r="N371" s="57"/>
      <c r="O371" s="57"/>
      <c r="P371" s="57"/>
      <c r="Q371" s="57"/>
      <c r="R371" s="57"/>
      <c r="S371" s="119"/>
      <c r="T371" s="57"/>
      <c r="AD371" s="122"/>
    </row>
    <row r="372" spans="1:30" ht="12.75" hidden="1" customHeight="1" x14ac:dyDescent="0.2">
      <c r="A372" s="121"/>
      <c r="D372" s="117"/>
      <c r="E372" s="117"/>
      <c r="I372" s="118"/>
      <c r="J372" s="13"/>
      <c r="K372" s="269"/>
      <c r="L372" s="57"/>
      <c r="M372" s="119"/>
      <c r="N372" s="57"/>
      <c r="O372" s="57"/>
      <c r="P372" s="57"/>
      <c r="Q372" s="57"/>
      <c r="R372" s="57"/>
      <c r="S372" s="119"/>
      <c r="T372" s="57"/>
      <c r="AD372" s="122"/>
    </row>
    <row r="373" spans="1:30" ht="12.75" hidden="1" customHeight="1" x14ac:dyDescent="0.2">
      <c r="A373" s="121"/>
      <c r="D373" s="117"/>
      <c r="E373" s="117"/>
      <c r="I373" s="118"/>
      <c r="J373" s="13"/>
      <c r="K373" s="269"/>
      <c r="L373" s="57"/>
      <c r="M373" s="119"/>
      <c r="N373" s="57"/>
      <c r="O373" s="57"/>
      <c r="P373" s="57"/>
      <c r="Q373" s="57"/>
      <c r="R373" s="57"/>
      <c r="S373" s="119"/>
      <c r="T373" s="57"/>
      <c r="AD373" s="122"/>
    </row>
    <row r="374" spans="1:30" ht="12.75" hidden="1" customHeight="1" x14ac:dyDescent="0.2">
      <c r="A374" s="121"/>
      <c r="D374" s="117"/>
      <c r="E374" s="117"/>
      <c r="I374" s="118"/>
      <c r="J374" s="13"/>
      <c r="K374" s="269"/>
      <c r="L374" s="57"/>
      <c r="M374" s="119"/>
      <c r="N374" s="57"/>
      <c r="O374" s="57"/>
      <c r="P374" s="57"/>
      <c r="Q374" s="57"/>
      <c r="R374" s="57"/>
      <c r="S374" s="119"/>
      <c r="T374" s="57"/>
      <c r="AD374" s="122"/>
    </row>
    <row r="375" spans="1:30" ht="12.75" hidden="1" customHeight="1" x14ac:dyDescent="0.2">
      <c r="A375" s="121"/>
      <c r="D375" s="117"/>
      <c r="E375" s="117"/>
      <c r="I375" s="118"/>
      <c r="J375" s="13"/>
      <c r="K375" s="269"/>
      <c r="L375" s="57"/>
      <c r="M375" s="119"/>
      <c r="N375" s="57"/>
      <c r="O375" s="57"/>
      <c r="P375" s="57"/>
      <c r="Q375" s="57"/>
      <c r="R375" s="57"/>
      <c r="S375" s="119"/>
      <c r="T375" s="57"/>
      <c r="AD375" s="122"/>
    </row>
    <row r="376" spans="1:30" ht="12.75" hidden="1" customHeight="1" x14ac:dyDescent="0.2">
      <c r="A376" s="121"/>
      <c r="D376" s="117"/>
      <c r="E376" s="117"/>
      <c r="I376" s="118"/>
      <c r="J376" s="13"/>
      <c r="K376" s="269"/>
      <c r="L376" s="57"/>
      <c r="M376" s="119"/>
      <c r="N376" s="57"/>
      <c r="O376" s="57"/>
      <c r="P376" s="57"/>
      <c r="Q376" s="57"/>
      <c r="R376" s="57"/>
      <c r="S376" s="119"/>
      <c r="T376" s="57"/>
      <c r="AD376" s="122"/>
    </row>
    <row r="377" spans="1:30" ht="12.75" hidden="1" customHeight="1" x14ac:dyDescent="0.2">
      <c r="A377" s="121"/>
      <c r="D377" s="117"/>
      <c r="E377" s="117"/>
      <c r="I377" s="118"/>
      <c r="J377" s="13"/>
      <c r="K377" s="269"/>
      <c r="L377" s="57"/>
      <c r="M377" s="119"/>
      <c r="N377" s="57"/>
      <c r="O377" s="57"/>
      <c r="P377" s="57"/>
      <c r="Q377" s="57"/>
      <c r="R377" s="57"/>
      <c r="S377" s="119"/>
      <c r="T377" s="57"/>
      <c r="AD377" s="122"/>
    </row>
    <row r="378" spans="1:30" ht="12.75" hidden="1" customHeight="1" x14ac:dyDescent="0.2">
      <c r="A378" s="121"/>
      <c r="D378" s="117"/>
      <c r="E378" s="117"/>
      <c r="I378" s="118"/>
      <c r="J378" s="13"/>
      <c r="K378" s="269"/>
      <c r="L378" s="57"/>
      <c r="M378" s="119"/>
      <c r="N378" s="57"/>
      <c r="O378" s="57"/>
      <c r="P378" s="57"/>
      <c r="Q378" s="57"/>
      <c r="R378" s="57"/>
      <c r="S378" s="119"/>
      <c r="T378" s="57"/>
      <c r="AD378" s="122"/>
    </row>
    <row r="379" spans="1:30" ht="12.75" hidden="1" customHeight="1" x14ac:dyDescent="0.2">
      <c r="A379" s="121"/>
      <c r="D379" s="117"/>
      <c r="E379" s="117"/>
      <c r="I379" s="118"/>
      <c r="J379" s="13"/>
      <c r="K379" s="269"/>
      <c r="L379" s="57"/>
      <c r="M379" s="119"/>
      <c r="N379" s="57"/>
      <c r="O379" s="57"/>
      <c r="P379" s="57"/>
      <c r="Q379" s="57"/>
      <c r="R379" s="57"/>
      <c r="S379" s="119"/>
      <c r="T379" s="57"/>
      <c r="AD379" s="122"/>
    </row>
    <row r="380" spans="1:30" ht="12.75" hidden="1" customHeight="1" x14ac:dyDescent="0.2">
      <c r="A380" s="121"/>
      <c r="D380" s="117"/>
      <c r="E380" s="117"/>
      <c r="I380" s="118"/>
      <c r="J380" s="13"/>
      <c r="K380" s="269"/>
      <c r="L380" s="57"/>
      <c r="M380" s="119"/>
      <c r="N380" s="57"/>
      <c r="O380" s="57"/>
      <c r="P380" s="57"/>
      <c r="Q380" s="57"/>
      <c r="R380" s="57"/>
      <c r="S380" s="119"/>
      <c r="T380" s="57"/>
      <c r="AD380" s="122"/>
    </row>
    <row r="381" spans="1:30" ht="12.75" hidden="1" customHeight="1" x14ac:dyDescent="0.2">
      <c r="A381" s="121"/>
      <c r="D381" s="117"/>
      <c r="E381" s="117"/>
      <c r="I381" s="118"/>
      <c r="J381" s="13"/>
      <c r="K381" s="269"/>
      <c r="L381" s="57"/>
      <c r="M381" s="119"/>
      <c r="N381" s="57"/>
      <c r="O381" s="57"/>
      <c r="P381" s="57"/>
      <c r="Q381" s="57"/>
      <c r="R381" s="57"/>
      <c r="S381" s="119"/>
      <c r="T381" s="57"/>
      <c r="AD381" s="122"/>
    </row>
    <row r="382" spans="1:30" ht="12.75" hidden="1" customHeight="1" x14ac:dyDescent="0.2">
      <c r="A382" s="121"/>
      <c r="D382" s="117"/>
      <c r="E382" s="117"/>
      <c r="I382" s="118"/>
      <c r="J382" s="13"/>
      <c r="K382" s="269"/>
      <c r="L382" s="57"/>
      <c r="M382" s="119"/>
      <c r="N382" s="57"/>
      <c r="O382" s="57"/>
      <c r="P382" s="57"/>
      <c r="Q382" s="57"/>
      <c r="R382" s="57"/>
      <c r="S382" s="119"/>
      <c r="T382" s="57"/>
      <c r="AD382" s="122"/>
    </row>
    <row r="383" spans="1:30" ht="12.75" hidden="1" customHeight="1" x14ac:dyDescent="0.2">
      <c r="A383" s="121"/>
      <c r="D383" s="117"/>
      <c r="E383" s="117"/>
      <c r="I383" s="118"/>
      <c r="J383" s="13"/>
      <c r="K383" s="269"/>
      <c r="L383" s="57"/>
      <c r="M383" s="119"/>
      <c r="N383" s="57"/>
      <c r="O383" s="57"/>
      <c r="P383" s="57"/>
      <c r="Q383" s="57"/>
      <c r="R383" s="57"/>
      <c r="S383" s="119"/>
      <c r="T383" s="57"/>
      <c r="AD383" s="122"/>
    </row>
    <row r="384" spans="1:30" ht="12.75" hidden="1" customHeight="1" x14ac:dyDescent="0.2">
      <c r="A384" s="121"/>
      <c r="D384" s="117"/>
      <c r="E384" s="117"/>
      <c r="I384" s="118"/>
      <c r="J384" s="13"/>
      <c r="K384" s="269"/>
      <c r="L384" s="57"/>
      <c r="M384" s="119"/>
      <c r="N384" s="57"/>
      <c r="O384" s="57"/>
      <c r="P384" s="57"/>
      <c r="Q384" s="57"/>
      <c r="R384" s="57"/>
      <c r="S384" s="119"/>
      <c r="T384" s="57"/>
      <c r="AD384" s="122"/>
    </row>
    <row r="385" spans="1:30" ht="12.75" hidden="1" customHeight="1" x14ac:dyDescent="0.2">
      <c r="A385" s="121"/>
      <c r="D385" s="117"/>
      <c r="E385" s="117"/>
      <c r="I385" s="118"/>
      <c r="J385" s="13"/>
      <c r="K385" s="269"/>
      <c r="L385" s="57"/>
      <c r="M385" s="119"/>
      <c r="N385" s="57"/>
      <c r="O385" s="57"/>
      <c r="P385" s="57"/>
      <c r="Q385" s="57"/>
      <c r="R385" s="57"/>
      <c r="S385" s="119"/>
      <c r="T385" s="57"/>
      <c r="AD385" s="122"/>
    </row>
    <row r="386" spans="1:30" ht="12.75" hidden="1" customHeight="1" x14ac:dyDescent="0.2">
      <c r="A386" s="121"/>
      <c r="D386" s="117"/>
      <c r="E386" s="117"/>
      <c r="I386" s="118"/>
      <c r="J386" s="13"/>
      <c r="K386" s="269"/>
      <c r="L386" s="57"/>
      <c r="M386" s="119"/>
      <c r="N386" s="57"/>
      <c r="O386" s="57"/>
      <c r="P386" s="57"/>
      <c r="Q386" s="57"/>
      <c r="R386" s="57"/>
      <c r="S386" s="119"/>
      <c r="T386" s="57"/>
      <c r="AD386" s="122"/>
    </row>
    <row r="387" spans="1:30" ht="12.75" hidden="1" customHeight="1" x14ac:dyDescent="0.2">
      <c r="A387" s="121"/>
      <c r="D387" s="117"/>
      <c r="E387" s="117"/>
      <c r="I387" s="118"/>
      <c r="J387" s="13"/>
      <c r="K387" s="269"/>
      <c r="L387" s="57"/>
      <c r="M387" s="119"/>
      <c r="N387" s="57"/>
      <c r="O387" s="57"/>
      <c r="P387" s="57"/>
      <c r="Q387" s="57"/>
      <c r="R387" s="57"/>
      <c r="S387" s="119"/>
      <c r="T387" s="57"/>
      <c r="AD387" s="122"/>
    </row>
    <row r="388" spans="1:30" ht="12.75" hidden="1" customHeight="1" x14ac:dyDescent="0.2">
      <c r="A388" s="121"/>
      <c r="D388" s="117"/>
      <c r="E388" s="117"/>
      <c r="I388" s="118"/>
      <c r="J388" s="13"/>
      <c r="K388" s="269"/>
      <c r="L388" s="57"/>
      <c r="M388" s="119"/>
      <c r="N388" s="57"/>
      <c r="O388" s="57"/>
      <c r="P388" s="57"/>
      <c r="Q388" s="57"/>
      <c r="R388" s="57"/>
      <c r="S388" s="119"/>
      <c r="T388" s="57"/>
      <c r="AD388" s="122"/>
    </row>
    <row r="389" spans="1:30" ht="12.75" hidden="1" customHeight="1" x14ac:dyDescent="0.2">
      <c r="A389" s="121"/>
      <c r="D389" s="117"/>
      <c r="E389" s="117"/>
      <c r="I389" s="118"/>
      <c r="J389" s="13"/>
      <c r="K389" s="269"/>
      <c r="L389" s="57"/>
      <c r="M389" s="119"/>
      <c r="N389" s="57"/>
      <c r="O389" s="57"/>
      <c r="P389" s="57"/>
      <c r="Q389" s="57"/>
      <c r="R389" s="57"/>
      <c r="S389" s="119"/>
      <c r="T389" s="57"/>
      <c r="AD389" s="122"/>
    </row>
    <row r="390" spans="1:30" ht="12.75" hidden="1" customHeight="1" x14ac:dyDescent="0.2">
      <c r="A390" s="121"/>
      <c r="D390" s="117"/>
      <c r="E390" s="117"/>
      <c r="I390" s="118"/>
      <c r="J390" s="13"/>
      <c r="K390" s="269"/>
      <c r="L390" s="57"/>
      <c r="M390" s="119"/>
      <c r="N390" s="57"/>
      <c r="O390" s="57"/>
      <c r="P390" s="57"/>
      <c r="Q390" s="57"/>
      <c r="R390" s="57"/>
      <c r="S390" s="119"/>
      <c r="T390" s="57"/>
      <c r="AD390" s="122"/>
    </row>
    <row r="391" spans="1:30" ht="12.75" hidden="1" customHeight="1" x14ac:dyDescent="0.2">
      <c r="A391" s="121"/>
      <c r="D391" s="117"/>
      <c r="E391" s="117"/>
      <c r="I391" s="118"/>
      <c r="J391" s="13"/>
      <c r="K391" s="269"/>
      <c r="L391" s="57"/>
      <c r="M391" s="119"/>
      <c r="N391" s="57"/>
      <c r="O391" s="57"/>
      <c r="P391" s="57"/>
      <c r="Q391" s="57"/>
      <c r="R391" s="57"/>
      <c r="S391" s="119"/>
      <c r="T391" s="57"/>
      <c r="AD391" s="122"/>
    </row>
    <row r="392" spans="1:30" ht="12.75" hidden="1" customHeight="1" x14ac:dyDescent="0.2">
      <c r="A392" s="121"/>
      <c r="D392" s="117"/>
      <c r="E392" s="117"/>
      <c r="I392" s="118"/>
      <c r="J392" s="13"/>
      <c r="K392" s="269"/>
      <c r="L392" s="57"/>
      <c r="M392" s="119"/>
      <c r="N392" s="57"/>
      <c r="O392" s="57"/>
      <c r="P392" s="57"/>
      <c r="Q392" s="57"/>
      <c r="R392" s="57"/>
      <c r="S392" s="119"/>
      <c r="T392" s="57"/>
      <c r="AD392" s="122"/>
    </row>
    <row r="393" spans="1:30" ht="12.75" hidden="1" customHeight="1" x14ac:dyDescent="0.2">
      <c r="A393" s="121"/>
      <c r="D393" s="117"/>
      <c r="E393" s="117"/>
      <c r="I393" s="118"/>
      <c r="J393" s="13"/>
      <c r="K393" s="269"/>
      <c r="L393" s="57"/>
      <c r="M393" s="119"/>
      <c r="N393" s="57"/>
      <c r="O393" s="57"/>
      <c r="P393" s="57"/>
      <c r="Q393" s="57"/>
      <c r="R393" s="57"/>
      <c r="S393" s="119"/>
      <c r="T393" s="57"/>
      <c r="AD393" s="122"/>
    </row>
    <row r="394" spans="1:30" ht="12.75" hidden="1" customHeight="1" x14ac:dyDescent="0.2">
      <c r="A394" s="121"/>
      <c r="D394" s="117"/>
      <c r="E394" s="117"/>
      <c r="I394" s="118"/>
      <c r="J394" s="13"/>
      <c r="K394" s="269"/>
      <c r="L394" s="57"/>
      <c r="M394" s="119"/>
      <c r="N394" s="57"/>
      <c r="O394" s="57"/>
      <c r="P394" s="57"/>
      <c r="Q394" s="57"/>
      <c r="R394" s="57"/>
      <c r="S394" s="119"/>
      <c r="T394" s="57"/>
      <c r="AD394" s="122"/>
    </row>
    <row r="395" spans="1:30" ht="12.75" hidden="1" customHeight="1" x14ac:dyDescent="0.2">
      <c r="A395" s="121"/>
      <c r="D395" s="117"/>
      <c r="E395" s="117"/>
      <c r="I395" s="118"/>
      <c r="J395" s="13"/>
      <c r="K395" s="269"/>
      <c r="L395" s="57"/>
      <c r="M395" s="119"/>
      <c r="N395" s="57"/>
      <c r="O395" s="57"/>
      <c r="P395" s="57"/>
      <c r="Q395" s="57"/>
      <c r="R395" s="57"/>
      <c r="S395" s="119"/>
      <c r="T395" s="57"/>
      <c r="AD395" s="122"/>
    </row>
    <row r="396" spans="1:30" ht="12.75" hidden="1" customHeight="1" x14ac:dyDescent="0.2">
      <c r="A396" s="121"/>
      <c r="D396" s="117"/>
      <c r="E396" s="117"/>
      <c r="I396" s="118"/>
      <c r="J396" s="13"/>
      <c r="K396" s="269"/>
      <c r="L396" s="57"/>
      <c r="M396" s="119"/>
      <c r="N396" s="57"/>
      <c r="O396" s="57"/>
      <c r="P396" s="57"/>
      <c r="Q396" s="57"/>
      <c r="R396" s="57"/>
      <c r="S396" s="119"/>
      <c r="T396" s="57"/>
      <c r="AD396" s="122"/>
    </row>
    <row r="397" spans="1:30" ht="12.75" hidden="1" customHeight="1" x14ac:dyDescent="0.2">
      <c r="A397" s="121"/>
      <c r="D397" s="117"/>
      <c r="E397" s="117"/>
      <c r="I397" s="118"/>
      <c r="J397" s="13"/>
      <c r="K397" s="269"/>
      <c r="L397" s="57"/>
      <c r="M397" s="119"/>
      <c r="N397" s="57"/>
      <c r="O397" s="57"/>
      <c r="P397" s="57"/>
      <c r="Q397" s="57"/>
      <c r="R397" s="57"/>
      <c r="S397" s="119"/>
      <c r="T397" s="57"/>
      <c r="AD397" s="122"/>
    </row>
    <row r="398" spans="1:30" ht="12.75" hidden="1" customHeight="1" x14ac:dyDescent="0.2">
      <c r="A398" s="121"/>
      <c r="D398" s="117"/>
      <c r="E398" s="117"/>
      <c r="I398" s="118"/>
      <c r="J398" s="13"/>
      <c r="K398" s="269"/>
      <c r="L398" s="57"/>
      <c r="M398" s="119"/>
      <c r="N398" s="57"/>
      <c r="O398" s="57"/>
      <c r="P398" s="57"/>
      <c r="Q398" s="57"/>
      <c r="R398" s="57"/>
      <c r="S398" s="119"/>
      <c r="T398" s="57"/>
      <c r="AD398" s="122"/>
    </row>
    <row r="399" spans="1:30" ht="12.75" hidden="1" customHeight="1" x14ac:dyDescent="0.2">
      <c r="A399" s="121"/>
      <c r="D399" s="117"/>
      <c r="E399" s="117"/>
      <c r="I399" s="118"/>
      <c r="J399" s="13"/>
      <c r="K399" s="269"/>
      <c r="L399" s="57"/>
      <c r="M399" s="119"/>
      <c r="N399" s="57"/>
      <c r="O399" s="57"/>
      <c r="P399" s="57"/>
      <c r="Q399" s="57"/>
      <c r="R399" s="57"/>
      <c r="S399" s="119"/>
      <c r="T399" s="57"/>
      <c r="AD399" s="122"/>
    </row>
    <row r="400" spans="1:30" ht="12.75" hidden="1" customHeight="1" x14ac:dyDescent="0.2">
      <c r="A400" s="121"/>
      <c r="D400" s="117"/>
      <c r="E400" s="117"/>
      <c r="I400" s="118"/>
      <c r="J400" s="13"/>
      <c r="K400" s="269"/>
      <c r="L400" s="57"/>
      <c r="M400" s="119"/>
      <c r="N400" s="57"/>
      <c r="O400" s="57"/>
      <c r="P400" s="57"/>
      <c r="Q400" s="57"/>
      <c r="R400" s="57"/>
      <c r="S400" s="119"/>
      <c r="T400" s="57"/>
      <c r="AD400" s="122"/>
    </row>
    <row r="401" spans="1:30" ht="12.75" hidden="1" customHeight="1" x14ac:dyDescent="0.2">
      <c r="A401" s="121"/>
      <c r="D401" s="117"/>
      <c r="E401" s="117"/>
      <c r="I401" s="118"/>
      <c r="J401" s="13"/>
      <c r="K401" s="269"/>
      <c r="L401" s="57"/>
      <c r="M401" s="119"/>
      <c r="N401" s="57"/>
      <c r="O401" s="57"/>
      <c r="P401" s="57"/>
      <c r="Q401" s="57"/>
      <c r="R401" s="57"/>
      <c r="S401" s="119"/>
      <c r="T401" s="57"/>
      <c r="AD401" s="122"/>
    </row>
    <row r="402" spans="1:30" ht="12.75" hidden="1" customHeight="1" x14ac:dyDescent="0.2">
      <c r="A402" s="121"/>
      <c r="D402" s="117"/>
      <c r="E402" s="117"/>
      <c r="I402" s="118"/>
      <c r="J402" s="13"/>
      <c r="K402" s="269"/>
      <c r="L402" s="57"/>
      <c r="M402" s="119"/>
      <c r="N402" s="57"/>
      <c r="O402" s="57"/>
      <c r="P402" s="57"/>
      <c r="Q402" s="57"/>
      <c r="R402" s="57"/>
      <c r="S402" s="119"/>
      <c r="T402" s="57"/>
      <c r="AD402" s="122"/>
    </row>
    <row r="403" spans="1:30" ht="12.75" hidden="1" customHeight="1" x14ac:dyDescent="0.2">
      <c r="A403" s="121"/>
      <c r="D403" s="117"/>
      <c r="E403" s="117"/>
      <c r="I403" s="118"/>
      <c r="J403" s="13"/>
      <c r="K403" s="269"/>
      <c r="L403" s="57"/>
      <c r="M403" s="119"/>
      <c r="N403" s="57"/>
      <c r="O403" s="57"/>
      <c r="P403" s="57"/>
      <c r="Q403" s="57"/>
      <c r="R403" s="57"/>
      <c r="S403" s="119"/>
      <c r="T403" s="57"/>
      <c r="AD403" s="122"/>
    </row>
    <row r="404" spans="1:30" ht="12.75" hidden="1" customHeight="1" x14ac:dyDescent="0.2">
      <c r="A404" s="121"/>
      <c r="D404" s="117"/>
      <c r="E404" s="117"/>
      <c r="I404" s="118"/>
      <c r="J404" s="13"/>
      <c r="K404" s="269"/>
      <c r="L404" s="57"/>
      <c r="M404" s="119"/>
      <c r="N404" s="57"/>
      <c r="O404" s="57"/>
      <c r="P404" s="57"/>
      <c r="Q404" s="57"/>
      <c r="R404" s="57"/>
      <c r="S404" s="119"/>
      <c r="T404" s="57"/>
      <c r="AD404" s="122"/>
    </row>
    <row r="405" spans="1:30" ht="12.75" hidden="1" customHeight="1" x14ac:dyDescent="0.2">
      <c r="A405" s="121"/>
      <c r="D405" s="117"/>
      <c r="E405" s="117"/>
      <c r="I405" s="118"/>
      <c r="J405" s="13"/>
      <c r="K405" s="269"/>
      <c r="L405" s="57"/>
      <c r="M405" s="119"/>
      <c r="N405" s="57"/>
      <c r="O405" s="57"/>
      <c r="P405" s="57"/>
      <c r="Q405" s="57"/>
      <c r="R405" s="57"/>
      <c r="S405" s="119"/>
      <c r="T405" s="57"/>
      <c r="AD405" s="122"/>
    </row>
    <row r="406" spans="1:30" ht="12.75" hidden="1" customHeight="1" x14ac:dyDescent="0.2">
      <c r="A406" s="121"/>
      <c r="D406" s="117"/>
      <c r="E406" s="117"/>
      <c r="I406" s="118"/>
      <c r="J406" s="13"/>
      <c r="K406" s="269"/>
      <c r="L406" s="57"/>
      <c r="M406" s="119"/>
      <c r="N406" s="57"/>
      <c r="O406" s="57"/>
      <c r="P406" s="57"/>
      <c r="Q406" s="57"/>
      <c r="R406" s="57"/>
      <c r="S406" s="119"/>
      <c r="T406" s="57"/>
      <c r="AD406" s="122"/>
    </row>
    <row r="407" spans="1:30" ht="12.75" hidden="1" customHeight="1" x14ac:dyDescent="0.2">
      <c r="A407" s="121"/>
      <c r="D407" s="117"/>
      <c r="E407" s="117"/>
      <c r="I407" s="118"/>
      <c r="J407" s="13"/>
      <c r="K407" s="269"/>
      <c r="L407" s="57"/>
      <c r="M407" s="119"/>
      <c r="N407" s="57"/>
      <c r="O407" s="57"/>
      <c r="P407" s="57"/>
      <c r="Q407" s="57"/>
      <c r="R407" s="57"/>
      <c r="S407" s="119"/>
      <c r="T407" s="57"/>
      <c r="AD407" s="122"/>
    </row>
    <row r="408" spans="1:30" ht="12.75" hidden="1" customHeight="1" x14ac:dyDescent="0.2">
      <c r="A408" s="121"/>
      <c r="D408" s="117"/>
      <c r="E408" s="117"/>
      <c r="I408" s="118"/>
      <c r="J408" s="13"/>
      <c r="K408" s="269"/>
      <c r="L408" s="57"/>
      <c r="M408" s="119"/>
      <c r="N408" s="57"/>
      <c r="O408" s="57"/>
      <c r="P408" s="57"/>
      <c r="Q408" s="57"/>
      <c r="R408" s="57"/>
      <c r="S408" s="119"/>
      <c r="T408" s="57"/>
      <c r="AD408" s="122"/>
    </row>
    <row r="409" spans="1:30" ht="12.75" hidden="1" customHeight="1" x14ac:dyDescent="0.2">
      <c r="A409" s="121"/>
      <c r="D409" s="117"/>
      <c r="E409" s="117"/>
      <c r="I409" s="118"/>
      <c r="J409" s="13"/>
      <c r="K409" s="269"/>
      <c r="L409" s="57"/>
      <c r="M409" s="119"/>
      <c r="N409" s="57"/>
      <c r="O409" s="57"/>
      <c r="P409" s="57"/>
      <c r="Q409" s="57"/>
      <c r="R409" s="57"/>
      <c r="S409" s="119"/>
      <c r="T409" s="57"/>
      <c r="AD409" s="122"/>
    </row>
    <row r="410" spans="1:30" ht="12.75" hidden="1" customHeight="1" x14ac:dyDescent="0.2">
      <c r="A410" s="121"/>
      <c r="D410" s="117"/>
      <c r="E410" s="117"/>
      <c r="I410" s="118"/>
      <c r="J410" s="13"/>
      <c r="K410" s="269"/>
      <c r="L410" s="57"/>
      <c r="M410" s="119"/>
      <c r="N410" s="57"/>
      <c r="O410" s="57"/>
      <c r="P410" s="57"/>
      <c r="Q410" s="57"/>
      <c r="R410" s="57"/>
      <c r="S410" s="119"/>
      <c r="T410" s="57"/>
      <c r="AD410" s="122"/>
    </row>
    <row r="411" spans="1:30" ht="12.75" hidden="1" customHeight="1" x14ac:dyDescent="0.2">
      <c r="A411" s="121"/>
      <c r="D411" s="117"/>
      <c r="E411" s="117"/>
      <c r="I411" s="118"/>
      <c r="J411" s="13"/>
      <c r="K411" s="269"/>
      <c r="L411" s="57"/>
      <c r="M411" s="119"/>
      <c r="N411" s="57"/>
      <c r="O411" s="57"/>
      <c r="P411" s="57"/>
      <c r="Q411" s="57"/>
      <c r="R411" s="57"/>
      <c r="S411" s="119"/>
      <c r="T411" s="57"/>
      <c r="AD411" s="122"/>
    </row>
    <row r="412" spans="1:30" ht="12.75" hidden="1" customHeight="1" x14ac:dyDescent="0.2">
      <c r="A412" s="121"/>
      <c r="D412" s="117"/>
      <c r="E412" s="117"/>
      <c r="I412" s="118"/>
      <c r="J412" s="13"/>
      <c r="K412" s="269"/>
      <c r="L412" s="57"/>
      <c r="M412" s="119"/>
      <c r="N412" s="57"/>
      <c r="O412" s="57"/>
      <c r="P412" s="57"/>
      <c r="Q412" s="57"/>
      <c r="R412" s="57"/>
      <c r="S412" s="119"/>
      <c r="T412" s="57"/>
      <c r="AD412" s="122"/>
    </row>
    <row r="413" spans="1:30" ht="12.75" hidden="1" customHeight="1" x14ac:dyDescent="0.2">
      <c r="A413" s="121"/>
      <c r="D413" s="117"/>
      <c r="E413" s="117"/>
      <c r="I413" s="118"/>
      <c r="J413" s="13"/>
      <c r="K413" s="269"/>
      <c r="L413" s="57"/>
      <c r="M413" s="119"/>
      <c r="N413" s="57"/>
      <c r="O413" s="57"/>
      <c r="P413" s="57"/>
      <c r="Q413" s="57"/>
      <c r="R413" s="57"/>
      <c r="S413" s="119"/>
      <c r="T413" s="57"/>
      <c r="AD413" s="122"/>
    </row>
    <row r="414" spans="1:30" ht="12.75" hidden="1" customHeight="1" x14ac:dyDescent="0.2">
      <c r="A414" s="121"/>
      <c r="D414" s="117"/>
      <c r="E414" s="117"/>
      <c r="I414" s="118"/>
      <c r="J414" s="13"/>
      <c r="K414" s="269"/>
      <c r="L414" s="57"/>
      <c r="M414" s="119"/>
      <c r="N414" s="57"/>
      <c r="O414" s="57"/>
      <c r="P414" s="57"/>
      <c r="Q414" s="57"/>
      <c r="R414" s="57"/>
      <c r="S414" s="119"/>
      <c r="T414" s="57"/>
      <c r="AD414" s="122"/>
    </row>
    <row r="415" spans="1:30" ht="12.75" hidden="1" customHeight="1" x14ac:dyDescent="0.2">
      <c r="A415" s="121"/>
      <c r="D415" s="117"/>
      <c r="E415" s="117"/>
      <c r="I415" s="118"/>
      <c r="J415" s="13"/>
      <c r="K415" s="269"/>
      <c r="L415" s="57"/>
      <c r="M415" s="119"/>
      <c r="N415" s="57"/>
      <c r="O415" s="57"/>
      <c r="P415" s="57"/>
      <c r="Q415" s="57"/>
      <c r="R415" s="57"/>
      <c r="S415" s="119"/>
      <c r="T415" s="57"/>
      <c r="AD415" s="122"/>
    </row>
    <row r="416" spans="1:30" ht="12.75" hidden="1" customHeight="1" x14ac:dyDescent="0.2">
      <c r="A416" s="121"/>
      <c r="D416" s="117"/>
      <c r="E416" s="117"/>
      <c r="I416" s="118"/>
      <c r="J416" s="13"/>
      <c r="K416" s="269"/>
      <c r="L416" s="57"/>
      <c r="M416" s="119"/>
      <c r="N416" s="57"/>
      <c r="O416" s="57"/>
      <c r="P416" s="57"/>
      <c r="Q416" s="57"/>
      <c r="R416" s="57"/>
      <c r="S416" s="119"/>
      <c r="T416" s="57"/>
      <c r="AD416" s="122"/>
    </row>
    <row r="417" spans="1:30" ht="12.75" hidden="1" customHeight="1" x14ac:dyDescent="0.2">
      <c r="A417" s="121"/>
      <c r="D417" s="117"/>
      <c r="E417" s="117"/>
      <c r="I417" s="118"/>
      <c r="J417" s="13"/>
      <c r="K417" s="269"/>
      <c r="L417" s="57"/>
      <c r="M417" s="119"/>
      <c r="N417" s="57"/>
      <c r="O417" s="57"/>
      <c r="P417" s="57"/>
      <c r="Q417" s="57"/>
      <c r="R417" s="57"/>
      <c r="S417" s="119"/>
      <c r="T417" s="57"/>
      <c r="AD417" s="122"/>
    </row>
    <row r="418" spans="1:30" ht="12.75" hidden="1" customHeight="1" x14ac:dyDescent="0.2">
      <c r="A418" s="121"/>
      <c r="D418" s="117"/>
      <c r="E418" s="117"/>
      <c r="I418" s="118"/>
      <c r="J418" s="13"/>
      <c r="K418" s="269"/>
      <c r="L418" s="57"/>
      <c r="M418" s="119"/>
      <c r="N418" s="57"/>
      <c r="O418" s="57"/>
      <c r="P418" s="57"/>
      <c r="Q418" s="57"/>
      <c r="R418" s="57"/>
      <c r="S418" s="119"/>
      <c r="T418" s="57"/>
      <c r="AD418" s="122"/>
    </row>
    <row r="419" spans="1:30" ht="12.75" hidden="1" customHeight="1" x14ac:dyDescent="0.2">
      <c r="A419" s="121"/>
      <c r="D419" s="117"/>
      <c r="E419" s="117"/>
      <c r="I419" s="118"/>
      <c r="J419" s="13"/>
      <c r="K419" s="269"/>
      <c r="L419" s="57"/>
      <c r="M419" s="119"/>
      <c r="N419" s="57"/>
      <c r="O419" s="57"/>
      <c r="P419" s="57"/>
      <c r="Q419" s="57"/>
      <c r="R419" s="57"/>
      <c r="S419" s="119"/>
      <c r="T419" s="57"/>
      <c r="AD419" s="122"/>
    </row>
    <row r="420" spans="1:30" ht="12.75" hidden="1" customHeight="1" x14ac:dyDescent="0.2">
      <c r="A420" s="121"/>
      <c r="D420" s="117"/>
      <c r="E420" s="117"/>
      <c r="I420" s="118"/>
      <c r="J420" s="13"/>
      <c r="K420" s="269"/>
      <c r="L420" s="57"/>
      <c r="M420" s="119"/>
      <c r="N420" s="57"/>
      <c r="O420" s="57"/>
      <c r="P420" s="57"/>
      <c r="Q420" s="57"/>
      <c r="R420" s="57"/>
      <c r="S420" s="119"/>
      <c r="T420" s="57"/>
      <c r="AD420" s="122"/>
    </row>
    <row r="421" spans="1:30" ht="12.75" hidden="1" customHeight="1" x14ac:dyDescent="0.2">
      <c r="A421" s="121"/>
      <c r="D421" s="117"/>
      <c r="E421" s="117"/>
      <c r="I421" s="118"/>
      <c r="J421" s="13"/>
      <c r="K421" s="269"/>
      <c r="L421" s="57"/>
      <c r="M421" s="119"/>
      <c r="N421" s="57"/>
      <c r="O421" s="57"/>
      <c r="P421" s="57"/>
      <c r="Q421" s="57"/>
      <c r="R421" s="57"/>
      <c r="S421" s="119"/>
      <c r="T421" s="57"/>
      <c r="AD421" s="122"/>
    </row>
    <row r="422" spans="1:30" ht="12.75" hidden="1" customHeight="1" x14ac:dyDescent="0.2">
      <c r="A422" s="121"/>
      <c r="D422" s="117"/>
      <c r="E422" s="117"/>
      <c r="I422" s="118"/>
      <c r="J422" s="13"/>
      <c r="K422" s="269"/>
      <c r="L422" s="57"/>
      <c r="M422" s="119"/>
      <c r="N422" s="57"/>
      <c r="O422" s="57"/>
      <c r="P422" s="57"/>
      <c r="Q422" s="57"/>
      <c r="R422" s="57"/>
      <c r="S422" s="119"/>
      <c r="T422" s="57"/>
      <c r="AD422" s="122"/>
    </row>
    <row r="423" spans="1:30" ht="12.75" hidden="1" customHeight="1" x14ac:dyDescent="0.2">
      <c r="A423" s="121"/>
      <c r="D423" s="117"/>
      <c r="E423" s="117"/>
      <c r="I423" s="118"/>
      <c r="J423" s="13"/>
      <c r="K423" s="269"/>
      <c r="L423" s="57"/>
      <c r="M423" s="119"/>
      <c r="N423" s="57"/>
      <c r="O423" s="57"/>
      <c r="P423" s="57"/>
      <c r="Q423" s="57"/>
      <c r="R423" s="57"/>
      <c r="S423" s="119"/>
      <c r="T423" s="57"/>
      <c r="AD423" s="122"/>
    </row>
    <row r="424" spans="1:30" ht="12.75" hidden="1" customHeight="1" x14ac:dyDescent="0.2">
      <c r="A424" s="121"/>
      <c r="D424" s="117"/>
      <c r="E424" s="117"/>
      <c r="I424" s="118"/>
      <c r="J424" s="13"/>
      <c r="K424" s="269"/>
      <c r="L424" s="57"/>
      <c r="M424" s="119"/>
      <c r="N424" s="57"/>
      <c r="O424" s="57"/>
      <c r="P424" s="57"/>
      <c r="Q424" s="57"/>
      <c r="R424" s="57"/>
      <c r="S424" s="119"/>
      <c r="T424" s="57"/>
      <c r="AD424" s="122"/>
    </row>
    <row r="425" spans="1:30" ht="12.75" hidden="1" customHeight="1" x14ac:dyDescent="0.2">
      <c r="A425" s="121"/>
      <c r="D425" s="117"/>
      <c r="E425" s="117"/>
      <c r="I425" s="118"/>
      <c r="J425" s="13"/>
      <c r="K425" s="269"/>
      <c r="L425" s="57"/>
      <c r="M425" s="119"/>
      <c r="N425" s="57"/>
      <c r="O425" s="57"/>
      <c r="P425" s="57"/>
      <c r="Q425" s="57"/>
      <c r="R425" s="57"/>
      <c r="S425" s="119"/>
      <c r="T425" s="57"/>
      <c r="AD425" s="122"/>
    </row>
    <row r="426" spans="1:30" ht="12.75" hidden="1" customHeight="1" x14ac:dyDescent="0.2">
      <c r="A426" s="121"/>
      <c r="D426" s="117"/>
      <c r="E426" s="117"/>
      <c r="I426" s="118"/>
      <c r="J426" s="13"/>
      <c r="K426" s="269"/>
      <c r="L426" s="57"/>
      <c r="M426" s="119"/>
      <c r="N426" s="57"/>
      <c r="O426" s="57"/>
      <c r="P426" s="57"/>
      <c r="Q426" s="57"/>
      <c r="R426" s="57"/>
      <c r="S426" s="119"/>
      <c r="T426" s="57"/>
      <c r="AD426" s="122"/>
    </row>
    <row r="427" spans="1:30" ht="12.75" hidden="1" customHeight="1" x14ac:dyDescent="0.2">
      <c r="A427" s="121"/>
      <c r="D427" s="117"/>
      <c r="E427" s="117"/>
      <c r="I427" s="118"/>
      <c r="J427" s="13"/>
      <c r="K427" s="269"/>
      <c r="L427" s="57"/>
      <c r="M427" s="119"/>
      <c r="N427" s="57"/>
      <c r="O427" s="57"/>
      <c r="P427" s="57"/>
      <c r="Q427" s="57"/>
      <c r="R427" s="57"/>
      <c r="S427" s="119"/>
      <c r="T427" s="57"/>
      <c r="AD427" s="122"/>
    </row>
    <row r="428" spans="1:30" ht="12.75" hidden="1" customHeight="1" x14ac:dyDescent="0.2">
      <c r="A428" s="121"/>
      <c r="D428" s="117"/>
      <c r="E428" s="117"/>
      <c r="I428" s="118"/>
      <c r="J428" s="13"/>
      <c r="K428" s="269"/>
      <c r="L428" s="57"/>
      <c r="M428" s="119"/>
      <c r="N428" s="57"/>
      <c r="O428" s="57"/>
      <c r="P428" s="57"/>
      <c r="Q428" s="57"/>
      <c r="R428" s="57"/>
      <c r="S428" s="119"/>
      <c r="T428" s="57"/>
      <c r="AD428" s="122"/>
    </row>
    <row r="429" spans="1:30" ht="12.75" hidden="1" customHeight="1" x14ac:dyDescent="0.2">
      <c r="A429" s="121"/>
      <c r="D429" s="117"/>
      <c r="E429" s="117"/>
      <c r="I429" s="118"/>
      <c r="J429" s="13"/>
      <c r="K429" s="269"/>
      <c r="L429" s="57"/>
      <c r="M429" s="119"/>
      <c r="N429" s="57"/>
      <c r="O429" s="57"/>
      <c r="P429" s="57"/>
      <c r="Q429" s="57"/>
      <c r="R429" s="57"/>
      <c r="S429" s="119"/>
      <c r="T429" s="57"/>
      <c r="AD429" s="122"/>
    </row>
    <row r="430" spans="1:30" ht="12.75" hidden="1" customHeight="1" x14ac:dyDescent="0.2">
      <c r="A430" s="121"/>
      <c r="D430" s="117"/>
      <c r="E430" s="117"/>
      <c r="I430" s="118"/>
      <c r="J430" s="13"/>
      <c r="K430" s="269"/>
      <c r="L430" s="57"/>
      <c r="M430" s="119"/>
      <c r="N430" s="57"/>
      <c r="O430" s="57"/>
      <c r="P430" s="57"/>
      <c r="Q430" s="57"/>
      <c r="R430" s="57"/>
      <c r="S430" s="119"/>
      <c r="T430" s="57"/>
      <c r="AD430" s="122"/>
    </row>
    <row r="431" spans="1:30" ht="12.75" hidden="1" customHeight="1" x14ac:dyDescent="0.2">
      <c r="A431" s="121"/>
      <c r="D431" s="117"/>
      <c r="E431" s="117"/>
      <c r="I431" s="118"/>
      <c r="J431" s="13"/>
      <c r="K431" s="269"/>
      <c r="L431" s="57"/>
      <c r="M431" s="119"/>
      <c r="N431" s="57"/>
      <c r="O431" s="57"/>
      <c r="P431" s="57"/>
      <c r="Q431" s="57"/>
      <c r="R431" s="57"/>
      <c r="S431" s="119"/>
      <c r="T431" s="57"/>
      <c r="AD431" s="122"/>
    </row>
    <row r="432" spans="1:30" ht="12.75" hidden="1" customHeight="1" x14ac:dyDescent="0.2">
      <c r="A432" s="121"/>
      <c r="D432" s="117"/>
      <c r="E432" s="117"/>
      <c r="I432" s="118"/>
      <c r="J432" s="13"/>
      <c r="K432" s="269"/>
      <c r="L432" s="57"/>
      <c r="M432" s="119"/>
      <c r="N432" s="57"/>
      <c r="O432" s="57"/>
      <c r="P432" s="57"/>
      <c r="Q432" s="57"/>
      <c r="R432" s="57"/>
      <c r="S432" s="119"/>
      <c r="T432" s="57"/>
      <c r="AD432" s="122"/>
    </row>
    <row r="433" spans="1:30" ht="12.75" hidden="1" customHeight="1" x14ac:dyDescent="0.2">
      <c r="A433" s="121"/>
      <c r="D433" s="117"/>
      <c r="E433" s="117"/>
      <c r="I433" s="118"/>
      <c r="J433" s="13"/>
      <c r="K433" s="269"/>
      <c r="L433" s="57"/>
      <c r="M433" s="119"/>
      <c r="N433" s="57"/>
      <c r="O433" s="57"/>
      <c r="P433" s="57"/>
      <c r="Q433" s="57"/>
      <c r="R433" s="57"/>
      <c r="S433" s="119"/>
      <c r="T433" s="57"/>
      <c r="AD433" s="122"/>
    </row>
    <row r="434" spans="1:30" ht="12.75" hidden="1" customHeight="1" x14ac:dyDescent="0.2">
      <c r="A434" s="121"/>
      <c r="D434" s="117"/>
      <c r="E434" s="117"/>
      <c r="I434" s="118"/>
      <c r="J434" s="13"/>
      <c r="K434" s="269"/>
      <c r="L434" s="57"/>
      <c r="M434" s="119"/>
      <c r="N434" s="57"/>
      <c r="O434" s="57"/>
      <c r="P434" s="57"/>
      <c r="Q434" s="57"/>
      <c r="R434" s="57"/>
      <c r="S434" s="119"/>
      <c r="T434" s="57"/>
      <c r="AD434" s="122"/>
    </row>
    <row r="435" spans="1:30" ht="12.75" hidden="1" customHeight="1" x14ac:dyDescent="0.2">
      <c r="A435" s="121"/>
      <c r="D435" s="117"/>
      <c r="E435" s="117"/>
      <c r="I435" s="118"/>
      <c r="J435" s="13"/>
      <c r="K435" s="269"/>
      <c r="L435" s="57"/>
      <c r="M435" s="119"/>
      <c r="N435" s="57"/>
      <c r="O435" s="57"/>
      <c r="P435" s="57"/>
      <c r="Q435" s="57"/>
      <c r="R435" s="57"/>
      <c r="S435" s="119"/>
      <c r="T435" s="57"/>
      <c r="AD435" s="122"/>
    </row>
    <row r="436" spans="1:30" ht="12.75" hidden="1" customHeight="1" x14ac:dyDescent="0.2">
      <c r="A436" s="121"/>
      <c r="D436" s="117"/>
      <c r="E436" s="117"/>
      <c r="I436" s="118"/>
      <c r="J436" s="13"/>
      <c r="K436" s="269"/>
      <c r="L436" s="57"/>
      <c r="M436" s="119"/>
      <c r="N436" s="57"/>
      <c r="O436" s="57"/>
      <c r="P436" s="57"/>
      <c r="Q436" s="57"/>
      <c r="R436" s="57"/>
      <c r="S436" s="119"/>
      <c r="T436" s="57"/>
      <c r="AD436" s="122"/>
    </row>
    <row r="437" spans="1:30" ht="12.75" hidden="1" customHeight="1" x14ac:dyDescent="0.2">
      <c r="A437" s="121"/>
      <c r="D437" s="117"/>
      <c r="E437" s="117"/>
      <c r="I437" s="118"/>
      <c r="J437" s="13"/>
      <c r="K437" s="269"/>
      <c r="L437" s="57"/>
      <c r="M437" s="119"/>
      <c r="N437" s="57"/>
      <c r="O437" s="57"/>
      <c r="P437" s="57"/>
      <c r="Q437" s="57"/>
      <c r="R437" s="57"/>
      <c r="S437" s="119"/>
      <c r="T437" s="57"/>
      <c r="AD437" s="122"/>
    </row>
    <row r="438" spans="1:30" ht="12.75" hidden="1" customHeight="1" x14ac:dyDescent="0.2">
      <c r="A438" s="121"/>
      <c r="D438" s="117"/>
      <c r="E438" s="117"/>
      <c r="I438" s="118"/>
      <c r="J438" s="13"/>
      <c r="K438" s="269"/>
      <c r="L438" s="57"/>
      <c r="M438" s="119"/>
      <c r="N438" s="57"/>
      <c r="O438" s="57"/>
      <c r="P438" s="57"/>
      <c r="Q438" s="57"/>
      <c r="R438" s="57"/>
      <c r="S438" s="119"/>
      <c r="T438" s="57"/>
      <c r="AD438" s="122"/>
    </row>
    <row r="439" spans="1:30" ht="12.75" hidden="1" customHeight="1" x14ac:dyDescent="0.2">
      <c r="A439" s="121"/>
      <c r="D439" s="117"/>
      <c r="E439" s="117"/>
      <c r="I439" s="118"/>
      <c r="J439" s="13"/>
      <c r="K439" s="269"/>
      <c r="L439" s="57"/>
      <c r="M439" s="119"/>
      <c r="N439" s="57"/>
      <c r="O439" s="57"/>
      <c r="P439" s="57"/>
      <c r="Q439" s="57"/>
      <c r="R439" s="57"/>
      <c r="S439" s="119"/>
      <c r="T439" s="57"/>
      <c r="AD439" s="122"/>
    </row>
    <row r="440" spans="1:30" ht="12.75" hidden="1" customHeight="1" x14ac:dyDescent="0.2">
      <c r="A440" s="121"/>
      <c r="D440" s="117"/>
      <c r="E440" s="117"/>
      <c r="I440" s="118"/>
      <c r="J440" s="13"/>
      <c r="K440" s="269"/>
      <c r="L440" s="57"/>
      <c r="M440" s="119"/>
      <c r="N440" s="57"/>
      <c r="O440" s="57"/>
      <c r="P440" s="57"/>
      <c r="Q440" s="57"/>
      <c r="R440" s="57"/>
      <c r="S440" s="119"/>
      <c r="T440" s="57"/>
      <c r="AD440" s="122"/>
    </row>
    <row r="441" spans="1:30" ht="12.75" hidden="1" customHeight="1" x14ac:dyDescent="0.2">
      <c r="A441" s="121"/>
      <c r="D441" s="117"/>
      <c r="E441" s="117"/>
      <c r="I441" s="118"/>
      <c r="J441" s="13"/>
      <c r="K441" s="269"/>
      <c r="L441" s="57"/>
      <c r="M441" s="119"/>
      <c r="N441" s="57"/>
      <c r="O441" s="57"/>
      <c r="P441" s="57"/>
      <c r="Q441" s="57"/>
      <c r="R441" s="57"/>
      <c r="S441" s="119"/>
      <c r="T441" s="57"/>
      <c r="AD441" s="122"/>
    </row>
    <row r="442" spans="1:30" ht="12.75" hidden="1" customHeight="1" x14ac:dyDescent="0.2">
      <c r="A442" s="121"/>
      <c r="D442" s="117"/>
      <c r="E442" s="117"/>
      <c r="I442" s="118"/>
      <c r="J442" s="13"/>
      <c r="K442" s="269"/>
      <c r="L442" s="57"/>
      <c r="M442" s="119"/>
      <c r="N442" s="57"/>
      <c r="O442" s="57"/>
      <c r="P442" s="57"/>
      <c r="Q442" s="57"/>
      <c r="R442" s="57"/>
      <c r="S442" s="119"/>
      <c r="T442" s="57"/>
      <c r="AD442" s="122"/>
    </row>
    <row r="443" spans="1:30" ht="12.75" hidden="1" customHeight="1" x14ac:dyDescent="0.2">
      <c r="A443" s="121"/>
      <c r="D443" s="117"/>
      <c r="E443" s="117"/>
      <c r="I443" s="118"/>
      <c r="J443" s="13"/>
      <c r="K443" s="269"/>
      <c r="L443" s="57"/>
      <c r="M443" s="119"/>
      <c r="N443" s="57"/>
      <c r="O443" s="57"/>
      <c r="P443" s="57"/>
      <c r="Q443" s="57"/>
      <c r="R443" s="57"/>
      <c r="S443" s="119"/>
      <c r="T443" s="57"/>
      <c r="AD443" s="122"/>
    </row>
    <row r="444" spans="1:30" ht="12.75" hidden="1" customHeight="1" x14ac:dyDescent="0.2">
      <c r="A444" s="121"/>
      <c r="D444" s="117"/>
      <c r="E444" s="117"/>
      <c r="I444" s="118"/>
      <c r="J444" s="13"/>
      <c r="K444" s="269"/>
      <c r="L444" s="57"/>
      <c r="M444" s="119"/>
      <c r="N444" s="57"/>
      <c r="O444" s="57"/>
      <c r="P444" s="57"/>
      <c r="Q444" s="57"/>
      <c r="R444" s="57"/>
      <c r="S444" s="119"/>
      <c r="T444" s="57"/>
      <c r="AD444" s="122"/>
    </row>
    <row r="445" spans="1:30" ht="12.75" hidden="1" customHeight="1" x14ac:dyDescent="0.2">
      <c r="A445" s="121"/>
      <c r="D445" s="117"/>
      <c r="E445" s="117"/>
      <c r="I445" s="118"/>
      <c r="J445" s="13"/>
      <c r="K445" s="269"/>
      <c r="L445" s="57"/>
      <c r="M445" s="119"/>
      <c r="N445" s="57"/>
      <c r="O445" s="57"/>
      <c r="P445" s="57"/>
      <c r="Q445" s="57"/>
      <c r="R445" s="57"/>
      <c r="S445" s="119"/>
      <c r="T445" s="57"/>
      <c r="AD445" s="122"/>
    </row>
    <row r="446" spans="1:30" ht="12.75" hidden="1" customHeight="1" x14ac:dyDescent="0.2">
      <c r="A446" s="121"/>
      <c r="D446" s="117"/>
      <c r="E446" s="117"/>
      <c r="I446" s="118"/>
      <c r="J446" s="13"/>
      <c r="K446" s="269"/>
      <c r="L446" s="57"/>
      <c r="M446" s="119"/>
      <c r="N446" s="57"/>
      <c r="O446" s="57"/>
      <c r="P446" s="57"/>
      <c r="Q446" s="57"/>
      <c r="R446" s="57"/>
      <c r="S446" s="119"/>
      <c r="T446" s="57"/>
      <c r="AD446" s="122"/>
    </row>
    <row r="447" spans="1:30" ht="12.75" hidden="1" customHeight="1" x14ac:dyDescent="0.2">
      <c r="A447" s="121"/>
      <c r="D447" s="117"/>
      <c r="E447" s="117"/>
      <c r="I447" s="118"/>
      <c r="J447" s="13"/>
      <c r="K447" s="269"/>
      <c r="L447" s="57"/>
      <c r="M447" s="119"/>
      <c r="N447" s="57"/>
      <c r="O447" s="57"/>
      <c r="P447" s="57"/>
      <c r="Q447" s="57"/>
      <c r="R447" s="57"/>
      <c r="S447" s="119"/>
      <c r="T447" s="57"/>
      <c r="AD447" s="122"/>
    </row>
    <row r="448" spans="1:30" ht="12.75" hidden="1" customHeight="1" x14ac:dyDescent="0.2">
      <c r="A448" s="121"/>
      <c r="D448" s="117"/>
      <c r="E448" s="117"/>
      <c r="I448" s="118"/>
      <c r="J448" s="13"/>
      <c r="K448" s="269"/>
      <c r="L448" s="57"/>
      <c r="M448" s="119"/>
      <c r="N448" s="57"/>
      <c r="O448" s="57"/>
      <c r="P448" s="57"/>
      <c r="Q448" s="57"/>
      <c r="R448" s="57"/>
      <c r="S448" s="119"/>
      <c r="T448" s="57"/>
      <c r="AD448" s="122"/>
    </row>
    <row r="449" spans="1:30" ht="12.75" hidden="1" customHeight="1" x14ac:dyDescent="0.2">
      <c r="A449" s="121"/>
      <c r="D449" s="117"/>
      <c r="E449" s="117"/>
      <c r="I449" s="118"/>
      <c r="J449" s="13"/>
      <c r="K449" s="269"/>
      <c r="L449" s="57"/>
      <c r="M449" s="119"/>
      <c r="N449" s="57"/>
      <c r="O449" s="57"/>
      <c r="P449" s="57"/>
      <c r="Q449" s="57"/>
      <c r="R449" s="57"/>
      <c r="S449" s="119"/>
      <c r="T449" s="57"/>
      <c r="AD449" s="122"/>
    </row>
    <row r="450" spans="1:30" ht="12.75" hidden="1" customHeight="1" x14ac:dyDescent="0.2">
      <c r="A450" s="121"/>
      <c r="D450" s="117"/>
      <c r="E450" s="117"/>
      <c r="I450" s="118"/>
      <c r="J450" s="13"/>
      <c r="K450" s="269"/>
      <c r="L450" s="57"/>
      <c r="M450" s="119"/>
      <c r="N450" s="57"/>
      <c r="O450" s="57"/>
      <c r="P450" s="57"/>
      <c r="Q450" s="57"/>
      <c r="R450" s="57"/>
      <c r="S450" s="119"/>
      <c r="T450" s="57"/>
      <c r="AD450" s="122"/>
    </row>
    <row r="451" spans="1:30" ht="12.75" hidden="1" customHeight="1" x14ac:dyDescent="0.2">
      <c r="A451" s="121"/>
      <c r="D451" s="117"/>
      <c r="E451" s="117"/>
      <c r="I451" s="118"/>
      <c r="J451" s="13"/>
      <c r="K451" s="269"/>
      <c r="L451" s="57"/>
      <c r="M451" s="119"/>
      <c r="N451" s="57"/>
      <c r="O451" s="57"/>
      <c r="P451" s="57"/>
      <c r="Q451" s="57"/>
      <c r="R451" s="57"/>
      <c r="S451" s="119"/>
      <c r="T451" s="57"/>
      <c r="AD451" s="122"/>
    </row>
    <row r="452" spans="1:30" ht="12.75" hidden="1" customHeight="1" x14ac:dyDescent="0.2">
      <c r="A452" s="121"/>
      <c r="D452" s="117"/>
      <c r="E452" s="117"/>
      <c r="I452" s="118"/>
      <c r="J452" s="13"/>
      <c r="K452" s="269"/>
      <c r="L452" s="57"/>
      <c r="M452" s="119"/>
      <c r="N452" s="57"/>
      <c r="O452" s="57"/>
      <c r="P452" s="57"/>
      <c r="Q452" s="57"/>
      <c r="R452" s="57"/>
      <c r="S452" s="119"/>
      <c r="T452" s="57"/>
      <c r="AD452" s="122"/>
    </row>
    <row r="453" spans="1:30" ht="12.75" hidden="1" customHeight="1" x14ac:dyDescent="0.2">
      <c r="A453" s="121"/>
      <c r="D453" s="117"/>
      <c r="E453" s="117"/>
      <c r="I453" s="118"/>
      <c r="J453" s="13"/>
      <c r="K453" s="269"/>
      <c r="L453" s="57"/>
      <c r="M453" s="119"/>
      <c r="N453" s="57"/>
      <c r="O453" s="57"/>
      <c r="P453" s="57"/>
      <c r="Q453" s="57"/>
      <c r="R453" s="57"/>
      <c r="S453" s="119"/>
      <c r="T453" s="57"/>
      <c r="AD453" s="122"/>
    </row>
    <row r="454" spans="1:30" ht="12.75" hidden="1" customHeight="1" x14ac:dyDescent="0.2">
      <c r="A454" s="121"/>
      <c r="D454" s="117"/>
      <c r="E454" s="117"/>
      <c r="I454" s="118"/>
      <c r="J454" s="13"/>
      <c r="K454" s="269"/>
      <c r="L454" s="57"/>
      <c r="M454" s="119"/>
      <c r="N454" s="57"/>
      <c r="O454" s="57"/>
      <c r="P454" s="57"/>
      <c r="Q454" s="57"/>
      <c r="R454" s="57"/>
      <c r="S454" s="119"/>
      <c r="T454" s="57"/>
      <c r="AD454" s="122"/>
    </row>
    <row r="455" spans="1:30" ht="12.75" hidden="1" customHeight="1" x14ac:dyDescent="0.2">
      <c r="A455" s="121"/>
      <c r="D455" s="117"/>
      <c r="E455" s="117"/>
      <c r="I455" s="118"/>
      <c r="J455" s="13"/>
      <c r="K455" s="269"/>
      <c r="L455" s="57"/>
      <c r="M455" s="119"/>
      <c r="N455" s="57"/>
      <c r="O455" s="57"/>
      <c r="P455" s="57"/>
      <c r="Q455" s="57"/>
      <c r="R455" s="57"/>
      <c r="S455" s="119"/>
      <c r="T455" s="57"/>
      <c r="AD455" s="122"/>
    </row>
    <row r="456" spans="1:30" ht="12.75" hidden="1" customHeight="1" x14ac:dyDescent="0.2">
      <c r="A456" s="121"/>
      <c r="D456" s="117"/>
      <c r="E456" s="117"/>
      <c r="I456" s="118"/>
      <c r="J456" s="13"/>
      <c r="K456" s="269"/>
      <c r="L456" s="57"/>
      <c r="M456" s="119"/>
      <c r="N456" s="57"/>
      <c r="O456" s="57"/>
      <c r="P456" s="57"/>
      <c r="Q456" s="57"/>
      <c r="R456" s="57"/>
      <c r="S456" s="119"/>
      <c r="T456" s="57"/>
      <c r="AD456" s="122"/>
    </row>
    <row r="457" spans="1:30" ht="12.75" hidden="1" customHeight="1" x14ac:dyDescent="0.2">
      <c r="A457" s="121"/>
      <c r="D457" s="117"/>
      <c r="E457" s="117"/>
      <c r="I457" s="118"/>
      <c r="J457" s="13"/>
      <c r="K457" s="269"/>
      <c r="L457" s="57"/>
      <c r="M457" s="119"/>
      <c r="N457" s="57"/>
      <c r="O457" s="57"/>
      <c r="P457" s="57"/>
      <c r="Q457" s="57"/>
      <c r="R457" s="57"/>
      <c r="S457" s="119"/>
      <c r="T457" s="57"/>
      <c r="AD457" s="122"/>
    </row>
    <row r="458" spans="1:30" ht="12.75" hidden="1" customHeight="1" x14ac:dyDescent="0.2">
      <c r="A458" s="121"/>
      <c r="D458" s="117"/>
      <c r="E458" s="117"/>
      <c r="I458" s="118"/>
      <c r="J458" s="13"/>
      <c r="K458" s="269"/>
      <c r="L458" s="57"/>
      <c r="M458" s="119"/>
      <c r="N458" s="57"/>
      <c r="O458" s="57"/>
      <c r="P458" s="57"/>
      <c r="Q458" s="57"/>
      <c r="R458" s="57"/>
      <c r="S458" s="119"/>
      <c r="T458" s="57"/>
      <c r="AD458" s="122"/>
    </row>
    <row r="459" spans="1:30" ht="12.75" hidden="1" customHeight="1" x14ac:dyDescent="0.2">
      <c r="A459" s="121"/>
      <c r="D459" s="117"/>
      <c r="E459" s="117"/>
      <c r="I459" s="118"/>
      <c r="J459" s="13"/>
      <c r="K459" s="269"/>
      <c r="L459" s="57"/>
      <c r="M459" s="119"/>
      <c r="N459" s="57"/>
      <c r="O459" s="57"/>
      <c r="P459" s="57"/>
      <c r="Q459" s="57"/>
      <c r="R459" s="57"/>
      <c r="S459" s="119"/>
      <c r="T459" s="57"/>
      <c r="AD459" s="122"/>
    </row>
    <row r="460" spans="1:30" ht="12.75" hidden="1" customHeight="1" x14ac:dyDescent="0.2">
      <c r="A460" s="121"/>
      <c r="D460" s="117"/>
      <c r="E460" s="117"/>
      <c r="I460" s="118"/>
      <c r="J460" s="13"/>
      <c r="K460" s="269"/>
      <c r="L460" s="57"/>
      <c r="M460" s="119"/>
      <c r="N460" s="57"/>
      <c r="O460" s="57"/>
      <c r="P460" s="57"/>
      <c r="Q460" s="57"/>
      <c r="R460" s="57"/>
      <c r="S460" s="119"/>
      <c r="T460" s="57"/>
      <c r="AD460" s="122"/>
    </row>
    <row r="461" spans="1:30" ht="12.75" hidden="1" customHeight="1" x14ac:dyDescent="0.2">
      <c r="A461" s="121"/>
      <c r="D461" s="117"/>
      <c r="E461" s="117"/>
      <c r="I461" s="118"/>
      <c r="J461" s="13"/>
      <c r="K461" s="269"/>
      <c r="L461" s="57"/>
      <c r="M461" s="119"/>
      <c r="N461" s="57"/>
      <c r="O461" s="57"/>
      <c r="P461" s="57"/>
      <c r="Q461" s="57"/>
      <c r="R461" s="57"/>
      <c r="S461" s="119"/>
      <c r="T461" s="57"/>
      <c r="AD461" s="122"/>
    </row>
    <row r="462" spans="1:30" ht="12.75" hidden="1" customHeight="1" x14ac:dyDescent="0.2">
      <c r="A462" s="121"/>
      <c r="D462" s="117"/>
      <c r="E462" s="117"/>
      <c r="I462" s="118"/>
      <c r="J462" s="13"/>
      <c r="K462" s="269"/>
      <c r="L462" s="57"/>
      <c r="M462" s="119"/>
      <c r="N462" s="57"/>
      <c r="O462" s="57"/>
      <c r="P462" s="57"/>
      <c r="Q462" s="57"/>
      <c r="R462" s="57"/>
      <c r="S462" s="119"/>
      <c r="T462" s="57"/>
      <c r="AD462" s="122"/>
    </row>
    <row r="463" spans="1:30" ht="12.75" hidden="1" customHeight="1" x14ac:dyDescent="0.2">
      <c r="A463" s="121"/>
      <c r="D463" s="117"/>
      <c r="E463" s="117"/>
      <c r="I463" s="118"/>
      <c r="J463" s="13"/>
      <c r="K463" s="269"/>
      <c r="L463" s="57"/>
      <c r="M463" s="119"/>
      <c r="N463" s="57"/>
      <c r="O463" s="57"/>
      <c r="P463" s="57"/>
      <c r="Q463" s="57"/>
      <c r="R463" s="57"/>
      <c r="S463" s="119"/>
      <c r="T463" s="57"/>
      <c r="AD463" s="122"/>
    </row>
    <row r="464" spans="1:30" ht="12.75" hidden="1" customHeight="1" x14ac:dyDescent="0.2">
      <c r="A464" s="121"/>
      <c r="D464" s="117"/>
      <c r="E464" s="117"/>
      <c r="I464" s="118"/>
      <c r="J464" s="13"/>
      <c r="K464" s="269"/>
      <c r="L464" s="57"/>
      <c r="M464" s="119"/>
      <c r="N464" s="57"/>
      <c r="O464" s="57"/>
      <c r="P464" s="57"/>
      <c r="Q464" s="57"/>
      <c r="R464" s="57"/>
      <c r="S464" s="119"/>
      <c r="T464" s="57"/>
      <c r="AD464" s="122"/>
    </row>
    <row r="465" spans="1:30" ht="12.75" hidden="1" customHeight="1" x14ac:dyDescent="0.2">
      <c r="A465" s="121"/>
      <c r="D465" s="117"/>
      <c r="E465" s="117"/>
      <c r="I465" s="118"/>
      <c r="J465" s="13"/>
      <c r="K465" s="269"/>
      <c r="L465" s="57"/>
      <c r="M465" s="119"/>
      <c r="N465" s="57"/>
      <c r="O465" s="57"/>
      <c r="P465" s="57"/>
      <c r="Q465" s="57"/>
      <c r="R465" s="57"/>
      <c r="S465" s="119"/>
      <c r="T465" s="57"/>
      <c r="AD465" s="122"/>
    </row>
    <row r="466" spans="1:30" ht="12.75" hidden="1" customHeight="1" x14ac:dyDescent="0.2">
      <c r="A466" s="121"/>
      <c r="D466" s="117"/>
      <c r="E466" s="117"/>
      <c r="I466" s="118"/>
      <c r="J466" s="13"/>
      <c r="K466" s="269"/>
      <c r="L466" s="57"/>
      <c r="M466" s="119"/>
      <c r="N466" s="57"/>
      <c r="O466" s="57"/>
      <c r="P466" s="57"/>
      <c r="Q466" s="57"/>
      <c r="R466" s="57"/>
      <c r="S466" s="119"/>
      <c r="T466" s="57"/>
      <c r="AD466" s="122"/>
    </row>
    <row r="467" spans="1:30" ht="12.75" hidden="1" customHeight="1" x14ac:dyDescent="0.2">
      <c r="A467" s="121"/>
      <c r="D467" s="117"/>
      <c r="E467" s="117"/>
      <c r="I467" s="118"/>
      <c r="J467" s="13"/>
      <c r="K467" s="269"/>
      <c r="L467" s="57"/>
      <c r="M467" s="119"/>
      <c r="N467" s="57"/>
      <c r="O467" s="57"/>
      <c r="P467" s="57"/>
      <c r="Q467" s="57"/>
      <c r="R467" s="57"/>
      <c r="S467" s="119"/>
      <c r="T467" s="57"/>
      <c r="AD467" s="122"/>
    </row>
    <row r="468" spans="1:30" ht="12.75" hidden="1" customHeight="1" x14ac:dyDescent="0.2">
      <c r="A468" s="121"/>
      <c r="D468" s="117"/>
      <c r="E468" s="117"/>
      <c r="I468" s="118"/>
      <c r="J468" s="13"/>
      <c r="K468" s="269"/>
      <c r="L468" s="57"/>
      <c r="M468" s="119"/>
      <c r="N468" s="57"/>
      <c r="O468" s="57"/>
      <c r="P468" s="57"/>
      <c r="Q468" s="57"/>
      <c r="R468" s="57"/>
      <c r="S468" s="119"/>
      <c r="T468" s="57"/>
      <c r="AD468" s="122"/>
    </row>
    <row r="469" spans="1:30" ht="12.75" hidden="1" customHeight="1" x14ac:dyDescent="0.2">
      <c r="A469" s="121"/>
      <c r="D469" s="117"/>
      <c r="E469" s="117"/>
      <c r="I469" s="118"/>
      <c r="J469" s="13"/>
      <c r="K469" s="269"/>
      <c r="L469" s="57"/>
      <c r="M469" s="119"/>
      <c r="N469" s="57"/>
      <c r="O469" s="57"/>
      <c r="P469" s="57"/>
      <c r="Q469" s="57"/>
      <c r="R469" s="57"/>
      <c r="S469" s="119"/>
      <c r="T469" s="57"/>
      <c r="AD469" s="122"/>
    </row>
    <row r="470" spans="1:30" ht="12.75" hidden="1" customHeight="1" x14ac:dyDescent="0.2">
      <c r="A470" s="121"/>
      <c r="D470" s="117"/>
      <c r="E470" s="117"/>
      <c r="I470" s="118"/>
      <c r="J470" s="13"/>
      <c r="K470" s="269"/>
      <c r="L470" s="57"/>
      <c r="M470" s="119"/>
      <c r="N470" s="57"/>
      <c r="O470" s="57"/>
      <c r="P470" s="57"/>
      <c r="Q470" s="57"/>
      <c r="R470" s="57"/>
      <c r="S470" s="119"/>
      <c r="T470" s="57"/>
      <c r="AD470" s="122"/>
    </row>
    <row r="471" spans="1:30" ht="12.75" hidden="1" customHeight="1" x14ac:dyDescent="0.2">
      <c r="A471" s="121"/>
      <c r="D471" s="117"/>
      <c r="E471" s="117"/>
      <c r="I471" s="118"/>
      <c r="J471" s="13"/>
      <c r="K471" s="269"/>
      <c r="L471" s="57"/>
      <c r="M471" s="119"/>
      <c r="N471" s="57"/>
      <c r="O471" s="57"/>
      <c r="P471" s="57"/>
      <c r="Q471" s="57"/>
      <c r="R471" s="57"/>
      <c r="S471" s="119"/>
      <c r="T471" s="57"/>
      <c r="AD471" s="122"/>
    </row>
    <row r="472" spans="1:30" ht="12.75" hidden="1" customHeight="1" x14ac:dyDescent="0.2">
      <c r="A472" s="121"/>
      <c r="D472" s="117"/>
      <c r="E472" s="117"/>
      <c r="I472" s="118"/>
      <c r="J472" s="13"/>
      <c r="K472" s="269"/>
      <c r="L472" s="57"/>
      <c r="M472" s="119"/>
      <c r="N472" s="57"/>
      <c r="O472" s="57"/>
      <c r="P472" s="57"/>
      <c r="Q472" s="57"/>
      <c r="R472" s="57"/>
      <c r="S472" s="119"/>
      <c r="T472" s="57"/>
      <c r="AD472" s="122"/>
    </row>
    <row r="473" spans="1:30" ht="12.75" hidden="1" customHeight="1" x14ac:dyDescent="0.2">
      <c r="A473" s="121"/>
      <c r="D473" s="117"/>
      <c r="E473" s="117"/>
      <c r="I473" s="118"/>
      <c r="J473" s="13"/>
      <c r="K473" s="269"/>
      <c r="L473" s="57"/>
      <c r="M473" s="119"/>
      <c r="N473" s="57"/>
      <c r="O473" s="57"/>
      <c r="P473" s="57"/>
      <c r="Q473" s="57"/>
      <c r="R473" s="57"/>
      <c r="S473" s="119"/>
      <c r="T473" s="57"/>
      <c r="AD473" s="122"/>
    </row>
    <row r="474" spans="1:30" ht="12.75" hidden="1" customHeight="1" x14ac:dyDescent="0.2">
      <c r="A474" s="121"/>
      <c r="D474" s="117"/>
      <c r="E474" s="117"/>
      <c r="I474" s="118"/>
      <c r="J474" s="13"/>
      <c r="K474" s="269"/>
      <c r="L474" s="57"/>
      <c r="M474" s="119"/>
      <c r="N474" s="57"/>
      <c r="O474" s="57"/>
      <c r="P474" s="57"/>
      <c r="Q474" s="57"/>
      <c r="R474" s="57"/>
      <c r="S474" s="119"/>
      <c r="T474" s="57"/>
      <c r="AD474" s="122"/>
    </row>
    <row r="475" spans="1:30" ht="12.75" hidden="1" customHeight="1" x14ac:dyDescent="0.2">
      <c r="A475" s="121"/>
      <c r="D475" s="117"/>
      <c r="E475" s="117"/>
      <c r="I475" s="118"/>
      <c r="J475" s="13"/>
      <c r="K475" s="269"/>
      <c r="L475" s="57"/>
      <c r="M475" s="119"/>
      <c r="N475" s="57"/>
      <c r="O475" s="57"/>
      <c r="P475" s="57"/>
      <c r="Q475" s="57"/>
      <c r="R475" s="57"/>
      <c r="S475" s="119"/>
      <c r="T475" s="57"/>
      <c r="AD475" s="122"/>
    </row>
    <row r="476" spans="1:30" ht="12.75" hidden="1" customHeight="1" x14ac:dyDescent="0.2">
      <c r="A476" s="121"/>
      <c r="D476" s="117"/>
      <c r="E476" s="117"/>
      <c r="I476" s="118"/>
      <c r="J476" s="13"/>
      <c r="K476" s="269"/>
      <c r="L476" s="57"/>
      <c r="M476" s="119"/>
      <c r="N476" s="57"/>
      <c r="O476" s="57"/>
      <c r="P476" s="57"/>
      <c r="Q476" s="57"/>
      <c r="R476" s="57"/>
      <c r="S476" s="119"/>
      <c r="T476" s="57"/>
      <c r="AD476" s="122"/>
    </row>
    <row r="477" spans="1:30" ht="12.75" hidden="1" customHeight="1" x14ac:dyDescent="0.2">
      <c r="A477" s="121"/>
      <c r="D477" s="117"/>
      <c r="E477" s="117"/>
      <c r="I477" s="118"/>
      <c r="J477" s="13"/>
      <c r="K477" s="269"/>
      <c r="L477" s="57"/>
      <c r="M477" s="119"/>
      <c r="N477" s="57"/>
      <c r="O477" s="57"/>
      <c r="P477" s="57"/>
      <c r="Q477" s="57"/>
      <c r="R477" s="57"/>
      <c r="S477" s="119"/>
      <c r="T477" s="57"/>
      <c r="AD477" s="122"/>
    </row>
    <row r="478" spans="1:30" ht="12.75" hidden="1" customHeight="1" x14ac:dyDescent="0.2">
      <c r="A478" s="121"/>
      <c r="D478" s="117"/>
      <c r="E478" s="117"/>
      <c r="I478" s="118"/>
      <c r="J478" s="13"/>
      <c r="K478" s="269"/>
      <c r="L478" s="57"/>
      <c r="M478" s="119"/>
      <c r="N478" s="57"/>
      <c r="O478" s="57"/>
      <c r="P478" s="57"/>
      <c r="Q478" s="57"/>
      <c r="R478" s="57"/>
      <c r="S478" s="119"/>
      <c r="T478" s="57"/>
      <c r="AD478" s="122"/>
    </row>
    <row r="479" spans="1:30" ht="12.75" hidden="1" customHeight="1" x14ac:dyDescent="0.2">
      <c r="A479" s="121"/>
      <c r="D479" s="117"/>
      <c r="E479" s="117"/>
      <c r="I479" s="118"/>
      <c r="J479" s="13"/>
      <c r="K479" s="269"/>
      <c r="L479" s="57"/>
      <c r="M479" s="119"/>
      <c r="N479" s="57"/>
      <c r="O479" s="57"/>
      <c r="P479" s="57"/>
      <c r="Q479" s="57"/>
      <c r="R479" s="57"/>
      <c r="S479" s="119"/>
      <c r="T479" s="57"/>
      <c r="AD479" s="122"/>
    </row>
    <row r="480" spans="1:30" ht="12.75" hidden="1" customHeight="1" x14ac:dyDescent="0.2">
      <c r="A480" s="121"/>
      <c r="D480" s="117"/>
      <c r="E480" s="117"/>
      <c r="I480" s="118"/>
      <c r="J480" s="13"/>
      <c r="K480" s="269"/>
      <c r="L480" s="57"/>
      <c r="M480" s="119"/>
      <c r="N480" s="57"/>
      <c r="O480" s="57"/>
      <c r="P480" s="57"/>
      <c r="Q480" s="57"/>
      <c r="R480" s="57"/>
      <c r="S480" s="119"/>
      <c r="T480" s="57"/>
      <c r="AD480" s="122"/>
    </row>
    <row r="481" spans="1:30" ht="12.75" hidden="1" customHeight="1" x14ac:dyDescent="0.2">
      <c r="A481" s="121"/>
      <c r="D481" s="117"/>
      <c r="E481" s="117"/>
      <c r="I481" s="118"/>
      <c r="J481" s="13"/>
      <c r="K481" s="269"/>
      <c r="L481" s="57"/>
      <c r="M481" s="119"/>
      <c r="N481" s="57"/>
      <c r="O481" s="57"/>
      <c r="P481" s="57"/>
      <c r="Q481" s="57"/>
      <c r="R481" s="57"/>
      <c r="S481" s="119"/>
      <c r="T481" s="57"/>
      <c r="AD481" s="122"/>
    </row>
    <row r="482" spans="1:30" ht="12.75" hidden="1" customHeight="1" x14ac:dyDescent="0.2">
      <c r="A482" s="121"/>
      <c r="D482" s="117"/>
      <c r="E482" s="117"/>
      <c r="I482" s="118"/>
      <c r="J482" s="13"/>
      <c r="K482" s="269"/>
      <c r="L482" s="57"/>
      <c r="M482" s="119"/>
      <c r="N482" s="57"/>
      <c r="O482" s="57"/>
      <c r="P482" s="57"/>
      <c r="Q482" s="57"/>
      <c r="R482" s="57"/>
      <c r="S482" s="119"/>
      <c r="T482" s="57"/>
      <c r="AD482" s="122"/>
    </row>
    <row r="483" spans="1:30" ht="12.75" hidden="1" customHeight="1" x14ac:dyDescent="0.2">
      <c r="A483" s="121"/>
      <c r="D483" s="117"/>
      <c r="E483" s="117"/>
      <c r="I483" s="118"/>
      <c r="J483" s="13"/>
      <c r="K483" s="269"/>
      <c r="L483" s="57"/>
      <c r="M483" s="119"/>
      <c r="N483" s="57"/>
      <c r="O483" s="57"/>
      <c r="P483" s="57"/>
      <c r="Q483" s="57"/>
      <c r="R483" s="57"/>
      <c r="S483" s="119"/>
      <c r="T483" s="57"/>
      <c r="AD483" s="122"/>
    </row>
    <row r="484" spans="1:30" ht="12.75" hidden="1" customHeight="1" x14ac:dyDescent="0.2">
      <c r="A484" s="121"/>
      <c r="D484" s="117"/>
      <c r="E484" s="117"/>
      <c r="I484" s="118"/>
      <c r="J484" s="13"/>
      <c r="K484" s="269"/>
      <c r="L484" s="57"/>
      <c r="M484" s="119"/>
      <c r="N484" s="57"/>
      <c r="O484" s="57"/>
      <c r="P484" s="57"/>
      <c r="Q484" s="57"/>
      <c r="R484" s="57"/>
      <c r="S484" s="119"/>
      <c r="T484" s="57"/>
      <c r="AD484" s="122"/>
    </row>
    <row r="485" spans="1:30" ht="12.75" hidden="1" customHeight="1" x14ac:dyDescent="0.2">
      <c r="A485" s="121"/>
      <c r="D485" s="117"/>
      <c r="E485" s="117"/>
      <c r="I485" s="118"/>
      <c r="J485" s="13"/>
      <c r="K485" s="269"/>
      <c r="L485" s="57"/>
      <c r="M485" s="119"/>
      <c r="N485" s="57"/>
      <c r="O485" s="57"/>
      <c r="P485" s="57"/>
      <c r="Q485" s="57"/>
      <c r="R485" s="57"/>
      <c r="S485" s="119"/>
      <c r="T485" s="57"/>
      <c r="AD485" s="122"/>
    </row>
    <row r="486" spans="1:30" ht="12.75" hidden="1" customHeight="1" x14ac:dyDescent="0.2">
      <c r="A486" s="121"/>
      <c r="D486" s="117"/>
      <c r="E486" s="117"/>
      <c r="I486" s="118"/>
      <c r="J486" s="13"/>
      <c r="K486" s="269"/>
      <c r="L486" s="57"/>
      <c r="M486" s="119"/>
      <c r="N486" s="57"/>
      <c r="O486" s="57"/>
      <c r="P486" s="57"/>
      <c r="Q486" s="57"/>
      <c r="R486" s="57"/>
      <c r="S486" s="119"/>
      <c r="T486" s="57"/>
      <c r="AD486" s="122"/>
    </row>
    <row r="487" spans="1:30" ht="12.75" hidden="1" customHeight="1" x14ac:dyDescent="0.2">
      <c r="A487" s="121"/>
      <c r="D487" s="117"/>
      <c r="E487" s="117"/>
      <c r="I487" s="118"/>
      <c r="J487" s="13"/>
      <c r="K487" s="269"/>
      <c r="L487" s="57"/>
      <c r="M487" s="119"/>
      <c r="N487" s="57"/>
      <c r="O487" s="57"/>
      <c r="P487" s="57"/>
      <c r="Q487" s="57"/>
      <c r="R487" s="57"/>
      <c r="S487" s="119"/>
      <c r="T487" s="57"/>
      <c r="AD487" s="122"/>
    </row>
    <row r="488" spans="1:30" ht="12.75" hidden="1" customHeight="1" x14ac:dyDescent="0.2">
      <c r="A488" s="121"/>
      <c r="D488" s="117"/>
      <c r="E488" s="117"/>
      <c r="I488" s="118"/>
      <c r="J488" s="13"/>
      <c r="K488" s="269"/>
      <c r="L488" s="57"/>
      <c r="M488" s="119"/>
      <c r="N488" s="57"/>
      <c r="O488" s="57"/>
      <c r="P488" s="57"/>
      <c r="Q488" s="57"/>
      <c r="R488" s="57"/>
      <c r="S488" s="119"/>
      <c r="T488" s="57"/>
      <c r="AD488" s="122"/>
    </row>
    <row r="489" spans="1:30" ht="12.75" hidden="1" customHeight="1" x14ac:dyDescent="0.2">
      <c r="A489" s="121"/>
      <c r="D489" s="117"/>
      <c r="E489" s="117"/>
      <c r="I489" s="118"/>
      <c r="J489" s="13"/>
      <c r="K489" s="269"/>
      <c r="L489" s="57"/>
      <c r="M489" s="119"/>
      <c r="N489" s="57"/>
      <c r="O489" s="57"/>
      <c r="P489" s="57"/>
      <c r="Q489" s="57"/>
      <c r="R489" s="57"/>
      <c r="S489" s="119"/>
      <c r="T489" s="57"/>
      <c r="AD489" s="122"/>
    </row>
    <row r="490" spans="1:30" ht="12.75" hidden="1" customHeight="1" x14ac:dyDescent="0.2">
      <c r="A490" s="121"/>
      <c r="D490" s="117"/>
      <c r="E490" s="117"/>
      <c r="I490" s="118"/>
      <c r="J490" s="13"/>
      <c r="K490" s="269"/>
      <c r="L490" s="57"/>
      <c r="M490" s="119"/>
      <c r="N490" s="57"/>
      <c r="O490" s="57"/>
      <c r="P490" s="57"/>
      <c r="Q490" s="57"/>
      <c r="R490" s="57"/>
      <c r="S490" s="119"/>
      <c r="T490" s="57"/>
      <c r="AD490" s="122"/>
    </row>
    <row r="491" spans="1:30" ht="12.75" hidden="1" customHeight="1" x14ac:dyDescent="0.2">
      <c r="A491" s="121"/>
      <c r="D491" s="117"/>
      <c r="E491" s="117"/>
      <c r="I491" s="118"/>
      <c r="J491" s="13"/>
      <c r="K491" s="269"/>
      <c r="L491" s="57"/>
      <c r="M491" s="119"/>
      <c r="N491" s="57"/>
      <c r="O491" s="57"/>
      <c r="P491" s="57"/>
      <c r="Q491" s="57"/>
      <c r="R491" s="57"/>
      <c r="S491" s="119"/>
      <c r="T491" s="57"/>
      <c r="AD491" s="122"/>
    </row>
    <row r="492" spans="1:30" ht="12.75" hidden="1" customHeight="1" x14ac:dyDescent="0.2">
      <c r="A492" s="121"/>
      <c r="D492" s="117"/>
      <c r="E492" s="117"/>
      <c r="I492" s="118"/>
      <c r="J492" s="13"/>
      <c r="K492" s="269"/>
      <c r="L492" s="57"/>
      <c r="M492" s="119"/>
      <c r="N492" s="57"/>
      <c r="O492" s="57"/>
      <c r="P492" s="57"/>
      <c r="Q492" s="57"/>
      <c r="R492" s="57"/>
      <c r="S492" s="119"/>
      <c r="T492" s="57"/>
      <c r="AD492" s="122"/>
    </row>
    <row r="493" spans="1:30" ht="12.75" hidden="1" customHeight="1" x14ac:dyDescent="0.2">
      <c r="A493" s="121"/>
      <c r="D493" s="117"/>
      <c r="E493" s="117"/>
      <c r="I493" s="118"/>
      <c r="J493" s="13"/>
      <c r="K493" s="269"/>
      <c r="L493" s="57"/>
      <c r="M493" s="119"/>
      <c r="N493" s="57"/>
      <c r="O493" s="57"/>
      <c r="P493" s="57"/>
      <c r="Q493" s="57"/>
      <c r="R493" s="57"/>
      <c r="S493" s="119"/>
      <c r="T493" s="57"/>
      <c r="AD493" s="122"/>
    </row>
    <row r="494" spans="1:30" ht="12.75" hidden="1" customHeight="1" x14ac:dyDescent="0.2">
      <c r="A494" s="121"/>
      <c r="D494" s="117"/>
      <c r="E494" s="117"/>
      <c r="I494" s="118"/>
      <c r="J494" s="13"/>
      <c r="K494" s="269"/>
      <c r="L494" s="57"/>
      <c r="M494" s="119"/>
      <c r="N494" s="57"/>
      <c r="O494" s="57"/>
      <c r="P494" s="57"/>
      <c r="Q494" s="57"/>
      <c r="R494" s="57"/>
      <c r="S494" s="119"/>
      <c r="T494" s="57"/>
      <c r="AD494" s="122"/>
    </row>
    <row r="495" spans="1:30" ht="12.75" hidden="1" customHeight="1" x14ac:dyDescent="0.2">
      <c r="A495" s="121"/>
      <c r="D495" s="117"/>
      <c r="E495" s="117"/>
      <c r="I495" s="118"/>
      <c r="J495" s="13"/>
      <c r="K495" s="269"/>
      <c r="L495" s="57"/>
      <c r="M495" s="119"/>
      <c r="N495" s="57"/>
      <c r="O495" s="57"/>
      <c r="P495" s="57"/>
      <c r="Q495" s="57"/>
      <c r="R495" s="57"/>
      <c r="S495" s="119"/>
      <c r="T495" s="57"/>
      <c r="AD495" s="122"/>
    </row>
    <row r="496" spans="1:30" ht="12.75" hidden="1" customHeight="1" x14ac:dyDescent="0.2">
      <c r="A496" s="121"/>
      <c r="D496" s="117"/>
      <c r="E496" s="117"/>
      <c r="I496" s="118"/>
      <c r="J496" s="13"/>
      <c r="K496" s="269"/>
      <c r="L496" s="57"/>
      <c r="M496" s="119"/>
      <c r="N496" s="57"/>
      <c r="O496" s="57"/>
      <c r="P496" s="57"/>
      <c r="Q496" s="57"/>
      <c r="R496" s="57"/>
      <c r="S496" s="119"/>
      <c r="T496" s="57"/>
      <c r="AD496" s="122"/>
    </row>
    <row r="497" spans="1:30" ht="12.75" hidden="1" customHeight="1" x14ac:dyDescent="0.2">
      <c r="A497" s="121"/>
      <c r="D497" s="117"/>
      <c r="E497" s="117"/>
      <c r="I497" s="118"/>
      <c r="J497" s="13"/>
      <c r="K497" s="269"/>
      <c r="L497" s="57"/>
      <c r="M497" s="119"/>
      <c r="N497" s="57"/>
      <c r="O497" s="57"/>
      <c r="P497" s="57"/>
      <c r="Q497" s="57"/>
      <c r="R497" s="57"/>
      <c r="S497" s="119"/>
      <c r="T497" s="57"/>
      <c r="AD497" s="122"/>
    </row>
    <row r="498" spans="1:30" ht="12.75" hidden="1" customHeight="1" x14ac:dyDescent="0.2">
      <c r="A498" s="121"/>
      <c r="D498" s="117"/>
      <c r="E498" s="117"/>
      <c r="I498" s="118"/>
      <c r="J498" s="13"/>
      <c r="K498" s="269"/>
      <c r="L498" s="57"/>
      <c r="M498" s="119"/>
      <c r="N498" s="57"/>
      <c r="O498" s="57"/>
      <c r="P498" s="57"/>
      <c r="Q498" s="57"/>
      <c r="R498" s="57"/>
      <c r="S498" s="119"/>
      <c r="T498" s="57"/>
      <c r="AD498" s="122"/>
    </row>
    <row r="499" spans="1:30" ht="12.75" hidden="1" customHeight="1" x14ac:dyDescent="0.2">
      <c r="A499" s="121"/>
      <c r="D499" s="117"/>
      <c r="E499" s="117"/>
      <c r="I499" s="118"/>
      <c r="J499" s="13"/>
      <c r="K499" s="269"/>
      <c r="L499" s="57"/>
      <c r="M499" s="119"/>
      <c r="N499" s="57"/>
      <c r="O499" s="57"/>
      <c r="P499" s="57"/>
      <c r="Q499" s="57"/>
      <c r="R499" s="57"/>
      <c r="S499" s="119"/>
      <c r="T499" s="57"/>
      <c r="AD499" s="122"/>
    </row>
    <row r="500" spans="1:30" ht="12.75" hidden="1" customHeight="1" x14ac:dyDescent="0.2">
      <c r="A500" s="121"/>
      <c r="D500" s="117"/>
      <c r="E500" s="117"/>
      <c r="I500" s="118"/>
      <c r="J500" s="13"/>
      <c r="K500" s="269"/>
      <c r="L500" s="57"/>
      <c r="M500" s="119"/>
      <c r="N500" s="57"/>
      <c r="O500" s="57"/>
      <c r="P500" s="57"/>
      <c r="Q500" s="57"/>
      <c r="R500" s="57"/>
      <c r="S500" s="119"/>
      <c r="T500" s="57"/>
      <c r="AD500" s="122"/>
    </row>
    <row r="501" spans="1:30" ht="12.75" hidden="1" customHeight="1" x14ac:dyDescent="0.2">
      <c r="A501" s="121"/>
      <c r="D501" s="117"/>
      <c r="E501" s="117"/>
      <c r="I501" s="118"/>
      <c r="J501" s="13"/>
      <c r="K501" s="269"/>
      <c r="L501" s="57"/>
      <c r="M501" s="119"/>
      <c r="N501" s="57"/>
      <c r="O501" s="57"/>
      <c r="P501" s="57"/>
      <c r="Q501" s="57"/>
      <c r="R501" s="57"/>
      <c r="S501" s="119"/>
      <c r="T501" s="57"/>
      <c r="AD501" s="122"/>
    </row>
    <row r="502" spans="1:30" ht="12.75" hidden="1" customHeight="1" x14ac:dyDescent="0.2">
      <c r="A502" s="121"/>
      <c r="D502" s="117"/>
      <c r="E502" s="117"/>
      <c r="I502" s="118"/>
      <c r="J502" s="13"/>
      <c r="K502" s="269"/>
      <c r="L502" s="57"/>
      <c r="M502" s="119"/>
      <c r="N502" s="57"/>
      <c r="O502" s="57"/>
      <c r="P502" s="57"/>
      <c r="Q502" s="57"/>
      <c r="R502" s="57"/>
      <c r="S502" s="119"/>
      <c r="T502" s="57"/>
      <c r="AD502" s="122"/>
    </row>
    <row r="503" spans="1:30" ht="12.75" hidden="1" customHeight="1" x14ac:dyDescent="0.2">
      <c r="A503" s="121"/>
      <c r="D503" s="117"/>
      <c r="E503" s="117"/>
      <c r="I503" s="118"/>
      <c r="J503" s="13"/>
      <c r="K503" s="269"/>
      <c r="L503" s="57"/>
      <c r="M503" s="119"/>
      <c r="N503" s="57"/>
      <c r="O503" s="57"/>
      <c r="P503" s="57"/>
      <c r="Q503" s="57"/>
      <c r="R503" s="57"/>
      <c r="S503" s="119"/>
      <c r="T503" s="57"/>
      <c r="AD503" s="122"/>
    </row>
    <row r="504" spans="1:30" ht="12.75" hidden="1" customHeight="1" x14ac:dyDescent="0.2">
      <c r="A504" s="121"/>
      <c r="D504" s="117"/>
      <c r="E504" s="117"/>
      <c r="I504" s="118"/>
      <c r="J504" s="13"/>
      <c r="K504" s="269"/>
      <c r="L504" s="57"/>
      <c r="M504" s="119"/>
      <c r="N504" s="57"/>
      <c r="O504" s="57"/>
      <c r="P504" s="57"/>
      <c r="Q504" s="57"/>
      <c r="R504" s="57"/>
      <c r="S504" s="119"/>
      <c r="T504" s="57"/>
      <c r="AD504" s="122"/>
    </row>
    <row r="505" spans="1:30" ht="12.75" hidden="1" customHeight="1" x14ac:dyDescent="0.2">
      <c r="A505" s="121"/>
      <c r="D505" s="117"/>
      <c r="E505" s="117"/>
      <c r="I505" s="118"/>
      <c r="J505" s="13"/>
      <c r="K505" s="269"/>
      <c r="L505" s="57"/>
      <c r="M505" s="119"/>
      <c r="N505" s="57"/>
      <c r="O505" s="57"/>
      <c r="P505" s="57"/>
      <c r="Q505" s="57"/>
      <c r="R505" s="57"/>
      <c r="S505" s="119"/>
      <c r="T505" s="57"/>
      <c r="AD505" s="122"/>
    </row>
    <row r="506" spans="1:30" ht="12.75" hidden="1" customHeight="1" x14ac:dyDescent="0.2">
      <c r="A506" s="121"/>
      <c r="D506" s="117"/>
      <c r="E506" s="117"/>
      <c r="I506" s="118"/>
      <c r="J506" s="13"/>
      <c r="K506" s="269"/>
      <c r="L506" s="57"/>
      <c r="M506" s="119"/>
      <c r="N506" s="57"/>
      <c r="O506" s="57"/>
      <c r="P506" s="57"/>
      <c r="Q506" s="57"/>
      <c r="R506" s="57"/>
      <c r="S506" s="119"/>
      <c r="T506" s="57"/>
      <c r="AD506" s="122"/>
    </row>
    <row r="507" spans="1:30" ht="12.75" hidden="1" customHeight="1" x14ac:dyDescent="0.2">
      <c r="A507" s="121"/>
      <c r="D507" s="117"/>
      <c r="E507" s="117"/>
      <c r="I507" s="118"/>
      <c r="J507" s="13"/>
      <c r="K507" s="269"/>
      <c r="L507" s="57"/>
      <c r="M507" s="119"/>
      <c r="N507" s="57"/>
      <c r="O507" s="57"/>
      <c r="P507" s="57"/>
      <c r="Q507" s="57"/>
      <c r="R507" s="57"/>
      <c r="S507" s="119"/>
      <c r="T507" s="57"/>
      <c r="AD507" s="122"/>
    </row>
    <row r="508" spans="1:30" ht="12.75" hidden="1" customHeight="1" x14ac:dyDescent="0.2">
      <c r="A508" s="121"/>
      <c r="D508" s="117"/>
      <c r="E508" s="117"/>
      <c r="I508" s="118"/>
      <c r="J508" s="13"/>
      <c r="K508" s="269"/>
      <c r="L508" s="57"/>
      <c r="M508" s="119"/>
      <c r="N508" s="57"/>
      <c r="O508" s="57"/>
      <c r="P508" s="57"/>
      <c r="Q508" s="57"/>
      <c r="R508" s="57"/>
      <c r="S508" s="119"/>
      <c r="T508" s="57"/>
      <c r="AD508" s="122"/>
    </row>
    <row r="509" spans="1:30" ht="12.75" hidden="1" customHeight="1" x14ac:dyDescent="0.2">
      <c r="A509" s="121"/>
      <c r="D509" s="117"/>
      <c r="E509" s="117"/>
      <c r="I509" s="118"/>
      <c r="J509" s="13"/>
      <c r="K509" s="269"/>
      <c r="L509" s="57"/>
      <c r="M509" s="119"/>
      <c r="N509" s="57"/>
      <c r="O509" s="57"/>
      <c r="P509" s="57"/>
      <c r="Q509" s="57"/>
      <c r="R509" s="57"/>
      <c r="S509" s="119"/>
      <c r="T509" s="57"/>
      <c r="AD509" s="122"/>
    </row>
    <row r="510" spans="1:30" ht="12.75" hidden="1" customHeight="1" x14ac:dyDescent="0.2">
      <c r="A510" s="121"/>
      <c r="D510" s="117"/>
      <c r="E510" s="117"/>
      <c r="I510" s="118"/>
      <c r="J510" s="13"/>
      <c r="K510" s="269"/>
      <c r="L510" s="57"/>
      <c r="M510" s="119"/>
      <c r="N510" s="57"/>
      <c r="O510" s="57"/>
      <c r="P510" s="57"/>
      <c r="Q510" s="57"/>
      <c r="R510" s="57"/>
      <c r="S510" s="119"/>
      <c r="T510" s="57"/>
      <c r="AD510" s="122"/>
    </row>
    <row r="511" spans="1:30" ht="12.75" hidden="1" customHeight="1" x14ac:dyDescent="0.2">
      <c r="A511" s="121"/>
      <c r="D511" s="117"/>
      <c r="E511" s="117"/>
      <c r="I511" s="118"/>
      <c r="J511" s="13"/>
      <c r="K511" s="269"/>
      <c r="L511" s="57"/>
      <c r="M511" s="119"/>
      <c r="N511" s="57"/>
      <c r="O511" s="57"/>
      <c r="P511" s="57"/>
      <c r="Q511" s="57"/>
      <c r="R511" s="57"/>
      <c r="S511" s="119"/>
      <c r="T511" s="57"/>
      <c r="AD511" s="122"/>
    </row>
    <row r="512" spans="1:30" ht="12.75" hidden="1" customHeight="1" x14ac:dyDescent="0.2">
      <c r="A512" s="121"/>
      <c r="D512" s="117"/>
      <c r="E512" s="117"/>
      <c r="I512" s="118"/>
      <c r="J512" s="13"/>
      <c r="K512" s="269"/>
      <c r="L512" s="57"/>
      <c r="M512" s="119"/>
      <c r="N512" s="57"/>
      <c r="O512" s="57"/>
      <c r="P512" s="57"/>
      <c r="Q512" s="57"/>
      <c r="R512" s="57"/>
      <c r="S512" s="119"/>
      <c r="T512" s="57"/>
      <c r="AD512" s="122"/>
    </row>
    <row r="513" spans="1:30" ht="12.75" hidden="1" customHeight="1" x14ac:dyDescent="0.2">
      <c r="A513" s="121"/>
      <c r="D513" s="117"/>
      <c r="E513" s="117"/>
      <c r="I513" s="118"/>
      <c r="J513" s="13"/>
      <c r="K513" s="269"/>
      <c r="L513" s="57"/>
      <c r="M513" s="119"/>
      <c r="N513" s="57"/>
      <c r="O513" s="57"/>
      <c r="P513" s="57"/>
      <c r="Q513" s="57"/>
      <c r="R513" s="57"/>
      <c r="S513" s="119"/>
      <c r="T513" s="57"/>
      <c r="AD513" s="122"/>
    </row>
    <row r="514" spans="1:30" ht="12.75" hidden="1" customHeight="1" x14ac:dyDescent="0.2">
      <c r="A514" s="121"/>
      <c r="D514" s="117"/>
      <c r="E514" s="117"/>
      <c r="I514" s="118"/>
      <c r="J514" s="13"/>
      <c r="K514" s="269"/>
      <c r="L514" s="57"/>
      <c r="M514" s="119"/>
      <c r="N514" s="57"/>
      <c r="O514" s="57"/>
      <c r="P514" s="57"/>
      <c r="Q514" s="57"/>
      <c r="R514" s="57"/>
      <c r="S514" s="119"/>
      <c r="T514" s="57"/>
      <c r="AD514" s="122"/>
    </row>
    <row r="515" spans="1:30" ht="12.75" hidden="1" customHeight="1" x14ac:dyDescent="0.2">
      <c r="A515" s="121"/>
      <c r="D515" s="117"/>
      <c r="E515" s="117"/>
      <c r="I515" s="118"/>
      <c r="J515" s="13"/>
      <c r="K515" s="269"/>
      <c r="L515" s="57"/>
      <c r="M515" s="119"/>
      <c r="N515" s="57"/>
      <c r="O515" s="57"/>
      <c r="P515" s="57"/>
      <c r="Q515" s="57"/>
      <c r="R515" s="57"/>
      <c r="S515" s="119"/>
      <c r="T515" s="57"/>
      <c r="AD515" s="122"/>
    </row>
    <row r="516" spans="1:30" ht="12.75" hidden="1" customHeight="1" x14ac:dyDescent="0.2">
      <c r="A516" s="121"/>
      <c r="D516" s="117"/>
      <c r="E516" s="117"/>
      <c r="I516" s="118"/>
      <c r="J516" s="13"/>
      <c r="K516" s="269"/>
      <c r="L516" s="57"/>
      <c r="M516" s="119"/>
      <c r="N516" s="57"/>
      <c r="O516" s="57"/>
      <c r="P516" s="57"/>
      <c r="Q516" s="57"/>
      <c r="R516" s="57"/>
      <c r="S516" s="119"/>
      <c r="T516" s="57"/>
      <c r="AD516" s="122"/>
    </row>
    <row r="517" spans="1:30" ht="12.75" hidden="1" customHeight="1" x14ac:dyDescent="0.2">
      <c r="A517" s="121"/>
      <c r="D517" s="117"/>
      <c r="E517" s="117"/>
      <c r="I517" s="118"/>
      <c r="J517" s="13"/>
      <c r="K517" s="269"/>
      <c r="L517" s="57"/>
      <c r="M517" s="119"/>
      <c r="N517" s="57"/>
      <c r="O517" s="57"/>
      <c r="P517" s="57"/>
      <c r="Q517" s="57"/>
      <c r="R517" s="57"/>
      <c r="S517" s="119"/>
      <c r="T517" s="57"/>
      <c r="AD517" s="122"/>
    </row>
    <row r="518" spans="1:30" ht="12.75" hidden="1" customHeight="1" x14ac:dyDescent="0.2">
      <c r="A518" s="121"/>
      <c r="D518" s="117"/>
      <c r="E518" s="117"/>
      <c r="I518" s="118"/>
      <c r="J518" s="13"/>
      <c r="K518" s="269"/>
      <c r="L518" s="57"/>
      <c r="M518" s="119"/>
      <c r="N518" s="57"/>
      <c r="O518" s="57"/>
      <c r="P518" s="57"/>
      <c r="Q518" s="57"/>
      <c r="R518" s="57"/>
      <c r="S518" s="119"/>
      <c r="T518" s="57"/>
      <c r="AD518" s="122"/>
    </row>
    <row r="519" spans="1:30" ht="12.75" hidden="1" customHeight="1" x14ac:dyDescent="0.2">
      <c r="A519" s="121"/>
      <c r="D519" s="117"/>
      <c r="E519" s="117"/>
      <c r="I519" s="118"/>
      <c r="J519" s="13"/>
      <c r="K519" s="269"/>
      <c r="L519" s="57"/>
      <c r="M519" s="119"/>
      <c r="N519" s="57"/>
      <c r="O519" s="57"/>
      <c r="P519" s="57"/>
      <c r="Q519" s="57"/>
      <c r="R519" s="57"/>
      <c r="S519" s="119"/>
      <c r="T519" s="57"/>
      <c r="AD519" s="122"/>
    </row>
    <row r="520" spans="1:30" ht="12.75" hidden="1" customHeight="1" x14ac:dyDescent="0.2">
      <c r="A520" s="121"/>
      <c r="D520" s="117"/>
      <c r="E520" s="117"/>
      <c r="I520" s="118"/>
      <c r="J520" s="13"/>
      <c r="K520" s="269"/>
      <c r="L520" s="57"/>
      <c r="M520" s="119"/>
      <c r="N520" s="57"/>
      <c r="O520" s="57"/>
      <c r="P520" s="57"/>
      <c r="Q520" s="57"/>
      <c r="R520" s="57"/>
      <c r="S520" s="119"/>
      <c r="T520" s="57"/>
      <c r="AD520" s="122"/>
    </row>
    <row r="521" spans="1:30" ht="12.75" hidden="1" customHeight="1" x14ac:dyDescent="0.2">
      <c r="A521" s="121"/>
      <c r="D521" s="117"/>
      <c r="E521" s="117"/>
      <c r="I521" s="118"/>
      <c r="J521" s="13"/>
      <c r="K521" s="269"/>
      <c r="L521" s="57"/>
      <c r="M521" s="119"/>
      <c r="N521" s="57"/>
      <c r="O521" s="57"/>
      <c r="P521" s="57"/>
      <c r="Q521" s="57"/>
      <c r="R521" s="57"/>
      <c r="S521" s="119"/>
      <c r="T521" s="57"/>
      <c r="AD521" s="122"/>
    </row>
    <row r="522" spans="1:30" ht="12.75" hidden="1" customHeight="1" x14ac:dyDescent="0.2">
      <c r="A522" s="121"/>
      <c r="D522" s="117"/>
      <c r="E522" s="117"/>
      <c r="I522" s="118"/>
      <c r="J522" s="13"/>
      <c r="K522" s="269"/>
      <c r="L522" s="57"/>
      <c r="M522" s="119"/>
      <c r="N522" s="57"/>
      <c r="O522" s="57"/>
      <c r="P522" s="57"/>
      <c r="Q522" s="57"/>
      <c r="R522" s="57"/>
      <c r="S522" s="119"/>
      <c r="T522" s="57"/>
      <c r="AD522" s="122"/>
    </row>
    <row r="523" spans="1:30" ht="12.75" hidden="1" customHeight="1" x14ac:dyDescent="0.2">
      <c r="A523" s="121"/>
      <c r="D523" s="117"/>
      <c r="E523" s="117"/>
      <c r="I523" s="118"/>
      <c r="J523" s="13"/>
      <c r="K523" s="269"/>
      <c r="L523" s="57"/>
      <c r="M523" s="119"/>
      <c r="N523" s="57"/>
      <c r="O523" s="57"/>
      <c r="P523" s="57"/>
      <c r="Q523" s="57"/>
      <c r="R523" s="57"/>
      <c r="S523" s="119"/>
      <c r="T523" s="57"/>
      <c r="AD523" s="122"/>
    </row>
    <row r="524" spans="1:30" ht="12.75" hidden="1" customHeight="1" x14ac:dyDescent="0.2">
      <c r="A524" s="121"/>
      <c r="D524" s="117"/>
      <c r="E524" s="117"/>
      <c r="I524" s="118"/>
      <c r="J524" s="13"/>
      <c r="K524" s="269"/>
      <c r="L524" s="57"/>
      <c r="M524" s="119"/>
      <c r="N524" s="57"/>
      <c r="O524" s="57"/>
      <c r="P524" s="57"/>
      <c r="Q524" s="57"/>
      <c r="R524" s="57"/>
      <c r="S524" s="119"/>
      <c r="T524" s="57"/>
      <c r="AD524" s="122"/>
    </row>
    <row r="525" spans="1:30" ht="12.75" hidden="1" customHeight="1" x14ac:dyDescent="0.2">
      <c r="A525" s="121"/>
      <c r="D525" s="117"/>
      <c r="E525" s="117"/>
      <c r="I525" s="118"/>
      <c r="J525" s="13"/>
      <c r="K525" s="269"/>
      <c r="L525" s="57"/>
      <c r="M525" s="119"/>
      <c r="N525" s="57"/>
      <c r="O525" s="57"/>
      <c r="P525" s="57"/>
      <c r="Q525" s="57"/>
      <c r="R525" s="57"/>
      <c r="S525" s="119"/>
      <c r="T525" s="57"/>
      <c r="AD525" s="122"/>
    </row>
    <row r="526" spans="1:30" ht="12.75" hidden="1" customHeight="1" x14ac:dyDescent="0.2">
      <c r="A526" s="121"/>
      <c r="D526" s="117"/>
      <c r="E526" s="117"/>
      <c r="I526" s="118"/>
      <c r="J526" s="13"/>
      <c r="K526" s="269"/>
      <c r="L526" s="57"/>
      <c r="M526" s="119"/>
      <c r="N526" s="57"/>
      <c r="O526" s="57"/>
      <c r="P526" s="57"/>
      <c r="Q526" s="57"/>
      <c r="R526" s="57"/>
      <c r="S526" s="119"/>
      <c r="T526" s="57"/>
      <c r="AD526" s="122"/>
    </row>
    <row r="527" spans="1:30" ht="12.75" hidden="1" customHeight="1" x14ac:dyDescent="0.2">
      <c r="A527" s="121"/>
      <c r="D527" s="117"/>
      <c r="E527" s="117"/>
      <c r="I527" s="118"/>
      <c r="J527" s="13"/>
      <c r="K527" s="269"/>
      <c r="L527" s="57"/>
      <c r="M527" s="119"/>
      <c r="N527" s="57"/>
      <c r="O527" s="57"/>
      <c r="P527" s="57"/>
      <c r="Q527" s="57"/>
      <c r="R527" s="57"/>
      <c r="S527" s="119"/>
      <c r="T527" s="57"/>
      <c r="AD527" s="122"/>
    </row>
    <row r="528" spans="1:30" ht="12.75" hidden="1" customHeight="1" x14ac:dyDescent="0.2">
      <c r="A528" s="121"/>
      <c r="D528" s="117"/>
      <c r="E528" s="117"/>
      <c r="I528" s="118"/>
      <c r="J528" s="13"/>
      <c r="K528" s="269"/>
      <c r="L528" s="57"/>
      <c r="M528" s="119"/>
      <c r="N528" s="57"/>
      <c r="O528" s="57"/>
      <c r="P528" s="57"/>
      <c r="Q528" s="57"/>
      <c r="R528" s="57"/>
      <c r="S528" s="119"/>
      <c r="T528" s="57"/>
      <c r="AD528" s="122"/>
    </row>
    <row r="529" spans="1:30" ht="12.75" hidden="1" customHeight="1" x14ac:dyDescent="0.2">
      <c r="A529" s="121"/>
      <c r="D529" s="117"/>
      <c r="E529" s="117"/>
      <c r="I529" s="118"/>
      <c r="J529" s="13"/>
      <c r="K529" s="269"/>
      <c r="L529" s="57"/>
      <c r="M529" s="119"/>
      <c r="N529" s="57"/>
      <c r="O529" s="57"/>
      <c r="P529" s="57"/>
      <c r="Q529" s="57"/>
      <c r="R529" s="57"/>
      <c r="S529" s="119"/>
      <c r="T529" s="57"/>
      <c r="AD529" s="122"/>
    </row>
    <row r="530" spans="1:30" ht="12.75" hidden="1" customHeight="1" x14ac:dyDescent="0.2">
      <c r="A530" s="121"/>
      <c r="D530" s="117"/>
      <c r="E530" s="117"/>
      <c r="I530" s="118"/>
      <c r="J530" s="13"/>
      <c r="K530" s="269"/>
      <c r="L530" s="57"/>
      <c r="M530" s="119"/>
      <c r="N530" s="57"/>
      <c r="O530" s="57"/>
      <c r="P530" s="57"/>
      <c r="Q530" s="57"/>
      <c r="R530" s="57"/>
      <c r="S530" s="119"/>
      <c r="T530" s="57"/>
      <c r="AD530" s="122"/>
    </row>
    <row r="531" spans="1:30" ht="12.75" hidden="1" customHeight="1" x14ac:dyDescent="0.2">
      <c r="A531" s="121"/>
      <c r="D531" s="117"/>
      <c r="E531" s="117"/>
      <c r="I531" s="118"/>
      <c r="J531" s="13"/>
      <c r="K531" s="269"/>
      <c r="L531" s="57"/>
      <c r="M531" s="119"/>
      <c r="N531" s="57"/>
      <c r="O531" s="57"/>
      <c r="P531" s="57"/>
      <c r="Q531" s="57"/>
      <c r="R531" s="57"/>
      <c r="S531" s="119"/>
      <c r="T531" s="57"/>
      <c r="AD531" s="122"/>
    </row>
    <row r="532" spans="1:30" ht="12.75" hidden="1" customHeight="1" x14ac:dyDescent="0.2">
      <c r="A532" s="121"/>
      <c r="D532" s="117"/>
      <c r="E532" s="117"/>
      <c r="I532" s="118"/>
      <c r="J532" s="13"/>
      <c r="K532" s="269"/>
      <c r="L532" s="57"/>
      <c r="M532" s="119"/>
      <c r="N532" s="57"/>
      <c r="O532" s="57"/>
      <c r="P532" s="57"/>
      <c r="Q532" s="57"/>
      <c r="R532" s="57"/>
      <c r="S532" s="119"/>
      <c r="T532" s="57"/>
      <c r="AD532" s="122"/>
    </row>
    <row r="533" spans="1:30" ht="12.75" hidden="1" customHeight="1" x14ac:dyDescent="0.2">
      <c r="A533" s="121"/>
      <c r="D533" s="117"/>
      <c r="E533" s="117"/>
      <c r="I533" s="118"/>
      <c r="J533" s="13"/>
      <c r="K533" s="269"/>
      <c r="L533" s="57"/>
      <c r="M533" s="119"/>
      <c r="N533" s="57"/>
      <c r="O533" s="57"/>
      <c r="P533" s="57"/>
      <c r="Q533" s="57"/>
      <c r="R533" s="57"/>
      <c r="S533" s="119"/>
      <c r="T533" s="57"/>
      <c r="AD533" s="122"/>
    </row>
    <row r="534" spans="1:30" ht="12.75" hidden="1" customHeight="1" x14ac:dyDescent="0.2">
      <c r="A534" s="121"/>
      <c r="D534" s="117"/>
      <c r="E534" s="117"/>
      <c r="I534" s="118"/>
      <c r="J534" s="13"/>
      <c r="K534" s="269"/>
      <c r="L534" s="57"/>
      <c r="M534" s="119"/>
      <c r="N534" s="57"/>
      <c r="O534" s="57"/>
      <c r="P534" s="57"/>
      <c r="Q534" s="57"/>
      <c r="R534" s="57"/>
      <c r="S534" s="119"/>
      <c r="T534" s="57"/>
      <c r="AD534" s="122"/>
    </row>
    <row r="535" spans="1:30" ht="12.75" hidden="1" customHeight="1" x14ac:dyDescent="0.2">
      <c r="A535" s="121"/>
      <c r="D535" s="117"/>
      <c r="E535" s="117"/>
      <c r="I535" s="118"/>
      <c r="J535" s="13"/>
      <c r="K535" s="269"/>
      <c r="L535" s="57"/>
      <c r="M535" s="119"/>
      <c r="N535" s="57"/>
      <c r="O535" s="57"/>
      <c r="P535" s="57"/>
      <c r="Q535" s="57"/>
      <c r="R535" s="57"/>
      <c r="S535" s="119"/>
      <c r="T535" s="57"/>
      <c r="AD535" s="122"/>
    </row>
    <row r="536" spans="1:30" ht="12.75" hidden="1" customHeight="1" x14ac:dyDescent="0.2">
      <c r="A536" s="121"/>
      <c r="D536" s="117"/>
      <c r="E536" s="117"/>
      <c r="I536" s="118"/>
      <c r="J536" s="13"/>
      <c r="K536" s="269"/>
      <c r="L536" s="57"/>
      <c r="M536" s="119"/>
      <c r="N536" s="57"/>
      <c r="O536" s="57"/>
      <c r="P536" s="57"/>
      <c r="Q536" s="57"/>
      <c r="R536" s="57"/>
      <c r="S536" s="119"/>
      <c r="T536" s="57"/>
      <c r="AD536" s="122"/>
    </row>
    <row r="537" spans="1:30" ht="12.75" hidden="1" customHeight="1" x14ac:dyDescent="0.2">
      <c r="A537" s="121"/>
      <c r="D537" s="117"/>
      <c r="E537" s="117"/>
      <c r="I537" s="118"/>
      <c r="J537" s="13"/>
      <c r="K537" s="269"/>
      <c r="L537" s="57"/>
      <c r="M537" s="119"/>
      <c r="N537" s="57"/>
      <c r="O537" s="57"/>
      <c r="P537" s="57"/>
      <c r="Q537" s="57"/>
      <c r="R537" s="57"/>
      <c r="S537" s="119"/>
      <c r="T537" s="57"/>
      <c r="AD537" s="122"/>
    </row>
    <row r="538" spans="1:30" ht="12.75" hidden="1" customHeight="1" x14ac:dyDescent="0.2">
      <c r="A538" s="121"/>
      <c r="D538" s="117"/>
      <c r="E538" s="117"/>
      <c r="I538" s="118"/>
      <c r="J538" s="13"/>
      <c r="K538" s="269"/>
      <c r="L538" s="57"/>
      <c r="M538" s="119"/>
      <c r="N538" s="57"/>
      <c r="O538" s="57"/>
      <c r="P538" s="57"/>
      <c r="Q538" s="57"/>
      <c r="R538" s="57"/>
      <c r="S538" s="119"/>
      <c r="T538" s="57"/>
      <c r="AD538" s="122"/>
    </row>
    <row r="539" spans="1:30" ht="12.75" hidden="1" customHeight="1" x14ac:dyDescent="0.2">
      <c r="A539" s="121"/>
      <c r="D539" s="117"/>
      <c r="E539" s="117"/>
      <c r="I539" s="118"/>
      <c r="J539" s="13"/>
      <c r="K539" s="269"/>
      <c r="L539" s="57"/>
      <c r="M539" s="119"/>
      <c r="N539" s="57"/>
      <c r="O539" s="57"/>
      <c r="P539" s="57"/>
      <c r="Q539" s="57"/>
      <c r="R539" s="57"/>
      <c r="S539" s="119"/>
      <c r="T539" s="57"/>
      <c r="AD539" s="122"/>
    </row>
    <row r="540" spans="1:30" ht="12.75" hidden="1" customHeight="1" x14ac:dyDescent="0.2">
      <c r="A540" s="121"/>
      <c r="D540" s="117"/>
      <c r="E540" s="117"/>
      <c r="I540" s="118"/>
      <c r="J540" s="13"/>
      <c r="K540" s="269"/>
      <c r="L540" s="57"/>
      <c r="M540" s="119"/>
      <c r="N540" s="57"/>
      <c r="O540" s="57"/>
      <c r="P540" s="57"/>
      <c r="Q540" s="57"/>
      <c r="R540" s="57"/>
      <c r="S540" s="119"/>
      <c r="T540" s="57"/>
      <c r="AD540" s="122"/>
    </row>
    <row r="541" spans="1:30" ht="12.75" hidden="1" customHeight="1" x14ac:dyDescent="0.2">
      <c r="A541" s="121"/>
      <c r="D541" s="117"/>
      <c r="E541" s="117"/>
      <c r="I541" s="118"/>
      <c r="J541" s="13"/>
      <c r="K541" s="269"/>
      <c r="L541" s="57"/>
      <c r="M541" s="119"/>
      <c r="N541" s="57"/>
      <c r="O541" s="57"/>
      <c r="P541" s="57"/>
      <c r="Q541" s="57"/>
      <c r="R541" s="57"/>
      <c r="S541" s="119"/>
      <c r="T541" s="57"/>
      <c r="AD541" s="122"/>
    </row>
    <row r="542" spans="1:30" ht="12.75" hidden="1" customHeight="1" x14ac:dyDescent="0.2">
      <c r="A542" s="121"/>
      <c r="D542" s="117"/>
      <c r="E542" s="117"/>
      <c r="I542" s="118"/>
      <c r="J542" s="13"/>
      <c r="K542" s="269"/>
      <c r="L542" s="57"/>
      <c r="M542" s="119"/>
      <c r="N542" s="57"/>
      <c r="O542" s="57"/>
      <c r="P542" s="57"/>
      <c r="Q542" s="57"/>
      <c r="R542" s="57"/>
      <c r="S542" s="119"/>
      <c r="T542" s="57"/>
      <c r="AD542" s="122"/>
    </row>
    <row r="543" spans="1:30" ht="12.75" hidden="1" customHeight="1" x14ac:dyDescent="0.2">
      <c r="A543" s="121"/>
      <c r="D543" s="117"/>
      <c r="E543" s="117"/>
      <c r="I543" s="118"/>
      <c r="J543" s="13"/>
      <c r="K543" s="269"/>
      <c r="L543" s="57"/>
      <c r="M543" s="119"/>
      <c r="N543" s="57"/>
      <c r="O543" s="57"/>
      <c r="P543" s="57"/>
      <c r="Q543" s="57"/>
      <c r="R543" s="57"/>
      <c r="S543" s="119"/>
      <c r="T543" s="57"/>
      <c r="AD543" s="122"/>
    </row>
    <row r="544" spans="1:30" ht="12.75" hidden="1" customHeight="1" x14ac:dyDescent="0.2">
      <c r="A544" s="121"/>
      <c r="D544" s="117"/>
      <c r="E544" s="117"/>
      <c r="I544" s="118"/>
      <c r="J544" s="13"/>
      <c r="K544" s="269"/>
      <c r="L544" s="57"/>
      <c r="M544" s="119"/>
      <c r="N544" s="57"/>
      <c r="O544" s="57"/>
      <c r="P544" s="57"/>
      <c r="Q544" s="57"/>
      <c r="R544" s="57"/>
      <c r="S544" s="119"/>
      <c r="T544" s="57"/>
      <c r="AD544" s="122"/>
    </row>
    <row r="545" spans="1:30" ht="12.75" hidden="1" customHeight="1" x14ac:dyDescent="0.2">
      <c r="A545" s="121"/>
      <c r="D545" s="117"/>
      <c r="E545" s="117"/>
      <c r="I545" s="118"/>
      <c r="J545" s="13"/>
      <c r="K545" s="269"/>
      <c r="L545" s="57"/>
      <c r="M545" s="119"/>
      <c r="N545" s="57"/>
      <c r="O545" s="57"/>
      <c r="P545" s="57"/>
      <c r="Q545" s="57"/>
      <c r="R545" s="57"/>
      <c r="S545" s="119"/>
      <c r="T545" s="57"/>
      <c r="AD545" s="122"/>
    </row>
    <row r="546" spans="1:30" ht="12.75" hidden="1" customHeight="1" x14ac:dyDescent="0.2">
      <c r="A546" s="121"/>
      <c r="D546" s="117"/>
      <c r="E546" s="117"/>
      <c r="I546" s="118"/>
      <c r="J546" s="13"/>
      <c r="K546" s="269"/>
      <c r="L546" s="57"/>
      <c r="M546" s="119"/>
      <c r="N546" s="57"/>
      <c r="O546" s="57"/>
      <c r="P546" s="57"/>
      <c r="Q546" s="57"/>
      <c r="R546" s="57"/>
      <c r="S546" s="119"/>
      <c r="T546" s="57"/>
      <c r="AD546" s="122"/>
    </row>
    <row r="547" spans="1:30" ht="12.75" hidden="1" customHeight="1" x14ac:dyDescent="0.2">
      <c r="A547" s="121"/>
      <c r="D547" s="117"/>
      <c r="E547" s="117"/>
      <c r="I547" s="118"/>
      <c r="J547" s="13"/>
      <c r="K547" s="269"/>
      <c r="L547" s="57"/>
      <c r="M547" s="119"/>
      <c r="N547" s="57"/>
      <c r="O547" s="57"/>
      <c r="P547" s="57"/>
      <c r="Q547" s="57"/>
      <c r="R547" s="57"/>
      <c r="S547" s="119"/>
      <c r="T547" s="57"/>
      <c r="AD547" s="122"/>
    </row>
    <row r="548" spans="1:30" ht="12.75" hidden="1" customHeight="1" x14ac:dyDescent="0.2">
      <c r="A548" s="121"/>
      <c r="D548" s="117"/>
      <c r="E548" s="117"/>
      <c r="I548" s="118"/>
      <c r="J548" s="13"/>
      <c r="K548" s="269"/>
      <c r="L548" s="57"/>
      <c r="M548" s="119"/>
      <c r="N548" s="57"/>
      <c r="O548" s="57"/>
      <c r="P548" s="57"/>
      <c r="Q548" s="57"/>
      <c r="R548" s="57"/>
      <c r="S548" s="119"/>
      <c r="T548" s="57"/>
      <c r="AD548" s="122"/>
    </row>
    <row r="549" spans="1:30" ht="12.75" hidden="1" customHeight="1" x14ac:dyDescent="0.2">
      <c r="A549" s="121"/>
      <c r="D549" s="117"/>
      <c r="E549" s="117"/>
      <c r="I549" s="118"/>
      <c r="J549" s="13"/>
      <c r="K549" s="269"/>
      <c r="L549" s="57"/>
      <c r="M549" s="119"/>
      <c r="N549" s="57"/>
      <c r="O549" s="57"/>
      <c r="P549" s="57"/>
      <c r="Q549" s="57"/>
      <c r="R549" s="57"/>
      <c r="S549" s="119"/>
      <c r="T549" s="57"/>
      <c r="AD549" s="122"/>
    </row>
    <row r="550" spans="1:30" ht="12.75" hidden="1" customHeight="1" x14ac:dyDescent="0.2">
      <c r="A550" s="121"/>
      <c r="D550" s="117"/>
      <c r="E550" s="117"/>
      <c r="I550" s="118"/>
      <c r="J550" s="13"/>
      <c r="K550" s="269"/>
      <c r="L550" s="57"/>
      <c r="M550" s="119"/>
      <c r="N550" s="57"/>
      <c r="O550" s="57"/>
      <c r="P550" s="57"/>
      <c r="Q550" s="57"/>
      <c r="R550" s="57"/>
      <c r="S550" s="119"/>
      <c r="T550" s="57"/>
      <c r="AD550" s="122"/>
    </row>
    <row r="551" spans="1:30" ht="12.75" hidden="1" customHeight="1" x14ac:dyDescent="0.2">
      <c r="A551" s="121"/>
      <c r="D551" s="117"/>
      <c r="E551" s="117"/>
      <c r="I551" s="118"/>
      <c r="J551" s="13"/>
      <c r="K551" s="269"/>
      <c r="L551" s="57"/>
      <c r="M551" s="119"/>
      <c r="N551" s="57"/>
      <c r="O551" s="57"/>
      <c r="P551" s="57"/>
      <c r="Q551" s="57"/>
      <c r="R551" s="57"/>
      <c r="S551" s="119"/>
      <c r="T551" s="57"/>
      <c r="AD551" s="122"/>
    </row>
    <row r="552" spans="1:30" ht="12.75" hidden="1" customHeight="1" x14ac:dyDescent="0.2">
      <c r="A552" s="121"/>
      <c r="D552" s="117"/>
      <c r="E552" s="117"/>
      <c r="I552" s="118"/>
      <c r="J552" s="13"/>
      <c r="K552" s="269"/>
      <c r="L552" s="57"/>
      <c r="M552" s="119"/>
      <c r="N552" s="57"/>
      <c r="O552" s="57"/>
      <c r="P552" s="57"/>
      <c r="Q552" s="57"/>
      <c r="R552" s="57"/>
      <c r="S552" s="119"/>
      <c r="T552" s="57"/>
      <c r="AD552" s="122"/>
    </row>
    <row r="553" spans="1:30" ht="12.75" hidden="1" customHeight="1" x14ac:dyDescent="0.2">
      <c r="A553" s="121"/>
      <c r="D553" s="117"/>
      <c r="E553" s="117"/>
      <c r="I553" s="118"/>
      <c r="J553" s="13"/>
      <c r="K553" s="269"/>
      <c r="L553" s="57"/>
      <c r="M553" s="119"/>
      <c r="N553" s="57"/>
      <c r="O553" s="57"/>
      <c r="P553" s="57"/>
      <c r="Q553" s="57"/>
      <c r="R553" s="57"/>
      <c r="S553" s="119"/>
      <c r="T553" s="57"/>
      <c r="AD553" s="122"/>
    </row>
    <row r="554" spans="1:30" ht="12.75" hidden="1" customHeight="1" x14ac:dyDescent="0.2">
      <c r="A554" s="121"/>
      <c r="D554" s="117"/>
      <c r="E554" s="117"/>
      <c r="I554" s="118"/>
      <c r="J554" s="13"/>
      <c r="K554" s="269"/>
      <c r="L554" s="57"/>
      <c r="M554" s="119"/>
      <c r="N554" s="57"/>
      <c r="O554" s="57"/>
      <c r="P554" s="57"/>
      <c r="Q554" s="57"/>
      <c r="R554" s="57"/>
      <c r="S554" s="119"/>
      <c r="T554" s="57"/>
      <c r="AD554" s="122"/>
    </row>
    <row r="555" spans="1:30" ht="12.75" hidden="1" customHeight="1" x14ac:dyDescent="0.2">
      <c r="A555" s="121"/>
      <c r="D555" s="117"/>
      <c r="E555" s="117"/>
      <c r="I555" s="118"/>
      <c r="J555" s="13"/>
      <c r="K555" s="269"/>
      <c r="L555" s="57"/>
      <c r="M555" s="119"/>
      <c r="N555" s="57"/>
      <c r="O555" s="57"/>
      <c r="P555" s="57"/>
      <c r="Q555" s="57"/>
      <c r="R555" s="57"/>
      <c r="S555" s="119"/>
      <c r="T555" s="57"/>
      <c r="AD555" s="122"/>
    </row>
    <row r="556" spans="1:30" ht="12.75" hidden="1" customHeight="1" x14ac:dyDescent="0.2">
      <c r="A556" s="121"/>
      <c r="D556" s="117"/>
      <c r="E556" s="117"/>
      <c r="I556" s="118"/>
      <c r="J556" s="13"/>
      <c r="K556" s="269"/>
      <c r="L556" s="57"/>
      <c r="M556" s="119"/>
      <c r="N556" s="57"/>
      <c r="O556" s="57"/>
      <c r="P556" s="57"/>
      <c r="Q556" s="57"/>
      <c r="R556" s="57"/>
      <c r="S556" s="119"/>
      <c r="T556" s="57"/>
      <c r="AD556" s="122"/>
    </row>
    <row r="557" spans="1:30" ht="12.75" hidden="1" customHeight="1" x14ac:dyDescent="0.2">
      <c r="A557" s="121"/>
      <c r="D557" s="117"/>
      <c r="E557" s="117"/>
      <c r="I557" s="118"/>
      <c r="J557" s="13"/>
      <c r="K557" s="269"/>
      <c r="L557" s="57"/>
      <c r="M557" s="119"/>
      <c r="N557" s="57"/>
      <c r="O557" s="57"/>
      <c r="P557" s="57"/>
      <c r="Q557" s="57"/>
      <c r="R557" s="57"/>
      <c r="S557" s="119"/>
      <c r="T557" s="57"/>
      <c r="AD557" s="122"/>
    </row>
    <row r="558" spans="1:30" ht="12.75" hidden="1" customHeight="1" x14ac:dyDescent="0.2">
      <c r="A558" s="121"/>
      <c r="D558" s="117"/>
      <c r="E558" s="117"/>
      <c r="I558" s="118"/>
      <c r="J558" s="13"/>
      <c r="K558" s="269"/>
      <c r="L558" s="57"/>
      <c r="M558" s="119"/>
      <c r="N558" s="57"/>
      <c r="O558" s="57"/>
      <c r="P558" s="57"/>
      <c r="Q558" s="57"/>
      <c r="R558" s="57"/>
      <c r="S558" s="119"/>
      <c r="T558" s="57"/>
      <c r="AD558" s="122"/>
    </row>
    <row r="559" spans="1:30" ht="12.75" hidden="1" customHeight="1" x14ac:dyDescent="0.2">
      <c r="A559" s="121"/>
      <c r="D559" s="117"/>
      <c r="E559" s="117"/>
      <c r="I559" s="118"/>
      <c r="J559" s="13"/>
      <c r="K559" s="269"/>
      <c r="L559" s="57"/>
      <c r="M559" s="119"/>
      <c r="N559" s="57"/>
      <c r="O559" s="57"/>
      <c r="P559" s="57"/>
      <c r="Q559" s="57"/>
      <c r="R559" s="57"/>
      <c r="S559" s="119"/>
      <c r="T559" s="57"/>
      <c r="AD559" s="122"/>
    </row>
    <row r="560" spans="1:30" ht="12.75" hidden="1" customHeight="1" x14ac:dyDescent="0.2">
      <c r="A560" s="121"/>
      <c r="D560" s="117"/>
      <c r="E560" s="117"/>
      <c r="I560" s="118"/>
      <c r="J560" s="13"/>
      <c r="K560" s="269"/>
      <c r="L560" s="57"/>
      <c r="M560" s="119"/>
      <c r="N560" s="57"/>
      <c r="O560" s="57"/>
      <c r="P560" s="57"/>
      <c r="Q560" s="57"/>
      <c r="R560" s="57"/>
      <c r="S560" s="119"/>
      <c r="T560" s="57"/>
      <c r="AD560" s="122"/>
    </row>
    <row r="561" spans="1:30" ht="12.75" hidden="1" customHeight="1" x14ac:dyDescent="0.2">
      <c r="A561" s="121"/>
      <c r="D561" s="117"/>
      <c r="E561" s="117"/>
      <c r="I561" s="118"/>
      <c r="J561" s="13"/>
      <c r="K561" s="269"/>
      <c r="L561" s="57"/>
      <c r="M561" s="119"/>
      <c r="N561" s="57"/>
      <c r="O561" s="57"/>
      <c r="P561" s="57"/>
      <c r="Q561" s="57"/>
      <c r="R561" s="57"/>
      <c r="S561" s="119"/>
      <c r="T561" s="57"/>
      <c r="AD561" s="122"/>
    </row>
    <row r="562" spans="1:30" ht="12.75" hidden="1" customHeight="1" x14ac:dyDescent="0.2">
      <c r="A562" s="121"/>
      <c r="D562" s="117"/>
      <c r="E562" s="117"/>
      <c r="I562" s="118"/>
      <c r="J562" s="13"/>
      <c r="K562" s="269"/>
      <c r="L562" s="57"/>
      <c r="M562" s="119"/>
      <c r="N562" s="57"/>
      <c r="O562" s="57"/>
      <c r="P562" s="57"/>
      <c r="Q562" s="57"/>
      <c r="R562" s="57"/>
      <c r="S562" s="119"/>
      <c r="T562" s="57"/>
      <c r="AD562" s="122"/>
    </row>
    <row r="563" spans="1:30" ht="12.75" hidden="1" customHeight="1" x14ac:dyDescent="0.2">
      <c r="A563" s="121"/>
      <c r="D563" s="117"/>
      <c r="E563" s="117"/>
      <c r="I563" s="118"/>
      <c r="J563" s="13"/>
      <c r="K563" s="269"/>
      <c r="L563" s="57"/>
      <c r="M563" s="119"/>
      <c r="N563" s="57"/>
      <c r="O563" s="57"/>
      <c r="P563" s="57"/>
      <c r="Q563" s="57"/>
      <c r="R563" s="57"/>
      <c r="S563" s="119"/>
      <c r="T563" s="57"/>
      <c r="AD563" s="122"/>
    </row>
    <row r="564" spans="1:30" ht="12.75" hidden="1" customHeight="1" x14ac:dyDescent="0.2">
      <c r="A564" s="121"/>
      <c r="D564" s="117"/>
      <c r="E564" s="117"/>
      <c r="I564" s="118"/>
      <c r="J564" s="13"/>
      <c r="K564" s="269"/>
      <c r="L564" s="57"/>
      <c r="M564" s="119"/>
      <c r="N564" s="57"/>
      <c r="O564" s="57"/>
      <c r="P564" s="57"/>
      <c r="Q564" s="57"/>
      <c r="R564" s="57"/>
      <c r="S564" s="119"/>
      <c r="T564" s="57"/>
      <c r="AD564" s="122"/>
    </row>
    <row r="565" spans="1:30" ht="12.75" hidden="1" customHeight="1" x14ac:dyDescent="0.2">
      <c r="A565" s="121"/>
      <c r="D565" s="117"/>
      <c r="E565" s="117"/>
      <c r="I565" s="118"/>
      <c r="J565" s="13"/>
      <c r="K565" s="269"/>
      <c r="L565" s="57"/>
      <c r="M565" s="119"/>
      <c r="N565" s="57"/>
      <c r="O565" s="57"/>
      <c r="P565" s="57"/>
      <c r="Q565" s="57"/>
      <c r="R565" s="57"/>
      <c r="S565" s="119"/>
      <c r="T565" s="57"/>
      <c r="AD565" s="122"/>
    </row>
    <row r="566" spans="1:30" ht="12.75" hidden="1" customHeight="1" x14ac:dyDescent="0.2">
      <c r="A566" s="121"/>
      <c r="D566" s="117"/>
      <c r="E566" s="117"/>
      <c r="I566" s="118"/>
      <c r="J566" s="13"/>
      <c r="K566" s="269"/>
      <c r="L566" s="57"/>
      <c r="M566" s="119"/>
      <c r="N566" s="57"/>
      <c r="O566" s="57"/>
      <c r="P566" s="57"/>
      <c r="Q566" s="57"/>
      <c r="R566" s="57"/>
      <c r="S566" s="119"/>
      <c r="T566" s="57"/>
      <c r="AD566" s="122"/>
    </row>
    <row r="567" spans="1:30" ht="12.75" hidden="1" customHeight="1" x14ac:dyDescent="0.2">
      <c r="A567" s="121"/>
      <c r="D567" s="117"/>
      <c r="E567" s="117"/>
      <c r="I567" s="118"/>
      <c r="J567" s="13"/>
      <c r="K567" s="269"/>
      <c r="L567" s="57"/>
      <c r="M567" s="119"/>
      <c r="N567" s="57"/>
      <c r="O567" s="57"/>
      <c r="P567" s="57"/>
      <c r="Q567" s="57"/>
      <c r="R567" s="57"/>
      <c r="S567" s="119"/>
      <c r="T567" s="57"/>
      <c r="AD567" s="122"/>
    </row>
    <row r="568" spans="1:30" ht="12.75" hidden="1" customHeight="1" x14ac:dyDescent="0.2">
      <c r="A568" s="121"/>
      <c r="D568" s="117"/>
      <c r="E568" s="117"/>
      <c r="I568" s="118"/>
      <c r="J568" s="13"/>
      <c r="K568" s="269"/>
      <c r="L568" s="57"/>
      <c r="M568" s="119"/>
      <c r="N568" s="57"/>
      <c r="O568" s="57"/>
      <c r="P568" s="57"/>
      <c r="Q568" s="57"/>
      <c r="R568" s="57"/>
      <c r="S568" s="119"/>
      <c r="T568" s="57"/>
      <c r="AD568" s="122"/>
    </row>
    <row r="569" spans="1:30" ht="12.75" hidden="1" customHeight="1" x14ac:dyDescent="0.2">
      <c r="A569" s="121"/>
      <c r="D569" s="117"/>
      <c r="E569" s="117"/>
      <c r="I569" s="118"/>
      <c r="J569" s="13"/>
      <c r="K569" s="269"/>
      <c r="L569" s="57"/>
      <c r="M569" s="119"/>
      <c r="N569" s="57"/>
      <c r="O569" s="57"/>
      <c r="P569" s="57"/>
      <c r="Q569" s="57"/>
      <c r="R569" s="57"/>
      <c r="S569" s="119"/>
      <c r="T569" s="57"/>
      <c r="AD569" s="122"/>
    </row>
    <row r="570" spans="1:30" ht="12.75" hidden="1" customHeight="1" x14ac:dyDescent="0.2">
      <c r="A570" s="121"/>
      <c r="D570" s="117"/>
      <c r="E570" s="117"/>
      <c r="I570" s="118"/>
      <c r="J570" s="13"/>
      <c r="K570" s="269"/>
      <c r="L570" s="57"/>
      <c r="M570" s="119"/>
      <c r="N570" s="57"/>
      <c r="O570" s="57"/>
      <c r="P570" s="57"/>
      <c r="Q570" s="57"/>
      <c r="R570" s="57"/>
      <c r="S570" s="119"/>
      <c r="T570" s="57"/>
      <c r="AD570" s="122"/>
    </row>
    <row r="571" spans="1:30" ht="12.75" hidden="1" customHeight="1" x14ac:dyDescent="0.2">
      <c r="A571" s="121"/>
      <c r="D571" s="117"/>
      <c r="E571" s="117"/>
      <c r="I571" s="118"/>
      <c r="J571" s="13"/>
      <c r="K571" s="269"/>
      <c r="L571" s="57"/>
      <c r="M571" s="119"/>
      <c r="N571" s="57"/>
      <c r="O571" s="57"/>
      <c r="P571" s="57"/>
      <c r="Q571" s="57"/>
      <c r="R571" s="57"/>
      <c r="S571" s="119"/>
      <c r="T571" s="57"/>
      <c r="AD571" s="122"/>
    </row>
    <row r="572" spans="1:30" ht="12.75" hidden="1" customHeight="1" x14ac:dyDescent="0.2">
      <c r="A572" s="121"/>
      <c r="D572" s="117"/>
      <c r="E572" s="117"/>
      <c r="I572" s="118"/>
      <c r="J572" s="13"/>
      <c r="K572" s="269"/>
      <c r="L572" s="57"/>
      <c r="M572" s="119"/>
      <c r="N572" s="57"/>
      <c r="O572" s="57"/>
      <c r="P572" s="57"/>
      <c r="Q572" s="57"/>
      <c r="R572" s="57"/>
      <c r="S572" s="119"/>
      <c r="T572" s="57"/>
      <c r="AD572" s="122"/>
    </row>
    <row r="573" spans="1:30" ht="12.75" hidden="1" customHeight="1" x14ac:dyDescent="0.2">
      <c r="A573" s="121"/>
      <c r="D573" s="117"/>
      <c r="E573" s="117"/>
      <c r="I573" s="118"/>
      <c r="J573" s="13"/>
      <c r="K573" s="269"/>
      <c r="L573" s="57"/>
      <c r="M573" s="119"/>
      <c r="N573" s="57"/>
      <c r="O573" s="57"/>
      <c r="P573" s="57"/>
      <c r="Q573" s="57"/>
      <c r="R573" s="57"/>
      <c r="S573" s="119"/>
      <c r="T573" s="57"/>
      <c r="AD573" s="122"/>
    </row>
    <row r="574" spans="1:30" ht="12.75" hidden="1" customHeight="1" x14ac:dyDescent="0.2">
      <c r="A574" s="121"/>
      <c r="D574" s="117"/>
      <c r="E574" s="117"/>
      <c r="I574" s="118"/>
      <c r="J574" s="13"/>
      <c r="K574" s="269"/>
      <c r="L574" s="57"/>
      <c r="M574" s="119"/>
      <c r="N574" s="57"/>
      <c r="O574" s="57"/>
      <c r="P574" s="57"/>
      <c r="Q574" s="57"/>
      <c r="R574" s="57"/>
      <c r="S574" s="119"/>
      <c r="T574" s="57"/>
      <c r="AD574" s="122"/>
    </row>
    <row r="575" spans="1:30" ht="12.75" hidden="1" customHeight="1" x14ac:dyDescent="0.2">
      <c r="A575" s="121"/>
      <c r="D575" s="117"/>
      <c r="E575" s="117"/>
      <c r="I575" s="118"/>
      <c r="J575" s="13"/>
      <c r="K575" s="269"/>
      <c r="L575" s="57"/>
      <c r="M575" s="119"/>
      <c r="N575" s="57"/>
      <c r="O575" s="57"/>
      <c r="P575" s="57"/>
      <c r="Q575" s="57"/>
      <c r="R575" s="57"/>
      <c r="S575" s="119"/>
      <c r="T575" s="57"/>
      <c r="AD575" s="122"/>
    </row>
    <row r="576" spans="1:30" ht="12.75" hidden="1" customHeight="1" x14ac:dyDescent="0.2">
      <c r="A576" s="121"/>
      <c r="D576" s="117"/>
      <c r="E576" s="117"/>
      <c r="I576" s="118"/>
      <c r="J576" s="13"/>
      <c r="K576" s="269"/>
      <c r="L576" s="57"/>
      <c r="M576" s="119"/>
      <c r="N576" s="57"/>
      <c r="O576" s="57"/>
      <c r="P576" s="57"/>
      <c r="Q576" s="57"/>
      <c r="R576" s="57"/>
      <c r="S576" s="119"/>
      <c r="T576" s="57"/>
      <c r="AD576" s="122"/>
    </row>
    <row r="577" spans="1:30" ht="12.75" hidden="1" customHeight="1" x14ac:dyDescent="0.2">
      <c r="A577" s="121"/>
      <c r="D577" s="117"/>
      <c r="E577" s="117"/>
      <c r="I577" s="118"/>
      <c r="J577" s="13"/>
      <c r="K577" s="269"/>
      <c r="L577" s="57"/>
      <c r="M577" s="119"/>
      <c r="N577" s="57"/>
      <c r="O577" s="57"/>
      <c r="P577" s="57"/>
      <c r="Q577" s="57"/>
      <c r="R577" s="57"/>
      <c r="S577" s="119"/>
      <c r="T577" s="57"/>
      <c r="AD577" s="122"/>
    </row>
    <row r="578" spans="1:30" ht="12.75" hidden="1" customHeight="1" x14ac:dyDescent="0.2">
      <c r="A578" s="121"/>
      <c r="D578" s="117"/>
      <c r="E578" s="117"/>
      <c r="I578" s="118"/>
      <c r="J578" s="13"/>
      <c r="K578" s="269"/>
      <c r="L578" s="57"/>
      <c r="M578" s="119"/>
      <c r="N578" s="57"/>
      <c r="O578" s="57"/>
      <c r="P578" s="57"/>
      <c r="Q578" s="57"/>
      <c r="R578" s="57"/>
      <c r="S578" s="119"/>
      <c r="T578" s="57"/>
      <c r="AD578" s="122"/>
    </row>
    <row r="579" spans="1:30" ht="12.75" hidden="1" customHeight="1" x14ac:dyDescent="0.2">
      <c r="A579" s="121"/>
      <c r="D579" s="117"/>
      <c r="E579" s="117"/>
      <c r="I579" s="118"/>
      <c r="J579" s="13"/>
      <c r="K579" s="269"/>
      <c r="L579" s="57"/>
      <c r="M579" s="119"/>
      <c r="N579" s="57"/>
      <c r="O579" s="57"/>
      <c r="P579" s="57"/>
      <c r="Q579" s="57"/>
      <c r="R579" s="57"/>
      <c r="S579" s="119"/>
      <c r="T579" s="57"/>
      <c r="AD579" s="122"/>
    </row>
    <row r="580" spans="1:30" ht="12.75" hidden="1" customHeight="1" x14ac:dyDescent="0.2">
      <c r="A580" s="121"/>
      <c r="D580" s="117"/>
      <c r="E580" s="117"/>
      <c r="I580" s="118"/>
      <c r="J580" s="13"/>
      <c r="K580" s="269"/>
      <c r="L580" s="57"/>
      <c r="M580" s="119"/>
      <c r="N580" s="57"/>
      <c r="O580" s="57"/>
      <c r="P580" s="57"/>
      <c r="Q580" s="57"/>
      <c r="R580" s="57"/>
      <c r="S580" s="119"/>
      <c r="T580" s="57"/>
      <c r="AD580" s="122"/>
    </row>
    <row r="581" spans="1:30" ht="12.75" hidden="1" customHeight="1" x14ac:dyDescent="0.2">
      <c r="A581" s="121"/>
      <c r="D581" s="117"/>
      <c r="E581" s="117"/>
      <c r="I581" s="118"/>
      <c r="J581" s="13"/>
      <c r="K581" s="269"/>
      <c r="L581" s="57"/>
      <c r="M581" s="119"/>
      <c r="N581" s="57"/>
      <c r="O581" s="57"/>
      <c r="P581" s="57"/>
      <c r="Q581" s="57"/>
      <c r="R581" s="57"/>
      <c r="S581" s="119"/>
      <c r="T581" s="57"/>
      <c r="AD581" s="122"/>
    </row>
    <row r="582" spans="1:30" ht="12.75" hidden="1" customHeight="1" x14ac:dyDescent="0.2">
      <c r="A582" s="121"/>
      <c r="D582" s="117"/>
      <c r="E582" s="117"/>
      <c r="I582" s="118"/>
      <c r="J582" s="13"/>
      <c r="K582" s="269"/>
      <c r="L582" s="57"/>
      <c r="M582" s="119"/>
      <c r="N582" s="57"/>
      <c r="O582" s="57"/>
      <c r="P582" s="57"/>
      <c r="Q582" s="57"/>
      <c r="R582" s="57"/>
      <c r="S582" s="119"/>
      <c r="T582" s="57"/>
      <c r="AD582" s="122"/>
    </row>
    <row r="583" spans="1:30" ht="12.75" hidden="1" customHeight="1" x14ac:dyDescent="0.2">
      <c r="A583" s="121"/>
      <c r="D583" s="117"/>
      <c r="E583" s="117"/>
      <c r="I583" s="118"/>
      <c r="J583" s="13"/>
      <c r="K583" s="269"/>
      <c r="L583" s="57"/>
      <c r="M583" s="119"/>
      <c r="N583" s="57"/>
      <c r="O583" s="57"/>
      <c r="P583" s="57"/>
      <c r="Q583" s="57"/>
      <c r="R583" s="57"/>
      <c r="S583" s="119"/>
      <c r="T583" s="57"/>
      <c r="AD583" s="122"/>
    </row>
    <row r="584" spans="1:30" ht="12.75" hidden="1" customHeight="1" x14ac:dyDescent="0.2">
      <c r="A584" s="121"/>
      <c r="D584" s="117"/>
      <c r="E584" s="117"/>
      <c r="I584" s="118"/>
      <c r="J584" s="13"/>
      <c r="K584" s="269"/>
      <c r="L584" s="57"/>
      <c r="M584" s="119"/>
      <c r="N584" s="57"/>
      <c r="O584" s="57"/>
      <c r="P584" s="57"/>
      <c r="Q584" s="57"/>
      <c r="R584" s="57"/>
      <c r="S584" s="119"/>
      <c r="T584" s="57"/>
      <c r="AD584" s="122"/>
    </row>
    <row r="585" spans="1:30" ht="12.75" hidden="1" customHeight="1" x14ac:dyDescent="0.2">
      <c r="A585" s="121"/>
      <c r="D585" s="117"/>
      <c r="E585" s="117"/>
      <c r="I585" s="118"/>
      <c r="J585" s="13"/>
      <c r="K585" s="269"/>
      <c r="L585" s="57"/>
      <c r="M585" s="119"/>
      <c r="N585" s="57"/>
      <c r="O585" s="57"/>
      <c r="P585" s="57"/>
      <c r="Q585" s="57"/>
      <c r="R585" s="57"/>
      <c r="S585" s="119"/>
      <c r="T585" s="57"/>
      <c r="AD585" s="122"/>
    </row>
    <row r="586" spans="1:30" ht="12.75" hidden="1" customHeight="1" x14ac:dyDescent="0.2">
      <c r="A586" s="121"/>
      <c r="D586" s="117"/>
      <c r="E586" s="117"/>
      <c r="I586" s="118"/>
      <c r="J586" s="13"/>
      <c r="K586" s="269"/>
      <c r="L586" s="57"/>
      <c r="M586" s="119"/>
      <c r="N586" s="57"/>
      <c r="O586" s="57"/>
      <c r="P586" s="57"/>
      <c r="Q586" s="57"/>
      <c r="R586" s="57"/>
      <c r="S586" s="119"/>
      <c r="T586" s="57"/>
      <c r="AD586" s="122"/>
    </row>
    <row r="587" spans="1:30" ht="12.75" hidden="1" customHeight="1" x14ac:dyDescent="0.2">
      <c r="A587" s="121"/>
      <c r="D587" s="117"/>
      <c r="E587" s="117"/>
      <c r="I587" s="118"/>
      <c r="J587" s="13"/>
      <c r="K587" s="269"/>
      <c r="L587" s="57"/>
      <c r="M587" s="119"/>
      <c r="N587" s="57"/>
      <c r="O587" s="57"/>
      <c r="P587" s="57"/>
      <c r="Q587" s="57"/>
      <c r="R587" s="57"/>
      <c r="S587" s="119"/>
      <c r="T587" s="57"/>
      <c r="AD587" s="122"/>
    </row>
    <row r="588" spans="1:30" ht="12.75" hidden="1" customHeight="1" x14ac:dyDescent="0.2">
      <c r="A588" s="121"/>
      <c r="D588" s="117"/>
      <c r="E588" s="117"/>
      <c r="I588" s="118"/>
      <c r="J588" s="13"/>
      <c r="K588" s="269"/>
      <c r="L588" s="57"/>
      <c r="M588" s="119"/>
      <c r="N588" s="57"/>
      <c r="O588" s="57"/>
      <c r="P588" s="57"/>
      <c r="Q588" s="57"/>
      <c r="R588" s="57"/>
      <c r="S588" s="119"/>
      <c r="T588" s="57"/>
      <c r="AD588" s="122"/>
    </row>
    <row r="589" spans="1:30" ht="12.75" hidden="1" customHeight="1" x14ac:dyDescent="0.2">
      <c r="A589" s="121"/>
      <c r="D589" s="117"/>
      <c r="E589" s="117"/>
      <c r="I589" s="118"/>
      <c r="J589" s="13"/>
      <c r="K589" s="269"/>
      <c r="L589" s="57"/>
      <c r="M589" s="119"/>
      <c r="N589" s="57"/>
      <c r="O589" s="57"/>
      <c r="P589" s="57"/>
      <c r="Q589" s="57"/>
      <c r="R589" s="57"/>
      <c r="S589" s="119"/>
      <c r="T589" s="57"/>
      <c r="AD589" s="122"/>
    </row>
    <row r="590" spans="1:30" ht="12.75" hidden="1" customHeight="1" x14ac:dyDescent="0.2">
      <c r="A590" s="121"/>
      <c r="D590" s="117"/>
      <c r="E590" s="117"/>
      <c r="I590" s="118"/>
      <c r="J590" s="13"/>
      <c r="K590" s="269"/>
      <c r="L590" s="57"/>
      <c r="M590" s="119"/>
      <c r="N590" s="57"/>
      <c r="O590" s="57"/>
      <c r="P590" s="57"/>
      <c r="Q590" s="57"/>
      <c r="R590" s="57"/>
      <c r="S590" s="119"/>
      <c r="T590" s="57"/>
      <c r="AD590" s="122"/>
    </row>
    <row r="591" spans="1:30" ht="12.75" hidden="1" customHeight="1" x14ac:dyDescent="0.2">
      <c r="A591" s="121"/>
      <c r="D591" s="117"/>
      <c r="E591" s="117"/>
      <c r="I591" s="118"/>
      <c r="J591" s="13"/>
      <c r="K591" s="269"/>
      <c r="L591" s="57"/>
      <c r="M591" s="119"/>
      <c r="N591" s="57"/>
      <c r="O591" s="57"/>
      <c r="P591" s="57"/>
      <c r="Q591" s="57"/>
      <c r="R591" s="57"/>
      <c r="S591" s="119"/>
      <c r="T591" s="57"/>
      <c r="AD591" s="122"/>
    </row>
    <row r="592" spans="1:30" ht="12.75" hidden="1" customHeight="1" x14ac:dyDescent="0.2">
      <c r="A592" s="121"/>
      <c r="D592" s="117"/>
      <c r="E592" s="117"/>
      <c r="I592" s="118"/>
      <c r="J592" s="13"/>
      <c r="K592" s="269"/>
      <c r="L592" s="57"/>
      <c r="M592" s="119"/>
      <c r="N592" s="57"/>
      <c r="O592" s="57"/>
      <c r="P592" s="57"/>
      <c r="Q592" s="57"/>
      <c r="R592" s="57"/>
      <c r="S592" s="119"/>
      <c r="T592" s="57"/>
      <c r="AD592" s="122"/>
    </row>
    <row r="593" spans="1:30" ht="12.75" hidden="1" customHeight="1" x14ac:dyDescent="0.2">
      <c r="A593" s="121"/>
      <c r="D593" s="117"/>
      <c r="E593" s="117"/>
      <c r="I593" s="118"/>
      <c r="J593" s="13"/>
      <c r="K593" s="269"/>
      <c r="L593" s="57"/>
      <c r="M593" s="119"/>
      <c r="N593" s="57"/>
      <c r="O593" s="57"/>
      <c r="P593" s="57"/>
      <c r="Q593" s="57"/>
      <c r="R593" s="57"/>
      <c r="S593" s="119"/>
      <c r="T593" s="57"/>
      <c r="AD593" s="122"/>
    </row>
    <row r="594" spans="1:30" ht="12.75" hidden="1" customHeight="1" x14ac:dyDescent="0.2">
      <c r="A594" s="121"/>
      <c r="D594" s="117"/>
      <c r="E594" s="117"/>
      <c r="I594" s="118"/>
      <c r="J594" s="13"/>
      <c r="K594" s="269"/>
      <c r="L594" s="57"/>
      <c r="M594" s="119"/>
      <c r="N594" s="57"/>
      <c r="O594" s="57"/>
      <c r="P594" s="57"/>
      <c r="Q594" s="57"/>
      <c r="R594" s="57"/>
      <c r="S594" s="119"/>
      <c r="T594" s="57"/>
      <c r="AD594" s="122"/>
    </row>
    <row r="595" spans="1:30" ht="12.75" hidden="1" customHeight="1" x14ac:dyDescent="0.2">
      <c r="A595" s="121"/>
      <c r="D595" s="117"/>
      <c r="E595" s="117"/>
      <c r="I595" s="118"/>
      <c r="J595" s="13"/>
      <c r="K595" s="269"/>
      <c r="L595" s="57"/>
      <c r="M595" s="119"/>
      <c r="N595" s="57"/>
      <c r="O595" s="57"/>
      <c r="P595" s="57"/>
      <c r="Q595" s="57"/>
      <c r="R595" s="57"/>
      <c r="S595" s="119"/>
      <c r="T595" s="57"/>
      <c r="AD595" s="122"/>
    </row>
    <row r="596" spans="1:30" ht="12.75" hidden="1" customHeight="1" x14ac:dyDescent="0.2">
      <c r="A596" s="121"/>
      <c r="D596" s="117"/>
      <c r="E596" s="117"/>
      <c r="I596" s="118"/>
      <c r="J596" s="13"/>
      <c r="K596" s="269"/>
      <c r="L596" s="57"/>
      <c r="M596" s="119"/>
      <c r="N596" s="57"/>
      <c r="O596" s="57"/>
      <c r="P596" s="57"/>
      <c r="Q596" s="57"/>
      <c r="R596" s="57"/>
      <c r="S596" s="119"/>
      <c r="T596" s="57"/>
      <c r="AD596" s="122"/>
    </row>
    <row r="597" spans="1:30" ht="12.75" hidden="1" customHeight="1" x14ac:dyDescent="0.2">
      <c r="A597" s="121"/>
      <c r="D597" s="117"/>
      <c r="E597" s="117"/>
      <c r="I597" s="118"/>
      <c r="J597" s="13"/>
      <c r="K597" s="269"/>
      <c r="L597" s="57"/>
      <c r="M597" s="119"/>
      <c r="N597" s="57"/>
      <c r="O597" s="57"/>
      <c r="P597" s="57"/>
      <c r="Q597" s="57"/>
      <c r="R597" s="57"/>
      <c r="S597" s="119"/>
      <c r="T597" s="57"/>
      <c r="AD597" s="122"/>
    </row>
    <row r="598" spans="1:30" ht="12.75" hidden="1" customHeight="1" x14ac:dyDescent="0.2">
      <c r="A598" s="121"/>
      <c r="D598" s="117"/>
      <c r="E598" s="117"/>
      <c r="I598" s="118"/>
      <c r="J598" s="13"/>
      <c r="K598" s="269"/>
      <c r="L598" s="57"/>
      <c r="M598" s="119"/>
      <c r="N598" s="57"/>
      <c r="O598" s="57"/>
      <c r="P598" s="57"/>
      <c r="Q598" s="57"/>
      <c r="R598" s="57"/>
      <c r="S598" s="119"/>
      <c r="T598" s="57"/>
      <c r="AD598" s="122"/>
    </row>
    <row r="599" spans="1:30" ht="12.75" hidden="1" customHeight="1" x14ac:dyDescent="0.2">
      <c r="A599" s="121"/>
      <c r="D599" s="117"/>
      <c r="E599" s="117"/>
      <c r="I599" s="118"/>
      <c r="J599" s="13"/>
      <c r="K599" s="269"/>
      <c r="L599" s="57"/>
      <c r="M599" s="119"/>
      <c r="N599" s="57"/>
      <c r="O599" s="57"/>
      <c r="P599" s="57"/>
      <c r="Q599" s="57"/>
      <c r="R599" s="57"/>
      <c r="S599" s="119"/>
      <c r="T599" s="57"/>
      <c r="AD599" s="122"/>
    </row>
    <row r="600" spans="1:30" ht="12.75" hidden="1" customHeight="1" x14ac:dyDescent="0.2">
      <c r="A600" s="121"/>
      <c r="D600" s="117"/>
      <c r="E600" s="117"/>
      <c r="I600" s="118"/>
      <c r="J600" s="13"/>
      <c r="K600" s="269"/>
      <c r="L600" s="57"/>
      <c r="M600" s="119"/>
      <c r="N600" s="57"/>
      <c r="O600" s="57"/>
      <c r="P600" s="57"/>
      <c r="Q600" s="57"/>
      <c r="R600" s="57"/>
      <c r="S600" s="119"/>
      <c r="T600" s="57"/>
      <c r="AD600" s="122"/>
    </row>
    <row r="601" spans="1:30" ht="12.75" hidden="1" customHeight="1" x14ac:dyDescent="0.2">
      <c r="A601" s="121"/>
      <c r="D601" s="117"/>
      <c r="E601" s="117"/>
      <c r="I601" s="118"/>
      <c r="J601" s="13"/>
      <c r="K601" s="269"/>
      <c r="L601" s="57"/>
      <c r="M601" s="119"/>
      <c r="N601" s="57"/>
      <c r="O601" s="57"/>
      <c r="P601" s="57"/>
      <c r="Q601" s="57"/>
      <c r="R601" s="57"/>
      <c r="S601" s="119"/>
      <c r="T601" s="57"/>
      <c r="AD601" s="122"/>
    </row>
    <row r="602" spans="1:30" ht="12.75" hidden="1" customHeight="1" x14ac:dyDescent="0.2">
      <c r="A602" s="121"/>
      <c r="D602" s="117"/>
      <c r="E602" s="117"/>
      <c r="I602" s="118"/>
      <c r="J602" s="13"/>
      <c r="K602" s="269"/>
      <c r="L602" s="57"/>
      <c r="M602" s="119"/>
      <c r="N602" s="57"/>
      <c r="O602" s="57"/>
      <c r="P602" s="57"/>
      <c r="Q602" s="57"/>
      <c r="R602" s="57"/>
      <c r="S602" s="119"/>
      <c r="T602" s="57"/>
      <c r="AD602" s="122"/>
    </row>
    <row r="603" spans="1:30" ht="12.75" hidden="1" customHeight="1" x14ac:dyDescent="0.2">
      <c r="A603" s="121"/>
      <c r="D603" s="117"/>
      <c r="E603" s="117"/>
      <c r="I603" s="118"/>
      <c r="J603" s="13"/>
      <c r="K603" s="269"/>
      <c r="L603" s="57"/>
      <c r="M603" s="119"/>
      <c r="N603" s="57"/>
      <c r="O603" s="57"/>
      <c r="P603" s="57"/>
      <c r="Q603" s="57"/>
      <c r="R603" s="57"/>
      <c r="S603" s="119"/>
      <c r="T603" s="57"/>
      <c r="AD603" s="122"/>
    </row>
    <row r="604" spans="1:30" ht="12.75" hidden="1" customHeight="1" x14ac:dyDescent="0.2">
      <c r="A604" s="121"/>
      <c r="D604" s="117"/>
      <c r="E604" s="117"/>
      <c r="I604" s="118"/>
      <c r="J604" s="13"/>
      <c r="K604" s="269"/>
      <c r="L604" s="57"/>
      <c r="M604" s="119"/>
      <c r="N604" s="57"/>
      <c r="O604" s="57"/>
      <c r="P604" s="57"/>
      <c r="Q604" s="57"/>
      <c r="R604" s="57"/>
      <c r="S604" s="119"/>
      <c r="T604" s="57"/>
      <c r="AD604" s="122"/>
    </row>
    <row r="605" spans="1:30" ht="12.75" hidden="1" customHeight="1" x14ac:dyDescent="0.2">
      <c r="A605" s="121"/>
      <c r="D605" s="117"/>
      <c r="E605" s="117"/>
      <c r="I605" s="118"/>
      <c r="J605" s="13"/>
      <c r="K605" s="269"/>
      <c r="L605" s="57"/>
      <c r="M605" s="119"/>
      <c r="N605" s="57"/>
      <c r="O605" s="57"/>
      <c r="P605" s="57"/>
      <c r="Q605" s="57"/>
      <c r="R605" s="57"/>
      <c r="S605" s="119"/>
      <c r="T605" s="57"/>
      <c r="AD605" s="122"/>
    </row>
    <row r="606" spans="1:30" ht="12.75" hidden="1" customHeight="1" x14ac:dyDescent="0.2">
      <c r="A606" s="121"/>
      <c r="D606" s="117"/>
      <c r="E606" s="117"/>
      <c r="I606" s="118"/>
      <c r="J606" s="13"/>
      <c r="K606" s="269"/>
      <c r="L606" s="57"/>
      <c r="M606" s="119"/>
      <c r="N606" s="57"/>
      <c r="O606" s="57"/>
      <c r="P606" s="57"/>
      <c r="Q606" s="57"/>
      <c r="R606" s="57"/>
      <c r="S606" s="119"/>
      <c r="T606" s="57"/>
      <c r="AD606" s="122"/>
    </row>
    <row r="607" spans="1:30" ht="12.75" hidden="1" customHeight="1" x14ac:dyDescent="0.2">
      <c r="A607" s="121"/>
      <c r="D607" s="117"/>
      <c r="E607" s="117"/>
      <c r="I607" s="118"/>
      <c r="J607" s="13"/>
      <c r="K607" s="269"/>
      <c r="L607" s="57"/>
      <c r="M607" s="119"/>
      <c r="N607" s="57"/>
      <c r="O607" s="57"/>
      <c r="P607" s="57"/>
      <c r="Q607" s="57"/>
      <c r="R607" s="57"/>
      <c r="S607" s="119"/>
      <c r="T607" s="57"/>
      <c r="AD607" s="122"/>
    </row>
    <row r="608" spans="1:30" ht="12.75" hidden="1" customHeight="1" x14ac:dyDescent="0.2">
      <c r="A608" s="121"/>
      <c r="D608" s="117"/>
      <c r="E608" s="117"/>
      <c r="I608" s="118"/>
      <c r="J608" s="13"/>
      <c r="K608" s="269"/>
      <c r="L608" s="57"/>
      <c r="M608" s="119"/>
      <c r="N608" s="57"/>
      <c r="O608" s="57"/>
      <c r="P608" s="57"/>
      <c r="Q608" s="57"/>
      <c r="R608" s="57"/>
      <c r="S608" s="119"/>
      <c r="T608" s="57"/>
      <c r="AD608" s="122"/>
    </row>
    <row r="609" spans="1:30" ht="12.75" hidden="1" customHeight="1" x14ac:dyDescent="0.2">
      <c r="A609" s="121"/>
      <c r="D609" s="117"/>
      <c r="E609" s="117"/>
      <c r="I609" s="118"/>
      <c r="J609" s="13"/>
      <c r="K609" s="269"/>
      <c r="L609" s="57"/>
      <c r="M609" s="119"/>
      <c r="N609" s="57"/>
      <c r="O609" s="57"/>
      <c r="P609" s="57"/>
      <c r="Q609" s="57"/>
      <c r="R609" s="57"/>
      <c r="S609" s="119"/>
      <c r="T609" s="57"/>
      <c r="AD609" s="122"/>
    </row>
    <row r="610" spans="1:30" ht="12.75" hidden="1" customHeight="1" x14ac:dyDescent="0.2">
      <c r="A610" s="121"/>
      <c r="D610" s="117"/>
      <c r="E610" s="117"/>
      <c r="I610" s="118"/>
      <c r="J610" s="13"/>
      <c r="K610" s="269"/>
      <c r="L610" s="57"/>
      <c r="M610" s="119"/>
      <c r="N610" s="57"/>
      <c r="O610" s="57"/>
      <c r="P610" s="57"/>
      <c r="Q610" s="57"/>
      <c r="R610" s="57"/>
      <c r="S610" s="119"/>
      <c r="T610" s="57"/>
      <c r="AD610" s="122"/>
    </row>
    <row r="611" spans="1:30" ht="12.75" hidden="1" customHeight="1" x14ac:dyDescent="0.2">
      <c r="A611" s="121"/>
      <c r="D611" s="117"/>
      <c r="E611" s="117"/>
      <c r="I611" s="118"/>
      <c r="J611" s="13"/>
      <c r="K611" s="269"/>
      <c r="L611" s="57"/>
      <c r="M611" s="119"/>
      <c r="N611" s="57"/>
      <c r="O611" s="57"/>
      <c r="P611" s="57"/>
      <c r="Q611" s="57"/>
      <c r="R611" s="57"/>
      <c r="S611" s="119"/>
      <c r="T611" s="57"/>
      <c r="AD611" s="122"/>
    </row>
    <row r="612" spans="1:30" ht="12.75" hidden="1" customHeight="1" x14ac:dyDescent="0.2">
      <c r="A612" s="121"/>
      <c r="D612" s="117"/>
      <c r="E612" s="117"/>
      <c r="I612" s="118"/>
      <c r="J612" s="13"/>
      <c r="K612" s="269"/>
      <c r="L612" s="57"/>
      <c r="M612" s="119"/>
      <c r="N612" s="57"/>
      <c r="O612" s="57"/>
      <c r="P612" s="57"/>
      <c r="Q612" s="57"/>
      <c r="R612" s="57"/>
      <c r="S612" s="119"/>
      <c r="T612" s="57"/>
      <c r="AD612" s="122"/>
    </row>
    <row r="613" spans="1:30" ht="12.75" hidden="1" customHeight="1" x14ac:dyDescent="0.2">
      <c r="A613" s="121"/>
      <c r="D613" s="117"/>
      <c r="E613" s="117"/>
      <c r="I613" s="118"/>
      <c r="J613" s="13"/>
      <c r="K613" s="269"/>
      <c r="L613" s="57"/>
      <c r="M613" s="119"/>
      <c r="N613" s="57"/>
      <c r="O613" s="57"/>
      <c r="P613" s="57"/>
      <c r="Q613" s="57"/>
      <c r="R613" s="57"/>
      <c r="S613" s="119"/>
      <c r="T613" s="57"/>
      <c r="AD613" s="122"/>
    </row>
    <row r="614" spans="1:30" ht="12.75" hidden="1" customHeight="1" x14ac:dyDescent="0.2">
      <c r="A614" s="121"/>
      <c r="D614" s="117"/>
      <c r="E614" s="117"/>
      <c r="I614" s="118"/>
      <c r="J614" s="13"/>
      <c r="K614" s="269"/>
      <c r="L614" s="57"/>
      <c r="M614" s="119"/>
      <c r="N614" s="57"/>
      <c r="O614" s="57"/>
      <c r="P614" s="57"/>
      <c r="Q614" s="57"/>
      <c r="R614" s="57"/>
      <c r="S614" s="119"/>
      <c r="T614" s="57"/>
      <c r="AD614" s="122"/>
    </row>
    <row r="615" spans="1:30" ht="12.75" hidden="1" customHeight="1" x14ac:dyDescent="0.2">
      <c r="A615" s="121"/>
      <c r="D615" s="117"/>
      <c r="E615" s="117"/>
      <c r="I615" s="118"/>
      <c r="J615" s="13"/>
      <c r="K615" s="269"/>
      <c r="L615" s="57"/>
      <c r="M615" s="119"/>
      <c r="N615" s="57"/>
      <c r="O615" s="57"/>
      <c r="P615" s="57"/>
      <c r="Q615" s="57"/>
      <c r="R615" s="57"/>
      <c r="S615" s="119"/>
      <c r="T615" s="57"/>
      <c r="AD615" s="122"/>
    </row>
    <row r="616" spans="1:30" ht="12.75" hidden="1" customHeight="1" x14ac:dyDescent="0.2">
      <c r="A616" s="121"/>
      <c r="D616" s="117"/>
      <c r="E616" s="117"/>
      <c r="I616" s="118"/>
      <c r="J616" s="13"/>
      <c r="K616" s="269"/>
      <c r="L616" s="57"/>
      <c r="M616" s="119"/>
      <c r="N616" s="57"/>
      <c r="O616" s="57"/>
      <c r="P616" s="57"/>
      <c r="Q616" s="57"/>
      <c r="R616" s="57"/>
      <c r="S616" s="119"/>
      <c r="T616" s="57"/>
      <c r="AD616" s="122"/>
    </row>
    <row r="617" spans="1:30" ht="12.75" hidden="1" customHeight="1" x14ac:dyDescent="0.2">
      <c r="A617" s="121"/>
      <c r="D617" s="117"/>
      <c r="E617" s="117"/>
      <c r="I617" s="118"/>
      <c r="J617" s="13"/>
      <c r="K617" s="269"/>
      <c r="L617" s="57"/>
      <c r="M617" s="119"/>
      <c r="N617" s="57"/>
      <c r="O617" s="57"/>
      <c r="P617" s="57"/>
      <c r="Q617" s="57"/>
      <c r="R617" s="57"/>
      <c r="S617" s="119"/>
      <c r="T617" s="57"/>
      <c r="AD617" s="122"/>
    </row>
    <row r="618" spans="1:30" ht="12.75" hidden="1" customHeight="1" x14ac:dyDescent="0.2">
      <c r="A618" s="121"/>
      <c r="D618" s="117"/>
      <c r="E618" s="117"/>
      <c r="I618" s="118"/>
      <c r="J618" s="13"/>
      <c r="K618" s="269"/>
      <c r="L618" s="57"/>
      <c r="M618" s="119"/>
      <c r="N618" s="57"/>
      <c r="O618" s="57"/>
      <c r="P618" s="57"/>
      <c r="Q618" s="57"/>
      <c r="R618" s="57"/>
      <c r="S618" s="119"/>
      <c r="T618" s="57"/>
      <c r="AD618" s="122"/>
    </row>
    <row r="619" spans="1:30" ht="12.75" hidden="1" customHeight="1" x14ac:dyDescent="0.2">
      <c r="A619" s="121"/>
      <c r="D619" s="117"/>
      <c r="E619" s="117"/>
      <c r="I619" s="118"/>
      <c r="J619" s="13"/>
      <c r="K619" s="269"/>
      <c r="L619" s="57"/>
      <c r="M619" s="119"/>
      <c r="N619" s="57"/>
      <c r="O619" s="57"/>
      <c r="P619" s="57"/>
      <c r="Q619" s="57"/>
      <c r="R619" s="57"/>
      <c r="S619" s="119"/>
      <c r="T619" s="57"/>
      <c r="AD619" s="122"/>
    </row>
    <row r="620" spans="1:30" ht="12.75" hidden="1" customHeight="1" x14ac:dyDescent="0.2">
      <c r="A620" s="121"/>
      <c r="D620" s="117"/>
      <c r="E620" s="117"/>
      <c r="I620" s="118"/>
      <c r="J620" s="13"/>
      <c r="K620" s="269"/>
      <c r="L620" s="57"/>
      <c r="M620" s="119"/>
      <c r="N620" s="57"/>
      <c r="O620" s="57"/>
      <c r="P620" s="57"/>
      <c r="Q620" s="57"/>
      <c r="R620" s="57"/>
      <c r="S620" s="119"/>
      <c r="T620" s="57"/>
      <c r="AD620" s="122"/>
    </row>
    <row r="621" spans="1:30" ht="12.75" hidden="1" customHeight="1" x14ac:dyDescent="0.2">
      <c r="A621" s="121"/>
      <c r="D621" s="117"/>
      <c r="E621" s="117"/>
      <c r="I621" s="118"/>
      <c r="J621" s="13"/>
      <c r="K621" s="269"/>
      <c r="L621" s="57"/>
      <c r="M621" s="119"/>
      <c r="N621" s="57"/>
      <c r="O621" s="57"/>
      <c r="P621" s="57"/>
      <c r="Q621" s="57"/>
      <c r="R621" s="57"/>
      <c r="S621" s="119"/>
      <c r="T621" s="57"/>
      <c r="AD621" s="122"/>
    </row>
    <row r="622" spans="1:30" ht="12.75" hidden="1" customHeight="1" x14ac:dyDescent="0.2">
      <c r="A622" s="121"/>
      <c r="D622" s="117"/>
      <c r="E622" s="117"/>
      <c r="I622" s="118"/>
      <c r="J622" s="13"/>
      <c r="K622" s="269"/>
      <c r="L622" s="57"/>
      <c r="M622" s="119"/>
      <c r="N622" s="57"/>
      <c r="O622" s="57"/>
      <c r="P622" s="57"/>
      <c r="Q622" s="57"/>
      <c r="R622" s="57"/>
      <c r="S622" s="119"/>
      <c r="T622" s="57"/>
      <c r="AD622" s="122"/>
    </row>
    <row r="623" spans="1:30" ht="12.75" hidden="1" customHeight="1" x14ac:dyDescent="0.2">
      <c r="A623" s="121"/>
      <c r="D623" s="117"/>
      <c r="E623" s="117"/>
      <c r="I623" s="118"/>
      <c r="J623" s="13"/>
      <c r="K623" s="269"/>
      <c r="L623" s="57"/>
      <c r="M623" s="119"/>
      <c r="N623" s="57"/>
      <c r="O623" s="57"/>
      <c r="P623" s="57"/>
      <c r="Q623" s="57"/>
      <c r="R623" s="57"/>
      <c r="S623" s="119"/>
      <c r="T623" s="57"/>
      <c r="AD623" s="122"/>
    </row>
    <row r="624" spans="1:30" ht="12.75" hidden="1" customHeight="1" x14ac:dyDescent="0.2">
      <c r="A624" s="121"/>
      <c r="D624" s="117"/>
      <c r="E624" s="117"/>
      <c r="I624" s="118"/>
      <c r="J624" s="13"/>
      <c r="K624" s="269"/>
      <c r="L624" s="57"/>
      <c r="M624" s="119"/>
      <c r="N624" s="57"/>
      <c r="O624" s="57"/>
      <c r="P624" s="57"/>
      <c r="Q624" s="57"/>
      <c r="R624" s="57"/>
      <c r="S624" s="119"/>
      <c r="T624" s="57"/>
      <c r="AD624" s="122"/>
    </row>
    <row r="625" spans="1:30" ht="12.75" hidden="1" customHeight="1" x14ac:dyDescent="0.2">
      <c r="A625" s="121"/>
      <c r="D625" s="117"/>
      <c r="E625" s="117"/>
      <c r="I625" s="118"/>
      <c r="J625" s="13"/>
      <c r="K625" s="269"/>
      <c r="L625" s="57"/>
      <c r="M625" s="119"/>
      <c r="N625" s="57"/>
      <c r="O625" s="57"/>
      <c r="P625" s="57"/>
      <c r="Q625" s="57"/>
      <c r="R625" s="57"/>
      <c r="S625" s="119"/>
      <c r="T625" s="57"/>
      <c r="AD625" s="122"/>
    </row>
    <row r="626" spans="1:30" ht="12.75" hidden="1" customHeight="1" x14ac:dyDescent="0.2">
      <c r="A626" s="121"/>
      <c r="D626" s="117"/>
      <c r="E626" s="117"/>
      <c r="I626" s="118"/>
      <c r="J626" s="13"/>
      <c r="K626" s="269"/>
      <c r="L626" s="57"/>
      <c r="M626" s="119"/>
      <c r="N626" s="57"/>
      <c r="O626" s="57"/>
      <c r="P626" s="57"/>
      <c r="Q626" s="57"/>
      <c r="R626" s="57"/>
      <c r="S626" s="119"/>
      <c r="T626" s="57"/>
      <c r="AD626" s="122"/>
    </row>
    <row r="627" spans="1:30" ht="12.75" hidden="1" customHeight="1" x14ac:dyDescent="0.2">
      <c r="A627" s="121"/>
      <c r="D627" s="117"/>
      <c r="E627" s="117"/>
      <c r="I627" s="118"/>
      <c r="J627" s="13"/>
      <c r="K627" s="269"/>
      <c r="L627" s="57"/>
      <c r="M627" s="119"/>
      <c r="N627" s="57"/>
      <c r="O627" s="57"/>
      <c r="P627" s="57"/>
      <c r="Q627" s="57"/>
      <c r="R627" s="57"/>
      <c r="S627" s="119"/>
      <c r="T627" s="57"/>
      <c r="AD627" s="122"/>
    </row>
    <row r="628" spans="1:30" ht="12.75" hidden="1" customHeight="1" x14ac:dyDescent="0.2">
      <c r="A628" s="121"/>
      <c r="D628" s="117"/>
      <c r="E628" s="117"/>
      <c r="I628" s="118"/>
      <c r="J628" s="13"/>
      <c r="K628" s="269"/>
      <c r="L628" s="57"/>
      <c r="M628" s="119"/>
      <c r="N628" s="57"/>
      <c r="O628" s="57"/>
      <c r="P628" s="57"/>
      <c r="Q628" s="57"/>
      <c r="R628" s="57"/>
      <c r="S628" s="119"/>
      <c r="T628" s="57"/>
      <c r="AD628" s="122"/>
    </row>
    <row r="629" spans="1:30" ht="12.75" hidden="1" customHeight="1" x14ac:dyDescent="0.2">
      <c r="A629" s="121"/>
      <c r="D629" s="117"/>
      <c r="E629" s="117"/>
      <c r="I629" s="118"/>
      <c r="J629" s="13"/>
      <c r="K629" s="269"/>
      <c r="L629" s="57"/>
      <c r="M629" s="119"/>
      <c r="N629" s="57"/>
      <c r="O629" s="57"/>
      <c r="P629" s="57"/>
      <c r="Q629" s="57"/>
      <c r="R629" s="57"/>
      <c r="S629" s="119"/>
      <c r="T629" s="57"/>
      <c r="AD629" s="122"/>
    </row>
    <row r="630" spans="1:30" ht="12.75" hidden="1" customHeight="1" x14ac:dyDescent="0.2">
      <c r="A630" s="121"/>
      <c r="D630" s="117"/>
      <c r="E630" s="117"/>
      <c r="I630" s="118"/>
      <c r="J630" s="13"/>
      <c r="K630" s="269"/>
      <c r="L630" s="57"/>
      <c r="M630" s="119"/>
      <c r="N630" s="57"/>
      <c r="O630" s="57"/>
      <c r="P630" s="57"/>
      <c r="Q630" s="57"/>
      <c r="R630" s="57"/>
      <c r="S630" s="119"/>
      <c r="T630" s="57"/>
      <c r="AD630" s="122"/>
    </row>
    <row r="631" spans="1:30" ht="12.75" hidden="1" customHeight="1" x14ac:dyDescent="0.2">
      <c r="A631" s="121"/>
      <c r="D631" s="117"/>
      <c r="E631" s="117"/>
      <c r="I631" s="118"/>
      <c r="J631" s="13"/>
      <c r="K631" s="269"/>
      <c r="L631" s="57"/>
      <c r="M631" s="119"/>
      <c r="N631" s="57"/>
      <c r="O631" s="57"/>
      <c r="P631" s="57"/>
      <c r="Q631" s="57"/>
      <c r="R631" s="57"/>
      <c r="S631" s="119"/>
      <c r="T631" s="57"/>
      <c r="AD631" s="122"/>
    </row>
    <row r="632" spans="1:30" ht="12.75" hidden="1" customHeight="1" x14ac:dyDescent="0.2">
      <c r="A632" s="121"/>
      <c r="D632" s="117"/>
      <c r="E632" s="117"/>
      <c r="I632" s="118"/>
      <c r="J632" s="13"/>
      <c r="K632" s="269"/>
      <c r="L632" s="57"/>
      <c r="M632" s="119"/>
      <c r="N632" s="57"/>
      <c r="O632" s="57"/>
      <c r="P632" s="57"/>
      <c r="Q632" s="57"/>
      <c r="R632" s="57"/>
      <c r="S632" s="119"/>
      <c r="T632" s="57"/>
      <c r="AD632" s="122"/>
    </row>
    <row r="633" spans="1:30" ht="12.75" hidden="1" customHeight="1" x14ac:dyDescent="0.2">
      <c r="A633" s="121"/>
      <c r="D633" s="117"/>
      <c r="E633" s="117"/>
      <c r="I633" s="118"/>
      <c r="J633" s="13"/>
      <c r="K633" s="269"/>
      <c r="L633" s="57"/>
      <c r="M633" s="119"/>
      <c r="N633" s="57"/>
      <c r="O633" s="57"/>
      <c r="P633" s="57"/>
      <c r="Q633" s="57"/>
      <c r="R633" s="57"/>
      <c r="S633" s="119"/>
      <c r="T633" s="57"/>
      <c r="AD633" s="122"/>
    </row>
    <row r="634" spans="1:30" ht="12.75" hidden="1" customHeight="1" x14ac:dyDescent="0.2">
      <c r="A634" s="121"/>
      <c r="D634" s="117"/>
      <c r="E634" s="117"/>
      <c r="I634" s="118"/>
      <c r="J634" s="13"/>
      <c r="K634" s="269"/>
      <c r="L634" s="57"/>
      <c r="M634" s="119"/>
      <c r="N634" s="57"/>
      <c r="O634" s="57"/>
      <c r="P634" s="57"/>
      <c r="Q634" s="57"/>
      <c r="R634" s="57"/>
      <c r="S634" s="119"/>
      <c r="T634" s="57"/>
      <c r="AD634" s="122"/>
    </row>
    <row r="635" spans="1:30" ht="12.75" hidden="1" customHeight="1" x14ac:dyDescent="0.2">
      <c r="A635" s="121"/>
      <c r="D635" s="117"/>
      <c r="E635" s="117"/>
      <c r="I635" s="118"/>
      <c r="J635" s="13"/>
      <c r="K635" s="269"/>
      <c r="L635" s="57"/>
      <c r="M635" s="119"/>
      <c r="N635" s="57"/>
      <c r="O635" s="57"/>
      <c r="P635" s="57"/>
      <c r="Q635" s="57"/>
      <c r="R635" s="57"/>
      <c r="S635" s="119"/>
      <c r="T635" s="57"/>
      <c r="AD635" s="122"/>
    </row>
    <row r="636" spans="1:30" ht="12.75" hidden="1" customHeight="1" x14ac:dyDescent="0.2">
      <c r="A636" s="121"/>
      <c r="D636" s="117"/>
      <c r="E636" s="117"/>
      <c r="I636" s="118"/>
      <c r="J636" s="13"/>
      <c r="K636" s="269"/>
      <c r="L636" s="57"/>
      <c r="M636" s="119"/>
      <c r="N636" s="57"/>
      <c r="O636" s="57"/>
      <c r="P636" s="57"/>
      <c r="Q636" s="57"/>
      <c r="R636" s="57"/>
      <c r="S636" s="119"/>
      <c r="T636" s="57"/>
      <c r="AD636" s="122"/>
    </row>
    <row r="637" spans="1:30" ht="12.75" hidden="1" customHeight="1" x14ac:dyDescent="0.2">
      <c r="A637" s="121"/>
      <c r="D637" s="117"/>
      <c r="E637" s="117"/>
      <c r="I637" s="118"/>
      <c r="J637" s="13"/>
      <c r="K637" s="269"/>
      <c r="L637" s="57"/>
      <c r="M637" s="119"/>
      <c r="N637" s="57"/>
      <c r="O637" s="57"/>
      <c r="P637" s="57"/>
      <c r="Q637" s="57"/>
      <c r="R637" s="57"/>
      <c r="S637" s="119"/>
      <c r="T637" s="57"/>
      <c r="AD637" s="122"/>
    </row>
    <row r="638" spans="1:30" ht="12.75" hidden="1" customHeight="1" x14ac:dyDescent="0.2">
      <c r="A638" s="121"/>
      <c r="D638" s="117"/>
      <c r="E638" s="117"/>
      <c r="I638" s="118"/>
      <c r="J638" s="13"/>
      <c r="K638" s="269"/>
      <c r="L638" s="57"/>
      <c r="M638" s="119"/>
      <c r="N638" s="57"/>
      <c r="O638" s="57"/>
      <c r="P638" s="57"/>
      <c r="Q638" s="57"/>
      <c r="R638" s="57"/>
      <c r="S638" s="119"/>
      <c r="T638" s="57"/>
      <c r="AD638" s="122"/>
    </row>
    <row r="639" spans="1:30" ht="12.75" hidden="1" customHeight="1" x14ac:dyDescent="0.2">
      <c r="A639" s="121"/>
      <c r="D639" s="117"/>
      <c r="E639" s="117"/>
      <c r="I639" s="118"/>
      <c r="J639" s="13"/>
      <c r="K639" s="269"/>
      <c r="L639" s="57"/>
      <c r="M639" s="119"/>
      <c r="N639" s="57"/>
      <c r="O639" s="57"/>
      <c r="P639" s="57"/>
      <c r="Q639" s="57"/>
      <c r="R639" s="57"/>
      <c r="S639" s="119"/>
      <c r="T639" s="57"/>
      <c r="AD639" s="122"/>
    </row>
    <row r="640" spans="1:30" ht="12.75" hidden="1" customHeight="1" x14ac:dyDescent="0.2">
      <c r="A640" s="121"/>
      <c r="D640" s="117"/>
      <c r="E640" s="117"/>
      <c r="I640" s="118"/>
      <c r="J640" s="13"/>
      <c r="K640" s="269"/>
      <c r="L640" s="57"/>
      <c r="M640" s="119"/>
      <c r="N640" s="57"/>
      <c r="O640" s="57"/>
      <c r="P640" s="57"/>
      <c r="Q640" s="57"/>
      <c r="R640" s="57"/>
      <c r="S640" s="119"/>
      <c r="T640" s="57"/>
      <c r="AD640" s="122"/>
    </row>
    <row r="641" spans="1:30" ht="12.75" hidden="1" customHeight="1" x14ac:dyDescent="0.2">
      <c r="A641" s="121"/>
      <c r="D641" s="117"/>
      <c r="E641" s="117"/>
      <c r="I641" s="118"/>
      <c r="J641" s="13"/>
      <c r="K641" s="269"/>
      <c r="L641" s="57"/>
      <c r="M641" s="119"/>
      <c r="N641" s="57"/>
      <c r="O641" s="57"/>
      <c r="P641" s="57"/>
      <c r="Q641" s="57"/>
      <c r="R641" s="57"/>
      <c r="S641" s="119"/>
      <c r="T641" s="57"/>
      <c r="AD641" s="122"/>
    </row>
    <row r="642" spans="1:30" ht="12.75" hidden="1" customHeight="1" x14ac:dyDescent="0.2">
      <c r="A642" s="121"/>
      <c r="D642" s="117"/>
      <c r="E642" s="117"/>
      <c r="I642" s="118"/>
      <c r="J642" s="13"/>
      <c r="K642" s="269"/>
      <c r="L642" s="57"/>
      <c r="M642" s="119"/>
      <c r="N642" s="57"/>
      <c r="O642" s="57"/>
      <c r="P642" s="57"/>
      <c r="Q642" s="57"/>
      <c r="R642" s="57"/>
      <c r="S642" s="119"/>
      <c r="T642" s="57"/>
      <c r="AD642" s="122"/>
    </row>
    <row r="643" spans="1:30" ht="12.75" hidden="1" customHeight="1" x14ac:dyDescent="0.2">
      <c r="A643" s="121"/>
      <c r="D643" s="117"/>
      <c r="E643" s="117"/>
      <c r="I643" s="118"/>
      <c r="J643" s="13"/>
      <c r="K643" s="269"/>
      <c r="L643" s="57"/>
      <c r="M643" s="119"/>
      <c r="N643" s="57"/>
      <c r="O643" s="57"/>
      <c r="P643" s="57"/>
      <c r="Q643" s="57"/>
      <c r="R643" s="57"/>
      <c r="S643" s="119"/>
      <c r="T643" s="57"/>
      <c r="AD643" s="122"/>
    </row>
    <row r="644" spans="1:30" ht="12.75" hidden="1" customHeight="1" x14ac:dyDescent="0.2">
      <c r="A644" s="121"/>
      <c r="D644" s="117"/>
      <c r="E644" s="117"/>
      <c r="I644" s="118"/>
      <c r="J644" s="13"/>
      <c r="K644" s="269"/>
      <c r="L644" s="57"/>
      <c r="M644" s="119"/>
      <c r="N644" s="57"/>
      <c r="O644" s="57"/>
      <c r="P644" s="57"/>
      <c r="Q644" s="57"/>
      <c r="R644" s="57"/>
      <c r="S644" s="119"/>
      <c r="T644" s="57"/>
      <c r="AD644" s="122"/>
    </row>
    <row r="645" spans="1:30" ht="12.75" hidden="1" customHeight="1" x14ac:dyDescent="0.2">
      <c r="A645" s="121"/>
      <c r="D645" s="117"/>
      <c r="E645" s="117"/>
      <c r="I645" s="118"/>
      <c r="J645" s="13"/>
      <c r="K645" s="269"/>
      <c r="L645" s="57"/>
      <c r="M645" s="119"/>
      <c r="N645" s="57"/>
      <c r="O645" s="57"/>
      <c r="P645" s="57"/>
      <c r="Q645" s="57"/>
      <c r="R645" s="57"/>
      <c r="S645" s="119"/>
      <c r="T645" s="57"/>
      <c r="AD645" s="122"/>
    </row>
    <row r="646" spans="1:30" ht="12.75" hidden="1" customHeight="1" x14ac:dyDescent="0.2">
      <c r="A646" s="121"/>
      <c r="D646" s="117"/>
      <c r="E646" s="117"/>
      <c r="I646" s="118"/>
      <c r="J646" s="13"/>
      <c r="K646" s="269"/>
      <c r="L646" s="57"/>
      <c r="M646" s="119"/>
      <c r="N646" s="57"/>
      <c r="O646" s="57"/>
      <c r="P646" s="57"/>
      <c r="Q646" s="57"/>
      <c r="R646" s="57"/>
      <c r="S646" s="119"/>
      <c r="T646" s="57"/>
      <c r="AD646" s="122"/>
    </row>
    <row r="647" spans="1:30" ht="12.75" hidden="1" customHeight="1" x14ac:dyDescent="0.2">
      <c r="A647" s="121"/>
      <c r="D647" s="117"/>
      <c r="E647" s="117"/>
      <c r="I647" s="118"/>
      <c r="J647" s="13"/>
      <c r="K647" s="269"/>
      <c r="L647" s="57"/>
      <c r="M647" s="119"/>
      <c r="N647" s="57"/>
      <c r="O647" s="57"/>
      <c r="P647" s="57"/>
      <c r="Q647" s="57"/>
      <c r="R647" s="57"/>
      <c r="S647" s="119"/>
      <c r="T647" s="57"/>
      <c r="AD647" s="122"/>
    </row>
    <row r="648" spans="1:30" ht="12.75" hidden="1" customHeight="1" x14ac:dyDescent="0.2">
      <c r="A648" s="121"/>
      <c r="D648" s="117"/>
      <c r="E648" s="117"/>
      <c r="I648" s="118"/>
      <c r="J648" s="13"/>
      <c r="K648" s="269"/>
      <c r="L648" s="57"/>
      <c r="M648" s="119"/>
      <c r="N648" s="57"/>
      <c r="O648" s="57"/>
      <c r="P648" s="57"/>
      <c r="Q648" s="57"/>
      <c r="R648" s="57"/>
      <c r="S648" s="119"/>
      <c r="T648" s="57"/>
      <c r="AD648" s="122"/>
    </row>
    <row r="649" spans="1:30" ht="12.75" hidden="1" customHeight="1" x14ac:dyDescent="0.2">
      <c r="A649" s="121"/>
      <c r="D649" s="117"/>
      <c r="E649" s="117"/>
      <c r="I649" s="118"/>
      <c r="J649" s="13"/>
      <c r="K649" s="269"/>
      <c r="L649" s="57"/>
      <c r="M649" s="119"/>
      <c r="N649" s="57"/>
      <c r="O649" s="57"/>
      <c r="P649" s="57"/>
      <c r="Q649" s="57"/>
      <c r="R649" s="57"/>
      <c r="S649" s="119"/>
      <c r="T649" s="57"/>
      <c r="AD649" s="122"/>
    </row>
    <row r="650" spans="1:30" ht="12.75" hidden="1" customHeight="1" x14ac:dyDescent="0.2">
      <c r="A650" s="121"/>
      <c r="D650" s="117"/>
      <c r="E650" s="117"/>
      <c r="I650" s="118"/>
      <c r="J650" s="13"/>
      <c r="K650" s="269"/>
      <c r="L650" s="57"/>
      <c r="M650" s="119"/>
      <c r="N650" s="57"/>
      <c r="O650" s="57"/>
      <c r="P650" s="57"/>
      <c r="Q650" s="57"/>
      <c r="R650" s="57"/>
      <c r="S650" s="119"/>
      <c r="T650" s="57"/>
      <c r="AD650" s="122"/>
    </row>
    <row r="651" spans="1:30" ht="12.75" hidden="1" customHeight="1" x14ac:dyDescent="0.2">
      <c r="A651" s="121"/>
      <c r="D651" s="117"/>
      <c r="E651" s="117"/>
      <c r="I651" s="118"/>
      <c r="J651" s="13"/>
      <c r="K651" s="269"/>
      <c r="L651" s="57"/>
      <c r="M651" s="119"/>
      <c r="N651" s="57"/>
      <c r="O651" s="57"/>
      <c r="P651" s="57"/>
      <c r="Q651" s="57"/>
      <c r="R651" s="57"/>
      <c r="S651" s="119"/>
      <c r="T651" s="57"/>
      <c r="AD651" s="122"/>
    </row>
    <row r="652" spans="1:30" ht="12.75" hidden="1" customHeight="1" x14ac:dyDescent="0.2">
      <c r="A652" s="121"/>
      <c r="D652" s="117"/>
      <c r="E652" s="117"/>
      <c r="I652" s="118"/>
      <c r="J652" s="13"/>
      <c r="K652" s="269"/>
      <c r="L652" s="57"/>
      <c r="M652" s="119"/>
      <c r="N652" s="57"/>
      <c r="O652" s="57"/>
      <c r="P652" s="57"/>
      <c r="Q652" s="57"/>
      <c r="R652" s="57"/>
      <c r="S652" s="119"/>
      <c r="T652" s="57"/>
      <c r="AD652" s="122"/>
    </row>
    <row r="653" spans="1:30" ht="12.75" hidden="1" customHeight="1" x14ac:dyDescent="0.2">
      <c r="A653" s="121"/>
      <c r="D653" s="117"/>
      <c r="E653" s="117"/>
      <c r="I653" s="118"/>
      <c r="J653" s="13"/>
      <c r="K653" s="269"/>
      <c r="L653" s="57"/>
      <c r="M653" s="119"/>
      <c r="N653" s="57"/>
      <c r="O653" s="57"/>
      <c r="P653" s="57"/>
      <c r="Q653" s="57"/>
      <c r="R653" s="57"/>
      <c r="S653" s="119"/>
      <c r="T653" s="57"/>
      <c r="AD653" s="122"/>
    </row>
    <row r="654" spans="1:30" ht="12.75" hidden="1" customHeight="1" x14ac:dyDescent="0.2">
      <c r="A654" s="121"/>
      <c r="D654" s="117"/>
      <c r="E654" s="117"/>
      <c r="I654" s="118"/>
      <c r="J654" s="13"/>
      <c r="K654" s="269"/>
      <c r="L654" s="57"/>
      <c r="M654" s="119"/>
      <c r="N654" s="57"/>
      <c r="O654" s="57"/>
      <c r="P654" s="57"/>
      <c r="Q654" s="57"/>
      <c r="R654" s="57"/>
      <c r="S654" s="119"/>
      <c r="T654" s="57"/>
      <c r="AD654" s="122"/>
    </row>
    <row r="655" spans="1:30" ht="12.75" hidden="1" customHeight="1" x14ac:dyDescent="0.2">
      <c r="A655" s="121"/>
      <c r="D655" s="117"/>
      <c r="E655" s="117"/>
      <c r="I655" s="118"/>
      <c r="J655" s="13"/>
      <c r="K655" s="269"/>
      <c r="L655" s="57"/>
      <c r="M655" s="119"/>
      <c r="N655" s="57"/>
      <c r="O655" s="57"/>
      <c r="P655" s="57"/>
      <c r="Q655" s="57"/>
      <c r="R655" s="57"/>
      <c r="S655" s="119"/>
      <c r="T655" s="57"/>
      <c r="AD655" s="122"/>
    </row>
    <row r="656" spans="1:30" ht="12.75" hidden="1" customHeight="1" x14ac:dyDescent="0.2">
      <c r="A656" s="121"/>
      <c r="D656" s="117"/>
      <c r="E656" s="117"/>
      <c r="I656" s="118"/>
      <c r="J656" s="13"/>
      <c r="K656" s="269"/>
      <c r="L656" s="57"/>
      <c r="M656" s="119"/>
      <c r="N656" s="57"/>
      <c r="O656" s="57"/>
      <c r="P656" s="57"/>
      <c r="Q656" s="57"/>
      <c r="R656" s="57"/>
      <c r="S656" s="119"/>
      <c r="T656" s="57"/>
      <c r="AD656" s="122"/>
    </row>
    <row r="657" spans="1:30" ht="12.75" hidden="1" customHeight="1" x14ac:dyDescent="0.2">
      <c r="A657" s="121"/>
      <c r="D657" s="117"/>
      <c r="E657" s="117"/>
      <c r="I657" s="118"/>
      <c r="J657" s="13"/>
      <c r="K657" s="269"/>
      <c r="L657" s="57"/>
      <c r="M657" s="119"/>
      <c r="N657" s="57"/>
      <c r="O657" s="57"/>
      <c r="P657" s="57"/>
      <c r="Q657" s="57"/>
      <c r="R657" s="57"/>
      <c r="S657" s="119"/>
      <c r="T657" s="57"/>
      <c r="AD657" s="122"/>
    </row>
    <row r="658" spans="1:30" ht="12.75" hidden="1" customHeight="1" x14ac:dyDescent="0.2">
      <c r="A658" s="121"/>
      <c r="D658" s="117"/>
      <c r="E658" s="117"/>
      <c r="I658" s="118"/>
      <c r="J658" s="13"/>
      <c r="K658" s="269"/>
      <c r="L658" s="57"/>
      <c r="M658" s="119"/>
      <c r="N658" s="57"/>
      <c r="O658" s="57"/>
      <c r="P658" s="57"/>
      <c r="Q658" s="57"/>
      <c r="R658" s="57"/>
      <c r="S658" s="119"/>
      <c r="T658" s="57"/>
      <c r="AD658" s="122"/>
    </row>
    <row r="659" spans="1:30" ht="12.75" hidden="1" customHeight="1" x14ac:dyDescent="0.2">
      <c r="A659" s="121"/>
      <c r="D659" s="117"/>
      <c r="E659" s="117"/>
      <c r="I659" s="118"/>
      <c r="J659" s="13"/>
      <c r="K659" s="269"/>
      <c r="L659" s="57"/>
      <c r="M659" s="119"/>
      <c r="N659" s="57"/>
      <c r="O659" s="57"/>
      <c r="P659" s="57"/>
      <c r="Q659" s="57"/>
      <c r="R659" s="57"/>
      <c r="S659" s="119"/>
      <c r="T659" s="57"/>
      <c r="AD659" s="122"/>
    </row>
    <row r="660" spans="1:30" ht="12.75" hidden="1" customHeight="1" x14ac:dyDescent="0.2">
      <c r="A660" s="121"/>
      <c r="D660" s="117"/>
      <c r="E660" s="117"/>
      <c r="I660" s="118"/>
      <c r="J660" s="13"/>
      <c r="K660" s="269"/>
      <c r="L660" s="57"/>
      <c r="M660" s="119"/>
      <c r="N660" s="57"/>
      <c r="O660" s="57"/>
      <c r="P660" s="57"/>
      <c r="Q660" s="57"/>
      <c r="R660" s="57"/>
      <c r="S660" s="119"/>
      <c r="T660" s="57"/>
      <c r="AD660" s="122"/>
    </row>
    <row r="661" spans="1:30" ht="12.75" hidden="1" customHeight="1" x14ac:dyDescent="0.2">
      <c r="A661" s="121"/>
      <c r="D661" s="117"/>
      <c r="E661" s="117"/>
      <c r="I661" s="118"/>
      <c r="J661" s="13"/>
      <c r="K661" s="269"/>
      <c r="L661" s="57"/>
      <c r="M661" s="119"/>
      <c r="N661" s="57"/>
      <c r="O661" s="57"/>
      <c r="P661" s="57"/>
      <c r="Q661" s="57"/>
      <c r="R661" s="57"/>
      <c r="S661" s="119"/>
      <c r="T661" s="57"/>
      <c r="AD661" s="122"/>
    </row>
    <row r="662" spans="1:30" ht="12.75" hidden="1" customHeight="1" x14ac:dyDescent="0.2">
      <c r="A662" s="121"/>
      <c r="D662" s="117"/>
      <c r="E662" s="117"/>
      <c r="I662" s="118"/>
      <c r="J662" s="13"/>
      <c r="K662" s="269"/>
      <c r="L662" s="57"/>
      <c r="M662" s="119"/>
      <c r="N662" s="57"/>
      <c r="O662" s="57"/>
      <c r="P662" s="57"/>
      <c r="Q662" s="57"/>
      <c r="R662" s="57"/>
      <c r="S662" s="119"/>
      <c r="T662" s="57"/>
      <c r="AD662" s="122"/>
    </row>
    <row r="663" spans="1:30" ht="12.75" hidden="1" customHeight="1" x14ac:dyDescent="0.2">
      <c r="A663" s="121"/>
      <c r="D663" s="117"/>
      <c r="E663" s="117"/>
      <c r="I663" s="118"/>
      <c r="J663" s="13"/>
      <c r="K663" s="269"/>
      <c r="L663" s="57"/>
      <c r="M663" s="119"/>
      <c r="N663" s="57"/>
      <c r="O663" s="57"/>
      <c r="P663" s="57"/>
      <c r="Q663" s="57"/>
      <c r="R663" s="57"/>
      <c r="S663" s="119"/>
      <c r="T663" s="57"/>
      <c r="AD663" s="122"/>
    </row>
    <row r="664" spans="1:30" ht="12.75" hidden="1" customHeight="1" x14ac:dyDescent="0.2">
      <c r="A664" s="121"/>
      <c r="D664" s="117"/>
      <c r="E664" s="117"/>
      <c r="I664" s="118"/>
      <c r="J664" s="13"/>
      <c r="K664" s="269"/>
      <c r="L664" s="57"/>
      <c r="M664" s="119"/>
      <c r="N664" s="57"/>
      <c r="O664" s="57"/>
      <c r="P664" s="57"/>
      <c r="Q664" s="57"/>
      <c r="R664" s="57"/>
      <c r="S664" s="119"/>
      <c r="T664" s="57"/>
      <c r="AD664" s="122"/>
    </row>
    <row r="665" spans="1:30" ht="12.75" hidden="1" customHeight="1" x14ac:dyDescent="0.2">
      <c r="A665" s="121"/>
      <c r="D665" s="117"/>
      <c r="E665" s="117"/>
      <c r="I665" s="118"/>
      <c r="J665" s="13"/>
      <c r="K665" s="269"/>
      <c r="L665" s="57"/>
      <c r="M665" s="119"/>
      <c r="N665" s="57"/>
      <c r="O665" s="57"/>
      <c r="P665" s="57"/>
      <c r="Q665" s="57"/>
      <c r="R665" s="57"/>
      <c r="S665" s="119"/>
      <c r="T665" s="57"/>
      <c r="AD665" s="122"/>
    </row>
    <row r="666" spans="1:30" ht="12.75" hidden="1" customHeight="1" x14ac:dyDescent="0.2">
      <c r="A666" s="121"/>
      <c r="D666" s="117"/>
      <c r="E666" s="117"/>
      <c r="I666" s="118"/>
      <c r="J666" s="13"/>
      <c r="K666" s="269"/>
      <c r="L666" s="57"/>
      <c r="M666" s="119"/>
      <c r="N666" s="57"/>
      <c r="O666" s="57"/>
      <c r="P666" s="57"/>
      <c r="Q666" s="57"/>
      <c r="R666" s="57"/>
      <c r="S666" s="119"/>
      <c r="T666" s="57"/>
      <c r="AD666" s="122"/>
    </row>
    <row r="667" spans="1:30" ht="12.75" hidden="1" customHeight="1" x14ac:dyDescent="0.2">
      <c r="A667" s="121"/>
      <c r="D667" s="117"/>
      <c r="E667" s="117"/>
      <c r="I667" s="118"/>
      <c r="J667" s="13"/>
      <c r="K667" s="269"/>
      <c r="L667" s="57"/>
      <c r="M667" s="119"/>
      <c r="N667" s="57"/>
      <c r="O667" s="57"/>
      <c r="P667" s="57"/>
      <c r="Q667" s="57"/>
      <c r="R667" s="57"/>
      <c r="S667" s="119"/>
      <c r="T667" s="57"/>
      <c r="AD667" s="122"/>
    </row>
    <row r="668" spans="1:30" ht="12.75" hidden="1" customHeight="1" x14ac:dyDescent="0.2">
      <c r="A668" s="121"/>
      <c r="D668" s="117"/>
      <c r="E668" s="117"/>
      <c r="I668" s="118"/>
      <c r="J668" s="13"/>
      <c r="K668" s="269"/>
      <c r="L668" s="57"/>
      <c r="M668" s="119"/>
      <c r="N668" s="57"/>
      <c r="O668" s="57"/>
      <c r="P668" s="57"/>
      <c r="Q668" s="57"/>
      <c r="R668" s="57"/>
      <c r="S668" s="119"/>
      <c r="T668" s="57"/>
      <c r="AD668" s="122"/>
    </row>
    <row r="669" spans="1:30" ht="12.75" hidden="1" customHeight="1" x14ac:dyDescent="0.2">
      <c r="A669" s="121"/>
      <c r="D669" s="117"/>
      <c r="E669" s="117"/>
      <c r="I669" s="118"/>
      <c r="J669" s="13"/>
      <c r="K669" s="269"/>
      <c r="L669" s="57"/>
      <c r="M669" s="119"/>
      <c r="N669" s="57"/>
      <c r="O669" s="57"/>
      <c r="P669" s="57"/>
      <c r="Q669" s="57"/>
      <c r="R669" s="57"/>
      <c r="S669" s="119"/>
      <c r="T669" s="57"/>
      <c r="AD669" s="122"/>
    </row>
    <row r="670" spans="1:30" ht="12.75" hidden="1" customHeight="1" x14ac:dyDescent="0.2">
      <c r="A670" s="121"/>
      <c r="D670" s="117"/>
      <c r="E670" s="117"/>
      <c r="I670" s="118"/>
      <c r="J670" s="13"/>
      <c r="K670" s="269"/>
      <c r="L670" s="57"/>
      <c r="M670" s="119"/>
      <c r="N670" s="57"/>
      <c r="O670" s="57"/>
      <c r="P670" s="57"/>
      <c r="Q670" s="57"/>
      <c r="R670" s="57"/>
      <c r="S670" s="119"/>
      <c r="T670" s="57"/>
      <c r="AD670" s="122"/>
    </row>
    <row r="671" spans="1:30" ht="12.75" hidden="1" customHeight="1" x14ac:dyDescent="0.2">
      <c r="A671" s="121"/>
      <c r="D671" s="117"/>
      <c r="E671" s="117"/>
      <c r="I671" s="118"/>
      <c r="J671" s="13"/>
      <c r="K671" s="269"/>
      <c r="L671" s="57"/>
      <c r="M671" s="119"/>
      <c r="N671" s="57"/>
      <c r="O671" s="57"/>
      <c r="P671" s="57"/>
      <c r="Q671" s="57"/>
      <c r="R671" s="57"/>
      <c r="S671" s="119"/>
      <c r="T671" s="57"/>
      <c r="AD671" s="122"/>
    </row>
    <row r="672" spans="1:30" ht="12.75" hidden="1" customHeight="1" x14ac:dyDescent="0.2">
      <c r="A672" s="121"/>
      <c r="D672" s="117"/>
      <c r="E672" s="117"/>
      <c r="I672" s="118"/>
      <c r="J672" s="13"/>
      <c r="K672" s="269"/>
      <c r="L672" s="57"/>
      <c r="M672" s="119"/>
      <c r="N672" s="57"/>
      <c r="O672" s="57"/>
      <c r="P672" s="57"/>
      <c r="Q672" s="57"/>
      <c r="R672" s="57"/>
      <c r="S672" s="119"/>
      <c r="T672" s="57"/>
      <c r="AD672" s="122"/>
    </row>
    <row r="673" spans="1:30" ht="12.75" hidden="1" customHeight="1" x14ac:dyDescent="0.2">
      <c r="A673" s="121"/>
      <c r="D673" s="117"/>
      <c r="E673" s="117"/>
      <c r="I673" s="118"/>
      <c r="J673" s="13"/>
      <c r="K673" s="269"/>
      <c r="L673" s="57"/>
      <c r="M673" s="119"/>
      <c r="N673" s="57"/>
      <c r="O673" s="57"/>
      <c r="P673" s="57"/>
      <c r="Q673" s="57"/>
      <c r="R673" s="57"/>
      <c r="S673" s="119"/>
      <c r="T673" s="57"/>
      <c r="AD673" s="122"/>
    </row>
    <row r="674" spans="1:30" ht="12.75" hidden="1" customHeight="1" x14ac:dyDescent="0.2">
      <c r="A674" s="121"/>
      <c r="D674" s="117"/>
      <c r="E674" s="117"/>
      <c r="I674" s="118"/>
      <c r="J674" s="13"/>
      <c r="K674" s="269"/>
      <c r="L674" s="57"/>
      <c r="M674" s="119"/>
      <c r="N674" s="57"/>
      <c r="O674" s="57"/>
      <c r="P674" s="57"/>
      <c r="Q674" s="57"/>
      <c r="R674" s="57"/>
      <c r="S674" s="119"/>
      <c r="T674" s="57"/>
      <c r="AD674" s="122"/>
    </row>
    <row r="675" spans="1:30" ht="12.75" hidden="1" customHeight="1" x14ac:dyDescent="0.2">
      <c r="A675" s="121"/>
      <c r="D675" s="117"/>
      <c r="E675" s="117"/>
      <c r="I675" s="118"/>
      <c r="J675" s="13"/>
      <c r="K675" s="269"/>
      <c r="L675" s="57"/>
      <c r="M675" s="119"/>
      <c r="N675" s="57"/>
      <c r="O675" s="57"/>
      <c r="P675" s="57"/>
      <c r="Q675" s="57"/>
      <c r="R675" s="57"/>
      <c r="S675" s="119"/>
      <c r="T675" s="57"/>
      <c r="AD675" s="122"/>
    </row>
    <row r="676" spans="1:30" ht="12.75" hidden="1" customHeight="1" x14ac:dyDescent="0.2">
      <c r="A676" s="121"/>
      <c r="D676" s="117"/>
      <c r="E676" s="117"/>
      <c r="I676" s="118"/>
      <c r="J676" s="13"/>
      <c r="K676" s="269"/>
      <c r="L676" s="57"/>
      <c r="M676" s="119"/>
      <c r="N676" s="57"/>
      <c r="O676" s="57"/>
      <c r="P676" s="57"/>
      <c r="Q676" s="57"/>
      <c r="R676" s="57"/>
      <c r="S676" s="119"/>
      <c r="T676" s="57"/>
      <c r="AD676" s="122"/>
    </row>
    <row r="677" spans="1:30" ht="12.75" hidden="1" customHeight="1" x14ac:dyDescent="0.2">
      <c r="A677" s="121"/>
      <c r="D677" s="117"/>
      <c r="E677" s="117"/>
      <c r="I677" s="118"/>
      <c r="J677" s="13"/>
      <c r="K677" s="269"/>
      <c r="L677" s="57"/>
      <c r="M677" s="119"/>
      <c r="N677" s="57"/>
      <c r="O677" s="57"/>
      <c r="P677" s="57"/>
      <c r="Q677" s="57"/>
      <c r="R677" s="57"/>
      <c r="S677" s="119"/>
      <c r="T677" s="57"/>
      <c r="AD677" s="122"/>
    </row>
    <row r="678" spans="1:30" ht="12.75" hidden="1" customHeight="1" x14ac:dyDescent="0.2">
      <c r="A678" s="121"/>
      <c r="D678" s="117"/>
      <c r="E678" s="117"/>
      <c r="I678" s="118"/>
      <c r="J678" s="13"/>
      <c r="K678" s="269"/>
      <c r="L678" s="57"/>
      <c r="M678" s="119"/>
      <c r="N678" s="57"/>
      <c r="O678" s="57"/>
      <c r="P678" s="57"/>
      <c r="Q678" s="57"/>
      <c r="R678" s="57"/>
      <c r="S678" s="119"/>
      <c r="T678" s="57"/>
      <c r="AD678" s="122"/>
    </row>
    <row r="679" spans="1:30" ht="12.75" hidden="1" customHeight="1" x14ac:dyDescent="0.2">
      <c r="A679" s="121"/>
      <c r="D679" s="117"/>
      <c r="E679" s="117"/>
      <c r="I679" s="118"/>
      <c r="J679" s="13"/>
      <c r="K679" s="269"/>
      <c r="L679" s="57"/>
      <c r="M679" s="119"/>
      <c r="N679" s="57"/>
      <c r="O679" s="57"/>
      <c r="P679" s="57"/>
      <c r="Q679" s="57"/>
      <c r="R679" s="57"/>
      <c r="S679" s="119"/>
      <c r="T679" s="57"/>
      <c r="AD679" s="122"/>
    </row>
    <row r="680" spans="1:30" ht="12.75" hidden="1" customHeight="1" x14ac:dyDescent="0.2">
      <c r="A680" s="121"/>
      <c r="D680" s="117"/>
      <c r="E680" s="117"/>
      <c r="I680" s="118"/>
      <c r="J680" s="13"/>
      <c r="K680" s="269"/>
      <c r="L680" s="57"/>
      <c r="M680" s="119"/>
      <c r="N680" s="57"/>
      <c r="O680" s="57"/>
      <c r="P680" s="57"/>
      <c r="Q680" s="57"/>
      <c r="R680" s="57"/>
      <c r="S680" s="119"/>
      <c r="T680" s="57"/>
      <c r="AD680" s="122"/>
    </row>
    <row r="681" spans="1:30" ht="12.75" hidden="1" customHeight="1" x14ac:dyDescent="0.2">
      <c r="A681" s="121"/>
      <c r="D681" s="117"/>
      <c r="E681" s="117"/>
      <c r="I681" s="118"/>
      <c r="J681" s="13"/>
      <c r="K681" s="269"/>
      <c r="L681" s="57"/>
      <c r="M681" s="119"/>
      <c r="N681" s="57"/>
      <c r="O681" s="57"/>
      <c r="P681" s="57"/>
      <c r="Q681" s="57"/>
      <c r="R681" s="57"/>
      <c r="S681" s="119"/>
      <c r="T681" s="57"/>
      <c r="AD681" s="122"/>
    </row>
    <row r="682" spans="1:30" ht="12.75" hidden="1" customHeight="1" x14ac:dyDescent="0.2">
      <c r="A682" s="121"/>
      <c r="D682" s="117"/>
      <c r="E682" s="117"/>
      <c r="I682" s="118"/>
      <c r="J682" s="13"/>
      <c r="K682" s="269"/>
      <c r="L682" s="57"/>
      <c r="M682" s="119"/>
      <c r="N682" s="57"/>
      <c r="O682" s="57"/>
      <c r="P682" s="57"/>
      <c r="Q682" s="57"/>
      <c r="R682" s="57"/>
      <c r="S682" s="119"/>
      <c r="T682" s="57"/>
      <c r="AD682" s="122"/>
    </row>
    <row r="683" spans="1:30" ht="12.75" hidden="1" customHeight="1" x14ac:dyDescent="0.2">
      <c r="A683" s="121"/>
      <c r="D683" s="117"/>
      <c r="E683" s="117"/>
      <c r="I683" s="118"/>
      <c r="J683" s="13"/>
      <c r="K683" s="269"/>
      <c r="L683" s="57"/>
      <c r="M683" s="119"/>
      <c r="N683" s="57"/>
      <c r="O683" s="57"/>
      <c r="P683" s="57"/>
      <c r="Q683" s="57"/>
      <c r="R683" s="57"/>
      <c r="S683" s="119"/>
      <c r="T683" s="57"/>
      <c r="AD683" s="122"/>
    </row>
    <row r="684" spans="1:30" ht="12.75" hidden="1" customHeight="1" x14ac:dyDescent="0.2">
      <c r="A684" s="121"/>
      <c r="D684" s="117"/>
      <c r="E684" s="117"/>
      <c r="I684" s="118"/>
      <c r="J684" s="13"/>
      <c r="K684" s="269"/>
      <c r="L684" s="57"/>
      <c r="M684" s="119"/>
      <c r="N684" s="57"/>
      <c r="O684" s="57"/>
      <c r="P684" s="57"/>
      <c r="Q684" s="57"/>
      <c r="R684" s="57"/>
      <c r="S684" s="119"/>
      <c r="T684" s="57"/>
      <c r="AD684" s="122"/>
    </row>
    <row r="685" spans="1:30" ht="12.75" hidden="1" customHeight="1" x14ac:dyDescent="0.2">
      <c r="A685" s="121"/>
      <c r="D685" s="117"/>
      <c r="E685" s="117"/>
      <c r="I685" s="118"/>
      <c r="J685" s="13"/>
      <c r="K685" s="269"/>
      <c r="L685" s="57"/>
      <c r="M685" s="119"/>
      <c r="N685" s="57"/>
      <c r="O685" s="57"/>
      <c r="P685" s="57"/>
      <c r="Q685" s="57"/>
      <c r="R685" s="57"/>
      <c r="S685" s="119"/>
      <c r="T685" s="57"/>
      <c r="AD685" s="122"/>
    </row>
    <row r="686" spans="1:30" ht="12.75" hidden="1" customHeight="1" x14ac:dyDescent="0.2">
      <c r="A686" s="121"/>
      <c r="D686" s="117"/>
      <c r="E686" s="117"/>
      <c r="I686" s="118"/>
      <c r="J686" s="13"/>
      <c r="K686" s="269"/>
      <c r="L686" s="57"/>
      <c r="M686" s="119"/>
      <c r="N686" s="57"/>
      <c r="O686" s="57"/>
      <c r="P686" s="57"/>
      <c r="Q686" s="57"/>
      <c r="R686" s="57"/>
      <c r="S686" s="119"/>
      <c r="T686" s="57"/>
      <c r="AD686" s="122"/>
    </row>
    <row r="687" spans="1:30" ht="12.75" hidden="1" customHeight="1" x14ac:dyDescent="0.2">
      <c r="A687" s="121"/>
      <c r="D687" s="117"/>
      <c r="E687" s="117"/>
      <c r="I687" s="118"/>
      <c r="J687" s="13"/>
      <c r="K687" s="269"/>
      <c r="L687" s="57"/>
      <c r="M687" s="119"/>
      <c r="N687" s="57"/>
      <c r="O687" s="57"/>
      <c r="P687" s="57"/>
      <c r="Q687" s="57"/>
      <c r="R687" s="57"/>
      <c r="S687" s="119"/>
      <c r="T687" s="57"/>
      <c r="AD687" s="122"/>
    </row>
    <row r="688" spans="1:30" ht="12.75" hidden="1" customHeight="1" x14ac:dyDescent="0.2">
      <c r="A688" s="121"/>
      <c r="D688" s="117"/>
      <c r="E688" s="117"/>
      <c r="I688" s="118"/>
      <c r="J688" s="13"/>
      <c r="K688" s="269"/>
      <c r="L688" s="57"/>
      <c r="M688" s="119"/>
      <c r="N688" s="57"/>
      <c r="O688" s="57"/>
      <c r="P688" s="57"/>
      <c r="Q688" s="57"/>
      <c r="R688" s="57"/>
      <c r="S688" s="119"/>
      <c r="T688" s="57"/>
      <c r="AD688" s="122"/>
    </row>
    <row r="689" spans="1:30" ht="12.75" hidden="1" customHeight="1" x14ac:dyDescent="0.2">
      <c r="A689" s="121"/>
      <c r="D689" s="117"/>
      <c r="E689" s="117"/>
      <c r="I689" s="118"/>
      <c r="J689" s="13"/>
      <c r="K689" s="269"/>
      <c r="L689" s="57"/>
      <c r="M689" s="119"/>
      <c r="N689" s="57"/>
      <c r="O689" s="57"/>
      <c r="P689" s="57"/>
      <c r="Q689" s="57"/>
      <c r="R689" s="57"/>
      <c r="S689" s="119"/>
      <c r="T689" s="57"/>
      <c r="AD689" s="122"/>
    </row>
    <row r="690" spans="1:30" ht="12.75" hidden="1" customHeight="1" x14ac:dyDescent="0.2">
      <c r="A690" s="121"/>
      <c r="D690" s="117"/>
      <c r="E690" s="117"/>
      <c r="I690" s="118"/>
      <c r="J690" s="13"/>
      <c r="K690" s="269"/>
      <c r="L690" s="57"/>
      <c r="M690" s="119"/>
      <c r="N690" s="57"/>
      <c r="O690" s="57"/>
      <c r="P690" s="57"/>
      <c r="Q690" s="57"/>
      <c r="R690" s="57"/>
      <c r="S690" s="119"/>
      <c r="T690" s="57"/>
      <c r="AD690" s="122"/>
    </row>
    <row r="691" spans="1:30" ht="12.75" hidden="1" customHeight="1" x14ac:dyDescent="0.2">
      <c r="A691" s="121"/>
      <c r="D691" s="117"/>
      <c r="E691" s="117"/>
      <c r="I691" s="118"/>
      <c r="J691" s="13"/>
      <c r="K691" s="269"/>
      <c r="L691" s="57"/>
      <c r="M691" s="119"/>
      <c r="N691" s="57"/>
      <c r="O691" s="57"/>
      <c r="P691" s="57"/>
      <c r="Q691" s="57"/>
      <c r="R691" s="57"/>
      <c r="S691" s="119"/>
      <c r="T691" s="57"/>
      <c r="AD691" s="122"/>
    </row>
    <row r="692" spans="1:30" ht="12.75" hidden="1" customHeight="1" x14ac:dyDescent="0.2">
      <c r="A692" s="121"/>
      <c r="D692" s="117"/>
      <c r="E692" s="117"/>
      <c r="I692" s="118"/>
      <c r="J692" s="13"/>
      <c r="K692" s="269"/>
      <c r="L692" s="57"/>
      <c r="M692" s="119"/>
      <c r="N692" s="57"/>
      <c r="O692" s="57"/>
      <c r="P692" s="57"/>
      <c r="Q692" s="57"/>
      <c r="R692" s="57"/>
      <c r="S692" s="119"/>
      <c r="T692" s="57"/>
      <c r="AD692" s="122"/>
    </row>
    <row r="693" spans="1:30" ht="12.75" hidden="1" customHeight="1" x14ac:dyDescent="0.2">
      <c r="A693" s="121"/>
      <c r="D693" s="117"/>
      <c r="E693" s="117"/>
      <c r="I693" s="118"/>
      <c r="J693" s="13"/>
      <c r="K693" s="269"/>
      <c r="L693" s="57"/>
      <c r="M693" s="119"/>
      <c r="N693" s="57"/>
      <c r="O693" s="57"/>
      <c r="P693" s="57"/>
      <c r="Q693" s="57"/>
      <c r="R693" s="57"/>
      <c r="S693" s="119"/>
      <c r="T693" s="57"/>
      <c r="AD693" s="122"/>
    </row>
    <row r="694" spans="1:30" ht="12.75" hidden="1" customHeight="1" x14ac:dyDescent="0.2">
      <c r="A694" s="121"/>
      <c r="D694" s="117"/>
      <c r="E694" s="117"/>
      <c r="I694" s="118"/>
      <c r="J694" s="13"/>
      <c r="K694" s="269"/>
      <c r="L694" s="57"/>
      <c r="M694" s="119"/>
      <c r="N694" s="57"/>
      <c r="O694" s="57"/>
      <c r="P694" s="57"/>
      <c r="Q694" s="57"/>
      <c r="R694" s="57"/>
      <c r="S694" s="119"/>
      <c r="T694" s="57"/>
      <c r="AD694" s="122"/>
    </row>
    <row r="695" spans="1:30" ht="12.75" hidden="1" customHeight="1" x14ac:dyDescent="0.2">
      <c r="A695" s="121"/>
      <c r="D695" s="117"/>
      <c r="E695" s="117"/>
      <c r="I695" s="118"/>
      <c r="J695" s="13"/>
      <c r="K695" s="269"/>
      <c r="L695" s="57"/>
      <c r="M695" s="119"/>
      <c r="N695" s="57"/>
      <c r="O695" s="57"/>
      <c r="P695" s="57"/>
      <c r="Q695" s="57"/>
      <c r="R695" s="57"/>
      <c r="S695" s="119"/>
      <c r="T695" s="57"/>
      <c r="AD695" s="122"/>
    </row>
    <row r="696" spans="1:30" ht="12.75" hidden="1" customHeight="1" x14ac:dyDescent="0.2">
      <c r="A696" s="121"/>
      <c r="D696" s="117"/>
      <c r="E696" s="117"/>
      <c r="I696" s="118"/>
      <c r="J696" s="13"/>
      <c r="K696" s="269"/>
      <c r="L696" s="57"/>
      <c r="M696" s="119"/>
      <c r="N696" s="57"/>
      <c r="O696" s="57"/>
      <c r="P696" s="57"/>
      <c r="Q696" s="57"/>
      <c r="R696" s="57"/>
      <c r="S696" s="119"/>
      <c r="T696" s="57"/>
      <c r="AD696" s="122"/>
    </row>
    <row r="697" spans="1:30" ht="12.75" hidden="1" customHeight="1" x14ac:dyDescent="0.2">
      <c r="A697" s="121"/>
      <c r="D697" s="117"/>
      <c r="E697" s="117"/>
      <c r="I697" s="118"/>
      <c r="J697" s="13"/>
      <c r="K697" s="269"/>
      <c r="L697" s="57"/>
      <c r="M697" s="119"/>
      <c r="N697" s="57"/>
      <c r="O697" s="57"/>
      <c r="P697" s="57"/>
      <c r="Q697" s="57"/>
      <c r="R697" s="57"/>
      <c r="S697" s="119"/>
      <c r="T697" s="57"/>
      <c r="AD697" s="122"/>
    </row>
    <row r="698" spans="1:30" ht="12.75" hidden="1" customHeight="1" x14ac:dyDescent="0.2">
      <c r="A698" s="121"/>
      <c r="D698" s="117"/>
      <c r="E698" s="117"/>
      <c r="I698" s="118"/>
      <c r="J698" s="13"/>
      <c r="K698" s="269"/>
      <c r="L698" s="57"/>
      <c r="M698" s="119"/>
      <c r="N698" s="57"/>
      <c r="O698" s="57"/>
      <c r="P698" s="57"/>
      <c r="Q698" s="57"/>
      <c r="R698" s="57"/>
      <c r="S698" s="119"/>
      <c r="T698" s="57"/>
      <c r="AD698" s="122"/>
    </row>
    <row r="699" spans="1:30" ht="12.75" hidden="1" customHeight="1" x14ac:dyDescent="0.2">
      <c r="A699" s="121"/>
      <c r="D699" s="117"/>
      <c r="E699" s="117"/>
      <c r="I699" s="118"/>
      <c r="J699" s="13"/>
      <c r="K699" s="269"/>
      <c r="L699" s="57"/>
      <c r="M699" s="119"/>
      <c r="N699" s="57"/>
      <c r="O699" s="57"/>
      <c r="P699" s="57"/>
      <c r="Q699" s="57"/>
      <c r="R699" s="57"/>
      <c r="S699" s="119"/>
      <c r="T699" s="57"/>
      <c r="AD699" s="122"/>
    </row>
    <row r="700" spans="1:30" ht="12.75" hidden="1" customHeight="1" x14ac:dyDescent="0.2">
      <c r="A700" s="121"/>
      <c r="D700" s="117"/>
      <c r="E700" s="117"/>
      <c r="I700" s="118"/>
      <c r="J700" s="13"/>
      <c r="K700" s="269"/>
      <c r="L700" s="57"/>
      <c r="M700" s="119"/>
      <c r="N700" s="57"/>
      <c r="O700" s="57"/>
      <c r="P700" s="57"/>
      <c r="Q700" s="57"/>
      <c r="R700" s="57"/>
      <c r="S700" s="119"/>
      <c r="T700" s="57"/>
      <c r="AD700" s="122"/>
    </row>
    <row r="701" spans="1:30" ht="12.75" hidden="1" customHeight="1" x14ac:dyDescent="0.2">
      <c r="A701" s="121"/>
      <c r="D701" s="117"/>
      <c r="E701" s="117"/>
      <c r="I701" s="118"/>
      <c r="J701" s="13"/>
      <c r="K701" s="269"/>
      <c r="L701" s="57"/>
      <c r="M701" s="119"/>
      <c r="N701" s="57"/>
      <c r="O701" s="57"/>
      <c r="P701" s="57"/>
      <c r="Q701" s="57"/>
      <c r="R701" s="57"/>
      <c r="S701" s="119"/>
      <c r="T701" s="57"/>
      <c r="AD701" s="122"/>
    </row>
    <row r="702" spans="1:30" ht="12.75" hidden="1" customHeight="1" x14ac:dyDescent="0.2">
      <c r="A702" s="121"/>
      <c r="D702" s="117"/>
      <c r="E702" s="117"/>
      <c r="I702" s="118"/>
      <c r="J702" s="13"/>
      <c r="K702" s="269"/>
      <c r="L702" s="57"/>
      <c r="M702" s="119"/>
      <c r="N702" s="57"/>
      <c r="O702" s="57"/>
      <c r="P702" s="57"/>
      <c r="Q702" s="57"/>
      <c r="R702" s="57"/>
      <c r="S702" s="119"/>
      <c r="T702" s="57"/>
      <c r="AD702" s="122"/>
    </row>
    <row r="703" spans="1:30" ht="12.75" hidden="1" customHeight="1" x14ac:dyDescent="0.2">
      <c r="A703" s="121"/>
      <c r="D703" s="117"/>
      <c r="E703" s="117"/>
      <c r="I703" s="118"/>
      <c r="J703" s="13"/>
      <c r="K703" s="269"/>
      <c r="L703" s="57"/>
      <c r="M703" s="119"/>
      <c r="N703" s="57"/>
      <c r="O703" s="57"/>
      <c r="P703" s="57"/>
      <c r="Q703" s="57"/>
      <c r="R703" s="57"/>
      <c r="S703" s="119"/>
      <c r="T703" s="57"/>
      <c r="AD703" s="122"/>
    </row>
    <row r="704" spans="1:30" ht="12.75" hidden="1" customHeight="1" x14ac:dyDescent="0.2">
      <c r="A704" s="121"/>
      <c r="D704" s="117"/>
      <c r="E704" s="117"/>
      <c r="I704" s="118"/>
      <c r="J704" s="13"/>
      <c r="K704" s="269"/>
      <c r="L704" s="57"/>
      <c r="M704" s="119"/>
      <c r="N704" s="57"/>
      <c r="O704" s="57"/>
      <c r="P704" s="57"/>
      <c r="Q704" s="57"/>
      <c r="R704" s="57"/>
      <c r="S704" s="119"/>
      <c r="T704" s="57"/>
      <c r="AD704" s="122"/>
    </row>
    <row r="705" spans="1:30" ht="12.75" hidden="1" customHeight="1" x14ac:dyDescent="0.2">
      <c r="A705" s="121"/>
      <c r="D705" s="117"/>
      <c r="E705" s="117"/>
      <c r="I705" s="118"/>
      <c r="J705" s="13"/>
      <c r="K705" s="269"/>
      <c r="L705" s="57"/>
      <c r="M705" s="119"/>
      <c r="N705" s="57"/>
      <c r="O705" s="57"/>
      <c r="P705" s="57"/>
      <c r="Q705" s="57"/>
      <c r="R705" s="57"/>
      <c r="S705" s="119"/>
      <c r="T705" s="57"/>
      <c r="AD705" s="122"/>
    </row>
    <row r="706" spans="1:30" ht="12.75" hidden="1" customHeight="1" x14ac:dyDescent="0.2">
      <c r="A706" s="121"/>
      <c r="D706" s="117"/>
      <c r="E706" s="117"/>
      <c r="I706" s="118"/>
      <c r="J706" s="13"/>
      <c r="K706" s="269"/>
      <c r="L706" s="57"/>
      <c r="M706" s="119"/>
      <c r="N706" s="57"/>
      <c r="O706" s="57"/>
      <c r="P706" s="57"/>
      <c r="Q706" s="57"/>
      <c r="R706" s="57"/>
      <c r="S706" s="119"/>
      <c r="T706" s="57"/>
      <c r="AD706" s="122"/>
    </row>
    <row r="707" spans="1:30" ht="12.75" hidden="1" customHeight="1" x14ac:dyDescent="0.2">
      <c r="A707" s="121"/>
      <c r="D707" s="117"/>
      <c r="E707" s="117"/>
      <c r="I707" s="118"/>
      <c r="J707" s="13"/>
      <c r="K707" s="269"/>
      <c r="L707" s="57"/>
      <c r="M707" s="119"/>
      <c r="N707" s="57"/>
      <c r="O707" s="57"/>
      <c r="P707" s="57"/>
      <c r="Q707" s="57"/>
      <c r="R707" s="57"/>
      <c r="S707" s="119"/>
      <c r="T707" s="57"/>
      <c r="AD707" s="122"/>
    </row>
    <row r="708" spans="1:30" ht="12.75" hidden="1" customHeight="1" x14ac:dyDescent="0.2">
      <c r="A708" s="121"/>
      <c r="D708" s="117"/>
      <c r="E708" s="117"/>
      <c r="I708" s="118"/>
      <c r="J708" s="13"/>
      <c r="K708" s="269"/>
      <c r="L708" s="57"/>
      <c r="M708" s="119"/>
      <c r="N708" s="57"/>
      <c r="O708" s="57"/>
      <c r="P708" s="57"/>
      <c r="Q708" s="57"/>
      <c r="R708" s="57"/>
      <c r="S708" s="119"/>
      <c r="T708" s="57"/>
      <c r="AD708" s="122"/>
    </row>
    <row r="709" spans="1:30" ht="12.75" hidden="1" customHeight="1" x14ac:dyDescent="0.2">
      <c r="A709" s="121"/>
      <c r="D709" s="117"/>
      <c r="E709" s="117"/>
      <c r="I709" s="118"/>
      <c r="J709" s="13"/>
      <c r="K709" s="269"/>
      <c r="L709" s="57"/>
      <c r="M709" s="119"/>
      <c r="N709" s="57"/>
      <c r="O709" s="57"/>
      <c r="P709" s="57"/>
      <c r="Q709" s="57"/>
      <c r="R709" s="57"/>
      <c r="S709" s="119"/>
      <c r="T709" s="57"/>
      <c r="AD709" s="122"/>
    </row>
    <row r="710" spans="1:30" ht="12.75" hidden="1" customHeight="1" x14ac:dyDescent="0.2">
      <c r="A710" s="121"/>
      <c r="D710" s="117"/>
      <c r="E710" s="117"/>
      <c r="I710" s="118"/>
      <c r="J710" s="13"/>
      <c r="K710" s="269"/>
      <c r="L710" s="57"/>
      <c r="M710" s="119"/>
      <c r="N710" s="57"/>
      <c r="O710" s="57"/>
      <c r="P710" s="57"/>
      <c r="Q710" s="57"/>
      <c r="R710" s="57"/>
      <c r="S710" s="119"/>
      <c r="T710" s="57"/>
      <c r="AD710" s="122"/>
    </row>
    <row r="711" spans="1:30" ht="12.75" hidden="1" customHeight="1" x14ac:dyDescent="0.2">
      <c r="A711" s="121"/>
      <c r="D711" s="117"/>
      <c r="E711" s="117"/>
      <c r="I711" s="118"/>
      <c r="J711" s="13"/>
      <c r="K711" s="269"/>
      <c r="L711" s="57"/>
      <c r="M711" s="119"/>
      <c r="N711" s="57"/>
      <c r="O711" s="57"/>
      <c r="P711" s="57"/>
      <c r="Q711" s="57"/>
      <c r="R711" s="57"/>
      <c r="S711" s="119"/>
      <c r="T711" s="57"/>
      <c r="AD711" s="122"/>
    </row>
    <row r="712" spans="1:30" ht="12.75" hidden="1" customHeight="1" x14ac:dyDescent="0.2">
      <c r="A712" s="121"/>
      <c r="D712" s="117"/>
      <c r="E712" s="117"/>
      <c r="I712" s="118"/>
      <c r="J712" s="13"/>
      <c r="K712" s="269"/>
      <c r="L712" s="57"/>
      <c r="M712" s="119"/>
      <c r="N712" s="57"/>
      <c r="O712" s="57"/>
      <c r="P712" s="57"/>
      <c r="Q712" s="57"/>
      <c r="R712" s="57"/>
      <c r="S712" s="119"/>
      <c r="T712" s="57"/>
      <c r="AD712" s="122"/>
    </row>
    <row r="713" spans="1:30" ht="12.75" hidden="1" customHeight="1" x14ac:dyDescent="0.2">
      <c r="A713" s="121"/>
      <c r="D713" s="117"/>
      <c r="E713" s="117"/>
      <c r="I713" s="118"/>
      <c r="J713" s="13"/>
      <c r="K713" s="269"/>
      <c r="L713" s="57"/>
      <c r="M713" s="119"/>
      <c r="N713" s="57"/>
      <c r="O713" s="57"/>
      <c r="P713" s="57"/>
      <c r="Q713" s="57"/>
      <c r="R713" s="57"/>
      <c r="S713" s="119"/>
      <c r="T713" s="57"/>
      <c r="AD713" s="122"/>
    </row>
    <row r="714" spans="1:30" ht="12.75" hidden="1" customHeight="1" x14ac:dyDescent="0.2">
      <c r="A714" s="121"/>
      <c r="D714" s="117"/>
      <c r="E714" s="117"/>
      <c r="I714" s="118"/>
      <c r="J714" s="13"/>
      <c r="K714" s="269"/>
      <c r="L714" s="57"/>
      <c r="M714" s="119"/>
      <c r="N714" s="57"/>
      <c r="O714" s="57"/>
      <c r="P714" s="57"/>
      <c r="Q714" s="57"/>
      <c r="R714" s="57"/>
      <c r="S714" s="119"/>
      <c r="T714" s="57"/>
      <c r="AD714" s="122"/>
    </row>
    <row r="715" spans="1:30" ht="12.75" hidden="1" customHeight="1" x14ac:dyDescent="0.2">
      <c r="A715" s="121"/>
      <c r="D715" s="117"/>
      <c r="E715" s="117"/>
      <c r="I715" s="118"/>
      <c r="J715" s="13"/>
      <c r="K715" s="269"/>
      <c r="L715" s="57"/>
      <c r="M715" s="119"/>
      <c r="N715" s="57"/>
      <c r="O715" s="57"/>
      <c r="P715" s="57"/>
      <c r="Q715" s="57"/>
      <c r="R715" s="57"/>
      <c r="S715" s="119"/>
      <c r="T715" s="57"/>
      <c r="AD715" s="122"/>
    </row>
    <row r="716" spans="1:30" ht="12.75" hidden="1" customHeight="1" x14ac:dyDescent="0.2">
      <c r="A716" s="121"/>
      <c r="D716" s="117"/>
      <c r="E716" s="117"/>
      <c r="I716" s="118"/>
      <c r="J716" s="13"/>
      <c r="K716" s="269"/>
      <c r="L716" s="57"/>
      <c r="M716" s="119"/>
      <c r="N716" s="57"/>
      <c r="O716" s="57"/>
      <c r="P716" s="57"/>
      <c r="Q716" s="57"/>
      <c r="R716" s="57"/>
      <c r="S716" s="119"/>
      <c r="T716" s="57"/>
      <c r="AD716" s="122"/>
    </row>
    <row r="717" spans="1:30" ht="12.75" hidden="1" customHeight="1" x14ac:dyDescent="0.2">
      <c r="A717" s="121"/>
      <c r="D717" s="117"/>
      <c r="E717" s="117"/>
      <c r="I717" s="118"/>
      <c r="J717" s="13"/>
      <c r="K717" s="269"/>
      <c r="L717" s="57"/>
      <c r="M717" s="119"/>
      <c r="N717" s="57"/>
      <c r="O717" s="57"/>
      <c r="P717" s="57"/>
      <c r="Q717" s="57"/>
      <c r="R717" s="57"/>
      <c r="S717" s="119"/>
      <c r="T717" s="57"/>
      <c r="AD717" s="122"/>
    </row>
    <row r="718" spans="1:30" ht="12.75" hidden="1" customHeight="1" x14ac:dyDescent="0.2">
      <c r="A718" s="121"/>
      <c r="D718" s="117"/>
      <c r="E718" s="117"/>
      <c r="I718" s="118"/>
      <c r="J718" s="13"/>
      <c r="K718" s="269"/>
      <c r="L718" s="57"/>
      <c r="M718" s="119"/>
      <c r="N718" s="57"/>
      <c r="O718" s="57"/>
      <c r="P718" s="57"/>
      <c r="Q718" s="57"/>
      <c r="R718" s="57"/>
      <c r="S718" s="119"/>
      <c r="T718" s="57"/>
      <c r="AD718" s="122"/>
    </row>
    <row r="719" spans="1:30" ht="12.75" hidden="1" customHeight="1" x14ac:dyDescent="0.2">
      <c r="A719" s="121"/>
      <c r="D719" s="117"/>
      <c r="E719" s="117"/>
      <c r="I719" s="118"/>
      <c r="J719" s="13"/>
      <c r="K719" s="269"/>
      <c r="L719" s="57"/>
      <c r="M719" s="119"/>
      <c r="N719" s="57"/>
      <c r="O719" s="57"/>
      <c r="P719" s="57"/>
      <c r="Q719" s="57"/>
      <c r="R719" s="57"/>
      <c r="S719" s="119"/>
      <c r="T719" s="57"/>
      <c r="AD719" s="122"/>
    </row>
    <row r="720" spans="1:30" ht="12.75" hidden="1" customHeight="1" x14ac:dyDescent="0.2">
      <c r="A720" s="121"/>
      <c r="D720" s="117"/>
      <c r="E720" s="117"/>
      <c r="I720" s="118"/>
      <c r="J720" s="13"/>
      <c r="K720" s="269"/>
      <c r="L720" s="57"/>
      <c r="M720" s="119"/>
      <c r="N720" s="57"/>
      <c r="O720" s="57"/>
      <c r="P720" s="57"/>
      <c r="Q720" s="57"/>
      <c r="R720" s="57"/>
      <c r="S720" s="119"/>
      <c r="T720" s="57"/>
      <c r="AD720" s="122"/>
    </row>
    <row r="721" spans="1:30" ht="12.75" hidden="1" customHeight="1" x14ac:dyDescent="0.2">
      <c r="A721" s="121"/>
      <c r="D721" s="117"/>
      <c r="E721" s="117"/>
      <c r="I721" s="118"/>
      <c r="J721" s="13"/>
      <c r="K721" s="269"/>
      <c r="L721" s="57"/>
      <c r="M721" s="119"/>
      <c r="N721" s="57"/>
      <c r="O721" s="57"/>
      <c r="P721" s="57"/>
      <c r="Q721" s="57"/>
      <c r="R721" s="57"/>
      <c r="S721" s="119"/>
      <c r="T721" s="57"/>
      <c r="AD721" s="122"/>
    </row>
    <row r="722" spans="1:30" ht="12.75" hidden="1" customHeight="1" x14ac:dyDescent="0.2">
      <c r="A722" s="121"/>
      <c r="D722" s="117"/>
      <c r="E722" s="117"/>
      <c r="I722" s="118"/>
      <c r="J722" s="13"/>
      <c r="K722" s="269"/>
      <c r="L722" s="57"/>
      <c r="M722" s="119"/>
      <c r="N722" s="57"/>
      <c r="O722" s="57"/>
      <c r="P722" s="57"/>
      <c r="Q722" s="57"/>
      <c r="R722" s="57"/>
      <c r="S722" s="119"/>
      <c r="T722" s="57"/>
      <c r="AD722" s="122"/>
    </row>
    <row r="723" spans="1:30" ht="12.75" hidden="1" customHeight="1" x14ac:dyDescent="0.2">
      <c r="A723" s="121"/>
      <c r="D723" s="117"/>
      <c r="E723" s="117"/>
      <c r="I723" s="118"/>
      <c r="J723" s="13"/>
      <c r="K723" s="269"/>
      <c r="L723" s="57"/>
      <c r="M723" s="119"/>
      <c r="N723" s="57"/>
      <c r="O723" s="57"/>
      <c r="P723" s="57"/>
      <c r="Q723" s="57"/>
      <c r="R723" s="57"/>
      <c r="S723" s="119"/>
      <c r="T723" s="57"/>
      <c r="AD723" s="122"/>
    </row>
    <row r="724" spans="1:30" ht="12.75" hidden="1" customHeight="1" x14ac:dyDescent="0.2">
      <c r="A724" s="121"/>
      <c r="D724" s="117"/>
      <c r="E724" s="117"/>
      <c r="I724" s="118"/>
      <c r="J724" s="13"/>
      <c r="K724" s="269"/>
      <c r="L724" s="57"/>
      <c r="M724" s="119"/>
      <c r="N724" s="57"/>
      <c r="O724" s="57"/>
      <c r="P724" s="57"/>
      <c r="Q724" s="57"/>
      <c r="R724" s="57"/>
      <c r="S724" s="119"/>
      <c r="T724" s="57"/>
      <c r="AD724" s="122"/>
    </row>
    <row r="725" spans="1:30" ht="12.75" hidden="1" customHeight="1" x14ac:dyDescent="0.2">
      <c r="A725" s="121"/>
      <c r="D725" s="117"/>
      <c r="E725" s="117"/>
      <c r="I725" s="118"/>
      <c r="J725" s="13"/>
      <c r="K725" s="269"/>
      <c r="L725" s="57"/>
      <c r="M725" s="119"/>
      <c r="N725" s="57"/>
      <c r="O725" s="57"/>
      <c r="P725" s="57"/>
      <c r="Q725" s="57"/>
      <c r="R725" s="57"/>
      <c r="S725" s="119"/>
      <c r="T725" s="57"/>
      <c r="AD725" s="122"/>
    </row>
    <row r="726" spans="1:30" ht="12.75" hidden="1" customHeight="1" x14ac:dyDescent="0.2">
      <c r="A726" s="121"/>
      <c r="D726" s="117"/>
      <c r="E726" s="117"/>
      <c r="I726" s="118"/>
      <c r="J726" s="13"/>
      <c r="K726" s="269"/>
      <c r="L726" s="57"/>
      <c r="M726" s="119"/>
      <c r="N726" s="57"/>
      <c r="O726" s="57"/>
      <c r="P726" s="57"/>
      <c r="Q726" s="57"/>
      <c r="R726" s="57"/>
      <c r="S726" s="119"/>
      <c r="T726" s="57"/>
      <c r="AD726" s="122"/>
    </row>
    <row r="727" spans="1:30" ht="12.75" hidden="1" customHeight="1" x14ac:dyDescent="0.2">
      <c r="A727" s="121"/>
      <c r="D727" s="117"/>
      <c r="E727" s="117"/>
      <c r="I727" s="118"/>
      <c r="J727" s="13"/>
      <c r="K727" s="269"/>
      <c r="L727" s="57"/>
      <c r="M727" s="119"/>
      <c r="N727" s="57"/>
      <c r="O727" s="57"/>
      <c r="P727" s="57"/>
      <c r="Q727" s="57"/>
      <c r="R727" s="57"/>
      <c r="S727" s="119"/>
      <c r="T727" s="57"/>
      <c r="AD727" s="122"/>
    </row>
    <row r="728" spans="1:30" ht="12.75" hidden="1" customHeight="1" x14ac:dyDescent="0.2">
      <c r="A728" s="121"/>
      <c r="D728" s="117"/>
      <c r="E728" s="117"/>
      <c r="I728" s="118"/>
      <c r="J728" s="13"/>
      <c r="K728" s="269"/>
      <c r="L728" s="57"/>
      <c r="M728" s="119"/>
      <c r="N728" s="57"/>
      <c r="O728" s="57"/>
      <c r="P728" s="57"/>
      <c r="Q728" s="57"/>
      <c r="R728" s="57"/>
      <c r="S728" s="119"/>
      <c r="T728" s="57"/>
      <c r="AD728" s="122"/>
    </row>
    <row r="729" spans="1:30" ht="12.75" hidden="1" customHeight="1" x14ac:dyDescent="0.2">
      <c r="A729" s="121"/>
      <c r="D729" s="117"/>
      <c r="E729" s="117"/>
      <c r="I729" s="118"/>
      <c r="J729" s="13"/>
      <c r="K729" s="269"/>
      <c r="L729" s="57"/>
      <c r="M729" s="119"/>
      <c r="N729" s="57"/>
      <c r="O729" s="57"/>
      <c r="P729" s="57"/>
      <c r="Q729" s="57"/>
      <c r="R729" s="57"/>
      <c r="S729" s="119"/>
      <c r="T729" s="57"/>
      <c r="AD729" s="122"/>
    </row>
    <row r="730" spans="1:30" ht="12.75" hidden="1" customHeight="1" x14ac:dyDescent="0.2">
      <c r="A730" s="121"/>
      <c r="D730" s="117"/>
      <c r="E730" s="117"/>
      <c r="I730" s="118"/>
      <c r="J730" s="13"/>
      <c r="K730" s="269"/>
      <c r="L730" s="57"/>
      <c r="M730" s="119"/>
      <c r="N730" s="57"/>
      <c r="O730" s="57"/>
      <c r="P730" s="57"/>
      <c r="Q730" s="57"/>
      <c r="R730" s="57"/>
      <c r="S730" s="119"/>
      <c r="T730" s="57"/>
      <c r="AD730" s="122"/>
    </row>
    <row r="731" spans="1:30" ht="12.75" hidden="1" customHeight="1" x14ac:dyDescent="0.2">
      <c r="A731" s="121"/>
      <c r="D731" s="117"/>
      <c r="E731" s="117"/>
      <c r="I731" s="118"/>
      <c r="J731" s="13"/>
      <c r="K731" s="269"/>
      <c r="L731" s="57"/>
      <c r="M731" s="119"/>
      <c r="N731" s="57"/>
      <c r="O731" s="57"/>
      <c r="P731" s="57"/>
      <c r="Q731" s="57"/>
      <c r="R731" s="57"/>
      <c r="S731" s="119"/>
      <c r="T731" s="57"/>
      <c r="AD731" s="122"/>
    </row>
    <row r="732" spans="1:30" ht="12.75" hidden="1" customHeight="1" x14ac:dyDescent="0.2">
      <c r="A732" s="121"/>
      <c r="D732" s="117"/>
      <c r="E732" s="117"/>
      <c r="I732" s="118"/>
      <c r="J732" s="13"/>
      <c r="K732" s="269"/>
      <c r="L732" s="57"/>
      <c r="M732" s="119"/>
      <c r="N732" s="57"/>
      <c r="O732" s="57"/>
      <c r="P732" s="57"/>
      <c r="Q732" s="57"/>
      <c r="R732" s="57"/>
      <c r="S732" s="119"/>
      <c r="T732" s="57"/>
      <c r="AD732" s="122"/>
    </row>
    <row r="733" spans="1:30" ht="12.75" hidden="1" customHeight="1" x14ac:dyDescent="0.2">
      <c r="A733" s="121"/>
      <c r="D733" s="117"/>
      <c r="E733" s="117"/>
      <c r="I733" s="118"/>
      <c r="J733" s="13"/>
      <c r="K733" s="269"/>
      <c r="L733" s="57"/>
      <c r="M733" s="119"/>
      <c r="N733" s="57"/>
      <c r="O733" s="57"/>
      <c r="P733" s="57"/>
      <c r="Q733" s="57"/>
      <c r="R733" s="57"/>
      <c r="S733" s="119"/>
      <c r="T733" s="57"/>
      <c r="AD733" s="122"/>
    </row>
    <row r="734" spans="1:30" ht="12.75" hidden="1" customHeight="1" x14ac:dyDescent="0.2">
      <c r="A734" s="121"/>
      <c r="D734" s="117"/>
      <c r="E734" s="117"/>
      <c r="I734" s="118"/>
      <c r="J734" s="13"/>
      <c r="K734" s="269"/>
      <c r="L734" s="57"/>
      <c r="M734" s="119"/>
      <c r="N734" s="57"/>
      <c r="O734" s="57"/>
      <c r="P734" s="57"/>
      <c r="Q734" s="57"/>
      <c r="R734" s="57"/>
      <c r="S734" s="119"/>
      <c r="T734" s="57"/>
      <c r="AD734" s="122"/>
    </row>
    <row r="735" spans="1:30" ht="12.75" hidden="1" customHeight="1" x14ac:dyDescent="0.2">
      <c r="A735" s="121"/>
      <c r="D735" s="117"/>
      <c r="E735" s="117"/>
      <c r="I735" s="118"/>
      <c r="J735" s="13"/>
      <c r="K735" s="269"/>
      <c r="L735" s="57"/>
      <c r="M735" s="119"/>
      <c r="N735" s="57"/>
      <c r="O735" s="57"/>
      <c r="P735" s="57"/>
      <c r="Q735" s="57"/>
      <c r="R735" s="57"/>
      <c r="S735" s="119"/>
      <c r="T735" s="57"/>
      <c r="AD735" s="122"/>
    </row>
    <row r="736" spans="1:30" ht="12.75" hidden="1" customHeight="1" x14ac:dyDescent="0.2">
      <c r="A736" s="121"/>
      <c r="D736" s="117"/>
      <c r="E736" s="117"/>
      <c r="I736" s="118"/>
      <c r="J736" s="13"/>
      <c r="K736" s="269"/>
      <c r="L736" s="57"/>
      <c r="M736" s="119"/>
      <c r="N736" s="57"/>
      <c r="O736" s="57"/>
      <c r="P736" s="57"/>
      <c r="Q736" s="57"/>
      <c r="R736" s="57"/>
      <c r="S736" s="119"/>
      <c r="T736" s="57"/>
      <c r="AD736" s="122"/>
    </row>
    <row r="737" spans="1:30" ht="12.75" hidden="1" customHeight="1" x14ac:dyDescent="0.2">
      <c r="A737" s="121"/>
      <c r="D737" s="117"/>
      <c r="E737" s="117"/>
      <c r="I737" s="118"/>
      <c r="J737" s="13"/>
      <c r="K737" s="269"/>
      <c r="L737" s="57"/>
      <c r="M737" s="119"/>
      <c r="N737" s="57"/>
      <c r="O737" s="57"/>
      <c r="P737" s="57"/>
      <c r="Q737" s="57"/>
      <c r="R737" s="57"/>
      <c r="S737" s="119"/>
      <c r="T737" s="57"/>
      <c r="AD737" s="122"/>
    </row>
    <row r="738" spans="1:30" ht="12.75" hidden="1" customHeight="1" x14ac:dyDescent="0.2">
      <c r="A738" s="121"/>
      <c r="D738" s="117"/>
      <c r="E738" s="117"/>
      <c r="I738" s="118"/>
      <c r="J738" s="13"/>
      <c r="K738" s="269"/>
      <c r="L738" s="57"/>
      <c r="M738" s="119"/>
      <c r="N738" s="57"/>
      <c r="O738" s="57"/>
      <c r="P738" s="57"/>
      <c r="Q738" s="57"/>
      <c r="R738" s="57"/>
      <c r="S738" s="119"/>
      <c r="T738" s="57"/>
      <c r="AD738" s="122"/>
    </row>
    <row r="739" spans="1:30" ht="12.75" hidden="1" customHeight="1" x14ac:dyDescent="0.2">
      <c r="A739" s="121"/>
      <c r="D739" s="117"/>
      <c r="E739" s="117"/>
      <c r="I739" s="118"/>
      <c r="J739" s="13"/>
      <c r="K739" s="269"/>
      <c r="L739" s="57"/>
      <c r="M739" s="119"/>
      <c r="N739" s="57"/>
      <c r="O739" s="57"/>
      <c r="P739" s="57"/>
      <c r="Q739" s="57"/>
      <c r="R739" s="57"/>
      <c r="S739" s="119"/>
      <c r="T739" s="57"/>
      <c r="AD739" s="122"/>
    </row>
    <row r="740" spans="1:30" ht="12.75" hidden="1" customHeight="1" x14ac:dyDescent="0.2">
      <c r="A740" s="121"/>
      <c r="D740" s="117"/>
      <c r="E740" s="117"/>
      <c r="I740" s="118"/>
      <c r="J740" s="13"/>
      <c r="K740" s="269"/>
      <c r="L740" s="57"/>
      <c r="M740" s="119"/>
      <c r="N740" s="57"/>
      <c r="O740" s="57"/>
      <c r="P740" s="57"/>
      <c r="Q740" s="57"/>
      <c r="R740" s="57"/>
      <c r="S740" s="119"/>
      <c r="T740" s="57"/>
      <c r="AD740" s="122"/>
    </row>
    <row r="741" spans="1:30" ht="12.75" hidden="1" customHeight="1" x14ac:dyDescent="0.2">
      <c r="A741" s="121"/>
      <c r="D741" s="117"/>
      <c r="E741" s="117"/>
      <c r="I741" s="118"/>
      <c r="J741" s="13"/>
      <c r="K741" s="269"/>
      <c r="L741" s="57"/>
      <c r="M741" s="119"/>
      <c r="N741" s="57"/>
      <c r="O741" s="57"/>
      <c r="P741" s="57"/>
      <c r="Q741" s="57"/>
      <c r="R741" s="57"/>
      <c r="S741" s="119"/>
      <c r="T741" s="57"/>
      <c r="AD741" s="122"/>
    </row>
    <row r="742" spans="1:30" ht="12.75" hidden="1" customHeight="1" x14ac:dyDescent="0.2">
      <c r="A742" s="121"/>
      <c r="D742" s="117"/>
      <c r="E742" s="117"/>
      <c r="I742" s="118"/>
      <c r="J742" s="13"/>
      <c r="K742" s="269"/>
      <c r="L742" s="57"/>
      <c r="M742" s="119"/>
      <c r="N742" s="57"/>
      <c r="O742" s="57"/>
      <c r="P742" s="57"/>
      <c r="Q742" s="57"/>
      <c r="R742" s="57"/>
      <c r="S742" s="119"/>
      <c r="T742" s="57"/>
      <c r="AD742" s="122"/>
    </row>
    <row r="743" spans="1:30" ht="12.75" hidden="1" customHeight="1" x14ac:dyDescent="0.2">
      <c r="A743" s="121"/>
      <c r="D743" s="117"/>
      <c r="E743" s="117"/>
      <c r="I743" s="118"/>
      <c r="J743" s="13"/>
      <c r="K743" s="269"/>
      <c r="L743" s="57"/>
      <c r="M743" s="119"/>
      <c r="N743" s="57"/>
      <c r="O743" s="57"/>
      <c r="P743" s="57"/>
      <c r="Q743" s="57"/>
      <c r="R743" s="57"/>
      <c r="S743" s="119"/>
      <c r="T743" s="57"/>
      <c r="AD743" s="122"/>
    </row>
    <row r="744" spans="1:30" ht="12.75" hidden="1" customHeight="1" x14ac:dyDescent="0.2">
      <c r="A744" s="121"/>
      <c r="D744" s="117"/>
      <c r="E744" s="117"/>
      <c r="I744" s="118"/>
      <c r="J744" s="13"/>
      <c r="K744" s="269"/>
      <c r="L744" s="57"/>
      <c r="M744" s="119"/>
      <c r="N744" s="57"/>
      <c r="O744" s="57"/>
      <c r="P744" s="57"/>
      <c r="Q744" s="57"/>
      <c r="R744" s="57"/>
      <c r="S744" s="119"/>
      <c r="T744" s="57"/>
      <c r="AD744" s="122"/>
    </row>
    <row r="745" spans="1:30" ht="12.75" hidden="1" customHeight="1" x14ac:dyDescent="0.2">
      <c r="A745" s="121"/>
      <c r="D745" s="117"/>
      <c r="E745" s="117"/>
      <c r="I745" s="118"/>
      <c r="J745" s="13"/>
      <c r="K745" s="269"/>
      <c r="L745" s="57"/>
      <c r="M745" s="119"/>
      <c r="N745" s="57"/>
      <c r="O745" s="57"/>
      <c r="P745" s="57"/>
      <c r="Q745" s="57"/>
      <c r="R745" s="57"/>
      <c r="S745" s="119"/>
      <c r="T745" s="57"/>
      <c r="AD745" s="122"/>
    </row>
    <row r="746" spans="1:30" ht="12.75" hidden="1" customHeight="1" x14ac:dyDescent="0.2">
      <c r="A746" s="121"/>
      <c r="D746" s="117"/>
      <c r="E746" s="117"/>
      <c r="I746" s="118"/>
      <c r="J746" s="13"/>
      <c r="K746" s="269"/>
      <c r="L746" s="57"/>
      <c r="M746" s="119"/>
      <c r="N746" s="57"/>
      <c r="O746" s="57"/>
      <c r="P746" s="57"/>
      <c r="Q746" s="57"/>
      <c r="R746" s="57"/>
      <c r="S746" s="119"/>
      <c r="T746" s="57"/>
      <c r="AD746" s="122"/>
    </row>
    <row r="747" spans="1:30" ht="12.75" hidden="1" customHeight="1" x14ac:dyDescent="0.2">
      <c r="A747" s="121"/>
      <c r="D747" s="117"/>
      <c r="E747" s="117"/>
      <c r="I747" s="118"/>
      <c r="J747" s="13"/>
      <c r="K747" s="269"/>
      <c r="L747" s="57"/>
      <c r="M747" s="119"/>
      <c r="N747" s="57"/>
      <c r="O747" s="57"/>
      <c r="P747" s="57"/>
      <c r="Q747" s="57"/>
      <c r="R747" s="57"/>
      <c r="S747" s="119"/>
      <c r="T747" s="57"/>
      <c r="AD747" s="122"/>
    </row>
    <row r="748" spans="1:30" ht="12.75" hidden="1" customHeight="1" x14ac:dyDescent="0.2">
      <c r="A748" s="121"/>
      <c r="D748" s="117"/>
      <c r="E748" s="117"/>
      <c r="I748" s="118"/>
      <c r="J748" s="13"/>
      <c r="K748" s="269"/>
      <c r="L748" s="57"/>
      <c r="M748" s="119"/>
      <c r="N748" s="57"/>
      <c r="O748" s="57"/>
      <c r="P748" s="57"/>
      <c r="Q748" s="57"/>
      <c r="R748" s="57"/>
      <c r="S748" s="119"/>
      <c r="T748" s="57"/>
      <c r="AD748" s="122"/>
    </row>
    <row r="749" spans="1:30" ht="12.75" hidden="1" customHeight="1" x14ac:dyDescent="0.2">
      <c r="A749" s="121"/>
      <c r="D749" s="117"/>
      <c r="E749" s="117"/>
      <c r="I749" s="118"/>
      <c r="J749" s="13"/>
      <c r="K749" s="269"/>
      <c r="L749" s="57"/>
      <c r="M749" s="119"/>
      <c r="N749" s="57"/>
      <c r="O749" s="57"/>
      <c r="P749" s="57"/>
      <c r="Q749" s="57"/>
      <c r="R749" s="57"/>
      <c r="S749" s="119"/>
      <c r="T749" s="57"/>
      <c r="AD749" s="122"/>
    </row>
    <row r="750" spans="1:30" ht="12.75" hidden="1" customHeight="1" x14ac:dyDescent="0.2">
      <c r="A750" s="121"/>
      <c r="D750" s="117"/>
      <c r="E750" s="117"/>
      <c r="I750" s="118"/>
      <c r="J750" s="13"/>
      <c r="K750" s="269"/>
      <c r="L750" s="57"/>
      <c r="M750" s="119"/>
      <c r="N750" s="57"/>
      <c r="O750" s="57"/>
      <c r="P750" s="57"/>
      <c r="Q750" s="57"/>
      <c r="R750" s="57"/>
      <c r="S750" s="119"/>
      <c r="T750" s="57"/>
      <c r="AD750" s="122"/>
    </row>
    <row r="751" spans="1:30" ht="12.75" hidden="1" customHeight="1" x14ac:dyDescent="0.2">
      <c r="A751" s="121"/>
      <c r="D751" s="117"/>
      <c r="E751" s="117"/>
      <c r="I751" s="118"/>
      <c r="J751" s="13"/>
      <c r="K751" s="269"/>
      <c r="L751" s="57"/>
      <c r="M751" s="119"/>
      <c r="N751" s="57"/>
      <c r="O751" s="57"/>
      <c r="P751" s="57"/>
      <c r="Q751" s="57"/>
      <c r="R751" s="57"/>
      <c r="S751" s="119"/>
      <c r="T751" s="57"/>
      <c r="AD751" s="122"/>
    </row>
    <row r="752" spans="1:30" ht="12.75" hidden="1" customHeight="1" x14ac:dyDescent="0.2">
      <c r="A752" s="121"/>
      <c r="D752" s="117"/>
      <c r="E752" s="117"/>
      <c r="I752" s="118"/>
      <c r="J752" s="13"/>
      <c r="K752" s="269"/>
      <c r="L752" s="57"/>
      <c r="M752" s="119"/>
      <c r="N752" s="57"/>
      <c r="O752" s="57"/>
      <c r="P752" s="57"/>
      <c r="Q752" s="57"/>
      <c r="R752" s="57"/>
      <c r="S752" s="119"/>
      <c r="T752" s="57"/>
      <c r="AD752" s="122"/>
    </row>
    <row r="753" spans="1:30" ht="12.75" hidden="1" customHeight="1" x14ac:dyDescent="0.2">
      <c r="A753" s="121"/>
      <c r="D753" s="117"/>
      <c r="E753" s="117"/>
      <c r="I753" s="118"/>
      <c r="J753" s="13"/>
      <c r="K753" s="269"/>
      <c r="L753" s="57"/>
      <c r="M753" s="119"/>
      <c r="N753" s="57"/>
      <c r="O753" s="57"/>
      <c r="P753" s="57"/>
      <c r="Q753" s="57"/>
      <c r="R753" s="57"/>
      <c r="S753" s="119"/>
      <c r="T753" s="57"/>
      <c r="AD753" s="122"/>
    </row>
    <row r="754" spans="1:30" ht="12.75" hidden="1" customHeight="1" x14ac:dyDescent="0.2">
      <c r="A754" s="121"/>
      <c r="D754" s="117"/>
      <c r="E754" s="117"/>
      <c r="I754" s="118"/>
      <c r="J754" s="13"/>
      <c r="K754" s="269"/>
      <c r="L754" s="57"/>
      <c r="M754" s="119"/>
      <c r="N754" s="57"/>
      <c r="O754" s="57"/>
      <c r="P754" s="57"/>
      <c r="Q754" s="57"/>
      <c r="R754" s="57"/>
      <c r="S754" s="119"/>
      <c r="T754" s="57"/>
      <c r="AD754" s="122"/>
    </row>
    <row r="755" spans="1:30" ht="12.75" hidden="1" customHeight="1" x14ac:dyDescent="0.2">
      <c r="A755" s="121"/>
      <c r="D755" s="117"/>
      <c r="E755" s="117"/>
      <c r="I755" s="118"/>
      <c r="J755" s="13"/>
      <c r="K755" s="269"/>
      <c r="L755" s="57"/>
      <c r="M755" s="119"/>
      <c r="N755" s="57"/>
      <c r="O755" s="57"/>
      <c r="P755" s="57"/>
      <c r="Q755" s="57"/>
      <c r="R755" s="57"/>
      <c r="S755" s="119"/>
      <c r="T755" s="57"/>
      <c r="AD755" s="122"/>
    </row>
    <row r="756" spans="1:30" ht="12.75" hidden="1" customHeight="1" x14ac:dyDescent="0.2">
      <c r="A756" s="121"/>
      <c r="D756" s="117"/>
      <c r="E756" s="117"/>
      <c r="I756" s="118"/>
      <c r="J756" s="13"/>
      <c r="K756" s="269"/>
      <c r="L756" s="57"/>
      <c r="M756" s="119"/>
      <c r="N756" s="57"/>
      <c r="O756" s="57"/>
      <c r="P756" s="57"/>
      <c r="Q756" s="57"/>
      <c r="R756" s="57"/>
      <c r="S756" s="119"/>
      <c r="T756" s="57"/>
      <c r="AD756" s="122"/>
    </row>
    <row r="757" spans="1:30" ht="12.75" hidden="1" customHeight="1" x14ac:dyDescent="0.2">
      <c r="A757" s="121"/>
      <c r="D757" s="117"/>
      <c r="E757" s="117"/>
      <c r="I757" s="118"/>
      <c r="J757" s="13"/>
      <c r="K757" s="269"/>
      <c r="L757" s="57"/>
      <c r="M757" s="119"/>
      <c r="N757" s="57"/>
      <c r="O757" s="57"/>
      <c r="P757" s="57"/>
      <c r="Q757" s="57"/>
      <c r="R757" s="57"/>
      <c r="S757" s="119"/>
      <c r="T757" s="57"/>
      <c r="AD757" s="122"/>
    </row>
    <row r="758" spans="1:30" ht="12.75" hidden="1" customHeight="1" x14ac:dyDescent="0.2">
      <c r="A758" s="121"/>
      <c r="D758" s="117"/>
      <c r="E758" s="117"/>
      <c r="I758" s="118"/>
      <c r="J758" s="13"/>
      <c r="K758" s="269"/>
      <c r="L758" s="57"/>
      <c r="M758" s="119"/>
      <c r="N758" s="57"/>
      <c r="O758" s="57"/>
      <c r="P758" s="57"/>
      <c r="Q758" s="57"/>
      <c r="R758" s="57"/>
      <c r="S758" s="119"/>
      <c r="T758" s="57"/>
      <c r="AD758" s="122"/>
    </row>
    <row r="759" spans="1:30" ht="12.75" hidden="1" customHeight="1" x14ac:dyDescent="0.2">
      <c r="A759" s="121"/>
      <c r="D759" s="117"/>
      <c r="E759" s="117"/>
      <c r="I759" s="118"/>
      <c r="J759" s="13"/>
      <c r="K759" s="269"/>
      <c r="L759" s="57"/>
      <c r="M759" s="119"/>
      <c r="N759" s="57"/>
      <c r="O759" s="57"/>
      <c r="P759" s="57"/>
      <c r="Q759" s="57"/>
      <c r="R759" s="57"/>
      <c r="S759" s="119"/>
      <c r="T759" s="57"/>
      <c r="AD759" s="122"/>
    </row>
    <row r="760" spans="1:30" ht="12.75" hidden="1" customHeight="1" x14ac:dyDescent="0.2">
      <c r="A760" s="121"/>
      <c r="D760" s="117"/>
      <c r="E760" s="117"/>
      <c r="I760" s="118"/>
      <c r="J760" s="13"/>
      <c r="K760" s="269"/>
      <c r="L760" s="57"/>
      <c r="M760" s="119"/>
      <c r="N760" s="57"/>
      <c r="O760" s="57"/>
      <c r="P760" s="57"/>
      <c r="Q760" s="57"/>
      <c r="R760" s="57"/>
      <c r="S760" s="119"/>
      <c r="T760" s="57"/>
      <c r="AD760" s="122"/>
    </row>
    <row r="761" spans="1:30" ht="12.75" hidden="1" customHeight="1" x14ac:dyDescent="0.2">
      <c r="A761" s="121"/>
      <c r="D761" s="117"/>
      <c r="E761" s="117"/>
      <c r="I761" s="118"/>
      <c r="J761" s="13"/>
      <c r="K761" s="269"/>
      <c r="L761" s="57"/>
      <c r="M761" s="119"/>
      <c r="N761" s="57"/>
      <c r="O761" s="57"/>
      <c r="P761" s="57"/>
      <c r="Q761" s="57"/>
      <c r="R761" s="57"/>
      <c r="S761" s="119"/>
      <c r="T761" s="57"/>
      <c r="AD761" s="122"/>
    </row>
    <row r="762" spans="1:30" ht="12.75" hidden="1" customHeight="1" x14ac:dyDescent="0.2">
      <c r="A762" s="121"/>
      <c r="D762" s="117"/>
      <c r="E762" s="117"/>
      <c r="I762" s="118"/>
      <c r="J762" s="13"/>
      <c r="K762" s="269"/>
      <c r="L762" s="57"/>
      <c r="M762" s="119"/>
      <c r="N762" s="57"/>
      <c r="O762" s="57"/>
      <c r="P762" s="57"/>
      <c r="Q762" s="57"/>
      <c r="R762" s="57"/>
      <c r="S762" s="119"/>
      <c r="T762" s="57"/>
      <c r="AD762" s="122"/>
    </row>
    <row r="763" spans="1:30" ht="12.75" hidden="1" customHeight="1" x14ac:dyDescent="0.2">
      <c r="A763" s="121"/>
      <c r="D763" s="117"/>
      <c r="E763" s="117"/>
      <c r="I763" s="118"/>
      <c r="J763" s="13"/>
      <c r="K763" s="269"/>
      <c r="L763" s="57"/>
      <c r="M763" s="119"/>
      <c r="N763" s="57"/>
      <c r="O763" s="57"/>
      <c r="P763" s="57"/>
      <c r="Q763" s="57"/>
      <c r="R763" s="57"/>
      <c r="S763" s="119"/>
      <c r="T763" s="57"/>
      <c r="AD763" s="122"/>
    </row>
    <row r="764" spans="1:30" ht="12.75" hidden="1" customHeight="1" x14ac:dyDescent="0.2">
      <c r="A764" s="121"/>
      <c r="D764" s="117"/>
      <c r="E764" s="117"/>
      <c r="I764" s="118"/>
      <c r="J764" s="13"/>
      <c r="K764" s="269"/>
      <c r="L764" s="57"/>
      <c r="M764" s="119"/>
      <c r="N764" s="57"/>
      <c r="O764" s="57"/>
      <c r="P764" s="57"/>
      <c r="Q764" s="57"/>
      <c r="R764" s="57"/>
      <c r="S764" s="119"/>
      <c r="T764" s="57"/>
      <c r="AD764" s="122"/>
    </row>
    <row r="765" spans="1:30" ht="12.75" hidden="1" customHeight="1" x14ac:dyDescent="0.2">
      <c r="A765" s="121"/>
      <c r="D765" s="117"/>
      <c r="E765" s="117"/>
      <c r="I765" s="118"/>
      <c r="J765" s="13"/>
      <c r="K765" s="269"/>
      <c r="L765" s="57"/>
      <c r="M765" s="119"/>
      <c r="N765" s="57"/>
      <c r="O765" s="57"/>
      <c r="P765" s="57"/>
      <c r="Q765" s="57"/>
      <c r="R765" s="57"/>
      <c r="S765" s="119"/>
      <c r="T765" s="57"/>
      <c r="AD765" s="122"/>
    </row>
    <row r="766" spans="1:30" ht="12.75" hidden="1" customHeight="1" x14ac:dyDescent="0.2">
      <c r="A766" s="121"/>
      <c r="D766" s="117"/>
      <c r="E766" s="117"/>
      <c r="I766" s="118"/>
      <c r="J766" s="13"/>
      <c r="K766" s="269"/>
      <c r="L766" s="57"/>
      <c r="M766" s="119"/>
      <c r="N766" s="57"/>
      <c r="O766" s="57"/>
      <c r="P766" s="57"/>
      <c r="Q766" s="57"/>
      <c r="R766" s="57"/>
      <c r="S766" s="119"/>
      <c r="T766" s="57"/>
      <c r="AD766" s="122"/>
    </row>
    <row r="767" spans="1:30" ht="12.75" hidden="1" customHeight="1" x14ac:dyDescent="0.2">
      <c r="A767" s="121"/>
      <c r="D767" s="117"/>
      <c r="E767" s="117"/>
      <c r="I767" s="118"/>
      <c r="J767" s="13"/>
      <c r="K767" s="269"/>
      <c r="L767" s="57"/>
      <c r="M767" s="119"/>
      <c r="N767" s="57"/>
      <c r="O767" s="57"/>
      <c r="P767" s="57"/>
      <c r="Q767" s="57"/>
      <c r="R767" s="57"/>
      <c r="S767" s="119"/>
      <c r="T767" s="57"/>
      <c r="AD767" s="122"/>
    </row>
    <row r="768" spans="1:30" ht="12.75" hidden="1" customHeight="1" x14ac:dyDescent="0.2">
      <c r="A768" s="121"/>
      <c r="D768" s="117"/>
      <c r="E768" s="117"/>
      <c r="I768" s="118"/>
      <c r="J768" s="13"/>
      <c r="K768" s="269"/>
      <c r="L768" s="57"/>
      <c r="M768" s="119"/>
      <c r="N768" s="57"/>
      <c r="O768" s="57"/>
      <c r="P768" s="57"/>
      <c r="Q768" s="57"/>
      <c r="R768" s="57"/>
      <c r="S768" s="119"/>
      <c r="T768" s="57"/>
      <c r="AD768" s="122"/>
    </row>
    <row r="769" spans="1:30" ht="12.75" hidden="1" customHeight="1" x14ac:dyDescent="0.2">
      <c r="A769" s="121"/>
      <c r="D769" s="117"/>
      <c r="E769" s="117"/>
      <c r="I769" s="118"/>
      <c r="J769" s="13"/>
      <c r="K769" s="269"/>
      <c r="L769" s="57"/>
      <c r="M769" s="119"/>
      <c r="N769" s="57"/>
      <c r="O769" s="57"/>
      <c r="P769" s="57"/>
      <c r="Q769" s="57"/>
      <c r="R769" s="57"/>
      <c r="S769" s="119"/>
      <c r="T769" s="57"/>
      <c r="AD769" s="122"/>
    </row>
    <row r="770" spans="1:30" ht="12.75" hidden="1" customHeight="1" x14ac:dyDescent="0.2">
      <c r="A770" s="121"/>
      <c r="D770" s="117"/>
      <c r="E770" s="117"/>
      <c r="I770" s="118"/>
      <c r="J770" s="13"/>
      <c r="K770" s="269"/>
      <c r="L770" s="57"/>
      <c r="M770" s="119"/>
      <c r="N770" s="57"/>
      <c r="O770" s="57"/>
      <c r="P770" s="57"/>
      <c r="Q770" s="57"/>
      <c r="R770" s="57"/>
      <c r="S770" s="119"/>
      <c r="T770" s="57"/>
      <c r="AD770" s="122"/>
    </row>
    <row r="771" spans="1:30" ht="12.75" hidden="1" customHeight="1" x14ac:dyDescent="0.2">
      <c r="A771" s="121"/>
      <c r="D771" s="117"/>
      <c r="E771" s="117"/>
      <c r="I771" s="118"/>
      <c r="J771" s="13"/>
      <c r="K771" s="269"/>
      <c r="L771" s="57"/>
      <c r="M771" s="119"/>
      <c r="N771" s="57"/>
      <c r="O771" s="57"/>
      <c r="P771" s="57"/>
      <c r="Q771" s="57"/>
      <c r="R771" s="57"/>
      <c r="S771" s="119"/>
      <c r="T771" s="57"/>
      <c r="AD771" s="122"/>
    </row>
    <row r="772" spans="1:30" ht="12.75" hidden="1" customHeight="1" x14ac:dyDescent="0.2">
      <c r="A772" s="121"/>
      <c r="D772" s="117"/>
      <c r="E772" s="117"/>
      <c r="I772" s="118"/>
      <c r="J772" s="13"/>
      <c r="K772" s="269"/>
      <c r="L772" s="57"/>
      <c r="M772" s="119"/>
      <c r="N772" s="57"/>
      <c r="O772" s="57"/>
      <c r="P772" s="57"/>
      <c r="Q772" s="57"/>
      <c r="R772" s="57"/>
      <c r="S772" s="119"/>
      <c r="T772" s="57"/>
      <c r="AD772" s="122"/>
    </row>
    <row r="773" spans="1:30" ht="12.75" hidden="1" customHeight="1" x14ac:dyDescent="0.2">
      <c r="A773" s="121"/>
      <c r="D773" s="117"/>
      <c r="E773" s="117"/>
      <c r="I773" s="118"/>
      <c r="J773" s="13"/>
      <c r="K773" s="269"/>
      <c r="L773" s="57"/>
      <c r="M773" s="119"/>
      <c r="N773" s="57"/>
      <c r="O773" s="57"/>
      <c r="P773" s="57"/>
      <c r="Q773" s="57"/>
      <c r="R773" s="57"/>
      <c r="S773" s="119"/>
      <c r="T773" s="57"/>
      <c r="AD773" s="122"/>
    </row>
    <row r="774" spans="1:30" ht="12.75" hidden="1" customHeight="1" x14ac:dyDescent="0.2">
      <c r="A774" s="121"/>
      <c r="D774" s="117"/>
      <c r="E774" s="117"/>
      <c r="I774" s="118"/>
      <c r="J774" s="13"/>
      <c r="K774" s="269"/>
      <c r="L774" s="57"/>
      <c r="M774" s="119"/>
      <c r="N774" s="57"/>
      <c r="O774" s="57"/>
      <c r="P774" s="57"/>
      <c r="Q774" s="57"/>
      <c r="R774" s="57"/>
      <c r="S774" s="119"/>
      <c r="T774" s="57"/>
      <c r="AD774" s="122"/>
    </row>
    <row r="775" spans="1:30" ht="12.75" hidden="1" customHeight="1" x14ac:dyDescent="0.2">
      <c r="A775" s="121"/>
      <c r="D775" s="117"/>
      <c r="E775" s="117"/>
      <c r="I775" s="118"/>
      <c r="J775" s="13"/>
      <c r="K775" s="269"/>
      <c r="L775" s="57"/>
      <c r="M775" s="119"/>
      <c r="N775" s="57"/>
      <c r="O775" s="57"/>
      <c r="P775" s="57"/>
      <c r="Q775" s="57"/>
      <c r="R775" s="57"/>
      <c r="S775" s="119"/>
      <c r="T775" s="57"/>
      <c r="AD775" s="122"/>
    </row>
    <row r="776" spans="1:30" ht="12.75" hidden="1" customHeight="1" x14ac:dyDescent="0.2">
      <c r="A776" s="121"/>
      <c r="D776" s="117"/>
      <c r="E776" s="117"/>
      <c r="I776" s="118"/>
      <c r="J776" s="13"/>
      <c r="K776" s="269"/>
      <c r="L776" s="57"/>
      <c r="M776" s="119"/>
      <c r="N776" s="57"/>
      <c r="O776" s="57"/>
      <c r="P776" s="57"/>
      <c r="Q776" s="57"/>
      <c r="R776" s="57"/>
      <c r="S776" s="119"/>
      <c r="T776" s="57"/>
      <c r="AD776" s="122"/>
    </row>
    <row r="777" spans="1:30" ht="12.75" hidden="1" customHeight="1" x14ac:dyDescent="0.2">
      <c r="A777" s="121"/>
      <c r="D777" s="117"/>
      <c r="E777" s="117"/>
      <c r="I777" s="118"/>
      <c r="J777" s="13"/>
      <c r="K777" s="269"/>
      <c r="L777" s="57"/>
      <c r="M777" s="119"/>
      <c r="N777" s="57"/>
      <c r="O777" s="57"/>
      <c r="P777" s="57"/>
      <c r="Q777" s="57"/>
      <c r="R777" s="57"/>
      <c r="S777" s="119"/>
      <c r="T777" s="57"/>
      <c r="AD777" s="122"/>
    </row>
    <row r="778" spans="1:30" ht="12.75" hidden="1" customHeight="1" x14ac:dyDescent="0.2">
      <c r="A778" s="121"/>
      <c r="D778" s="117"/>
      <c r="E778" s="117"/>
      <c r="I778" s="118"/>
      <c r="J778" s="13"/>
      <c r="K778" s="269"/>
      <c r="L778" s="57"/>
      <c r="M778" s="119"/>
      <c r="N778" s="57"/>
      <c r="O778" s="57"/>
      <c r="P778" s="57"/>
      <c r="Q778" s="57"/>
      <c r="R778" s="57"/>
      <c r="S778" s="119"/>
      <c r="T778" s="57"/>
      <c r="AD778" s="122"/>
    </row>
    <row r="779" spans="1:30" ht="12.75" hidden="1" customHeight="1" x14ac:dyDescent="0.2">
      <c r="A779" s="121"/>
      <c r="D779" s="117"/>
      <c r="E779" s="117"/>
      <c r="I779" s="118"/>
      <c r="J779" s="13"/>
      <c r="K779" s="269"/>
      <c r="L779" s="57"/>
      <c r="M779" s="119"/>
      <c r="N779" s="57"/>
      <c r="O779" s="57"/>
      <c r="P779" s="57"/>
      <c r="Q779" s="57"/>
      <c r="R779" s="57"/>
      <c r="S779" s="119"/>
      <c r="T779" s="57"/>
      <c r="AD779" s="122"/>
    </row>
    <row r="780" spans="1:30" ht="12.75" hidden="1" customHeight="1" x14ac:dyDescent="0.2">
      <c r="A780" s="121"/>
      <c r="D780" s="117"/>
      <c r="E780" s="117"/>
      <c r="I780" s="118"/>
      <c r="J780" s="13"/>
      <c r="K780" s="269"/>
      <c r="L780" s="57"/>
      <c r="M780" s="119"/>
      <c r="N780" s="57"/>
      <c r="O780" s="57"/>
      <c r="P780" s="57"/>
      <c r="Q780" s="57"/>
      <c r="R780" s="57"/>
      <c r="S780" s="119"/>
      <c r="T780" s="57"/>
      <c r="AD780" s="122"/>
    </row>
    <row r="781" spans="1:30" ht="12.75" hidden="1" customHeight="1" x14ac:dyDescent="0.2">
      <c r="A781" s="121"/>
      <c r="D781" s="117"/>
      <c r="E781" s="117"/>
      <c r="I781" s="118"/>
      <c r="J781" s="13"/>
      <c r="K781" s="269"/>
      <c r="L781" s="57"/>
      <c r="M781" s="119"/>
      <c r="N781" s="57"/>
      <c r="O781" s="57"/>
      <c r="P781" s="57"/>
      <c r="Q781" s="57"/>
      <c r="R781" s="57"/>
      <c r="S781" s="119"/>
      <c r="T781" s="57"/>
      <c r="AD781" s="122"/>
    </row>
    <row r="782" spans="1:30" ht="12.75" hidden="1" customHeight="1" x14ac:dyDescent="0.2">
      <c r="A782" s="121"/>
      <c r="D782" s="117"/>
      <c r="E782" s="117"/>
      <c r="I782" s="118"/>
      <c r="J782" s="13"/>
      <c r="K782" s="269"/>
      <c r="L782" s="57"/>
      <c r="M782" s="119"/>
      <c r="N782" s="57"/>
      <c r="O782" s="57"/>
      <c r="P782" s="57"/>
      <c r="Q782" s="57"/>
      <c r="R782" s="57"/>
      <c r="S782" s="119"/>
      <c r="T782" s="57"/>
      <c r="AD782" s="122"/>
    </row>
    <row r="783" spans="1:30" ht="12.75" hidden="1" customHeight="1" x14ac:dyDescent="0.2">
      <c r="A783" s="121"/>
      <c r="D783" s="117"/>
      <c r="E783" s="117"/>
      <c r="I783" s="118"/>
      <c r="J783" s="13"/>
      <c r="K783" s="269"/>
      <c r="L783" s="57"/>
      <c r="M783" s="119"/>
      <c r="N783" s="57"/>
      <c r="O783" s="57"/>
      <c r="P783" s="57"/>
      <c r="Q783" s="57"/>
      <c r="R783" s="57"/>
      <c r="S783" s="119"/>
      <c r="T783" s="57"/>
      <c r="AD783" s="122"/>
    </row>
    <row r="784" spans="1:30" ht="12.75" hidden="1" customHeight="1" x14ac:dyDescent="0.2">
      <c r="A784" s="121"/>
      <c r="D784" s="117"/>
      <c r="E784" s="117"/>
      <c r="I784" s="118"/>
      <c r="J784" s="13"/>
      <c r="K784" s="269"/>
      <c r="L784" s="57"/>
      <c r="M784" s="119"/>
      <c r="N784" s="57"/>
      <c r="O784" s="57"/>
      <c r="P784" s="57"/>
      <c r="Q784" s="57"/>
      <c r="R784" s="57"/>
      <c r="S784" s="119"/>
      <c r="T784" s="57"/>
      <c r="AD784" s="122"/>
    </row>
    <row r="785" spans="1:30" ht="12.75" hidden="1" customHeight="1" x14ac:dyDescent="0.2">
      <c r="A785" s="121"/>
      <c r="D785" s="117"/>
      <c r="E785" s="117"/>
      <c r="I785" s="118"/>
      <c r="J785" s="13"/>
      <c r="K785" s="269"/>
      <c r="L785" s="57"/>
      <c r="M785" s="119"/>
      <c r="N785" s="57"/>
      <c r="O785" s="57"/>
      <c r="P785" s="57"/>
      <c r="Q785" s="57"/>
      <c r="R785" s="57"/>
      <c r="S785" s="119"/>
      <c r="T785" s="57"/>
      <c r="AD785" s="122"/>
    </row>
    <row r="786" spans="1:30" ht="12.75" hidden="1" customHeight="1" x14ac:dyDescent="0.2">
      <c r="A786" s="121"/>
      <c r="D786" s="117"/>
      <c r="E786" s="117"/>
      <c r="I786" s="118"/>
      <c r="J786" s="13"/>
      <c r="K786" s="269"/>
      <c r="L786" s="57"/>
      <c r="M786" s="119"/>
      <c r="N786" s="57"/>
      <c r="O786" s="57"/>
      <c r="P786" s="57"/>
      <c r="Q786" s="57"/>
      <c r="R786" s="57"/>
      <c r="S786" s="119"/>
      <c r="T786" s="57"/>
      <c r="AD786" s="122"/>
    </row>
    <row r="787" spans="1:30" ht="12.75" hidden="1" customHeight="1" x14ac:dyDescent="0.2">
      <c r="A787" s="121"/>
      <c r="D787" s="117"/>
      <c r="E787" s="117"/>
      <c r="I787" s="118"/>
      <c r="J787" s="13"/>
      <c r="K787" s="269"/>
      <c r="L787" s="57"/>
      <c r="M787" s="119"/>
      <c r="N787" s="57"/>
      <c r="O787" s="57"/>
      <c r="P787" s="57"/>
      <c r="Q787" s="57"/>
      <c r="R787" s="57"/>
      <c r="S787" s="119"/>
      <c r="T787" s="57"/>
      <c r="AD787" s="122"/>
    </row>
    <row r="788" spans="1:30" ht="12.75" hidden="1" customHeight="1" x14ac:dyDescent="0.2">
      <c r="A788" s="121"/>
      <c r="D788" s="117"/>
      <c r="E788" s="117"/>
      <c r="I788" s="118"/>
      <c r="J788" s="13"/>
      <c r="K788" s="269"/>
      <c r="L788" s="57"/>
      <c r="M788" s="119"/>
      <c r="N788" s="57"/>
      <c r="O788" s="57"/>
      <c r="P788" s="57"/>
      <c r="Q788" s="57"/>
      <c r="R788" s="57"/>
      <c r="S788" s="119"/>
      <c r="T788" s="57"/>
      <c r="AD788" s="122"/>
    </row>
    <row r="789" spans="1:30" ht="12.75" hidden="1" customHeight="1" x14ac:dyDescent="0.2">
      <c r="A789" s="121"/>
      <c r="D789" s="117"/>
      <c r="E789" s="117"/>
      <c r="I789" s="118"/>
      <c r="J789" s="13"/>
      <c r="K789" s="269"/>
      <c r="L789" s="57"/>
      <c r="M789" s="119"/>
      <c r="N789" s="57"/>
      <c r="O789" s="57"/>
      <c r="P789" s="57"/>
      <c r="Q789" s="57"/>
      <c r="R789" s="57"/>
      <c r="S789" s="119"/>
      <c r="T789" s="57"/>
      <c r="AD789" s="122"/>
    </row>
    <row r="790" spans="1:30" ht="12.75" hidden="1" customHeight="1" x14ac:dyDescent="0.2">
      <c r="A790" s="121"/>
      <c r="D790" s="117"/>
      <c r="E790" s="117"/>
      <c r="I790" s="118"/>
      <c r="J790" s="13"/>
      <c r="K790" s="269"/>
      <c r="L790" s="57"/>
      <c r="M790" s="119"/>
      <c r="N790" s="57"/>
      <c r="O790" s="57"/>
      <c r="P790" s="57"/>
      <c r="Q790" s="57"/>
      <c r="R790" s="57"/>
      <c r="S790" s="119"/>
      <c r="T790" s="57"/>
      <c r="AD790" s="122"/>
    </row>
    <row r="791" spans="1:30" ht="12.75" hidden="1" customHeight="1" x14ac:dyDescent="0.2">
      <c r="A791" s="121"/>
      <c r="D791" s="117"/>
      <c r="E791" s="117"/>
      <c r="I791" s="118"/>
      <c r="J791" s="13"/>
      <c r="K791" s="269"/>
      <c r="L791" s="57"/>
      <c r="M791" s="119"/>
      <c r="N791" s="57"/>
      <c r="O791" s="57"/>
      <c r="P791" s="57"/>
      <c r="Q791" s="57"/>
      <c r="R791" s="57"/>
      <c r="S791" s="119"/>
      <c r="T791" s="57"/>
      <c r="AD791" s="122"/>
    </row>
    <row r="792" spans="1:30" ht="12.75" hidden="1" customHeight="1" x14ac:dyDescent="0.2">
      <c r="A792" s="121"/>
      <c r="D792" s="117"/>
      <c r="E792" s="117"/>
      <c r="I792" s="118"/>
      <c r="J792" s="13"/>
      <c r="K792" s="269"/>
      <c r="L792" s="57"/>
      <c r="M792" s="119"/>
      <c r="N792" s="57"/>
      <c r="O792" s="57"/>
      <c r="P792" s="57"/>
      <c r="Q792" s="57"/>
      <c r="R792" s="57"/>
      <c r="S792" s="119"/>
      <c r="T792" s="57"/>
      <c r="AD792" s="122"/>
    </row>
    <row r="793" spans="1:30" ht="12.75" hidden="1" customHeight="1" x14ac:dyDescent="0.2">
      <c r="A793" s="121"/>
      <c r="D793" s="117"/>
      <c r="E793" s="117"/>
      <c r="I793" s="118"/>
      <c r="J793" s="13"/>
      <c r="K793" s="269"/>
      <c r="L793" s="57"/>
      <c r="M793" s="119"/>
      <c r="N793" s="57"/>
      <c r="O793" s="57"/>
      <c r="P793" s="57"/>
      <c r="Q793" s="57"/>
      <c r="R793" s="57"/>
      <c r="S793" s="119"/>
      <c r="T793" s="57"/>
      <c r="AD793" s="122"/>
    </row>
    <row r="794" spans="1:30" ht="12.75" hidden="1" customHeight="1" x14ac:dyDescent="0.2">
      <c r="A794" s="121"/>
      <c r="D794" s="117"/>
      <c r="E794" s="117"/>
      <c r="I794" s="118"/>
      <c r="J794" s="13"/>
      <c r="K794" s="269"/>
      <c r="L794" s="57"/>
      <c r="M794" s="119"/>
      <c r="N794" s="57"/>
      <c r="O794" s="57"/>
      <c r="P794" s="57"/>
      <c r="Q794" s="57"/>
      <c r="R794" s="57"/>
      <c r="S794" s="119"/>
      <c r="T794" s="57"/>
      <c r="AD794" s="122"/>
    </row>
    <row r="795" spans="1:30" ht="12.75" hidden="1" customHeight="1" x14ac:dyDescent="0.2">
      <c r="A795" s="121"/>
      <c r="D795" s="117"/>
      <c r="E795" s="117"/>
      <c r="I795" s="118"/>
      <c r="J795" s="13"/>
      <c r="K795" s="269"/>
      <c r="L795" s="57"/>
      <c r="M795" s="119"/>
      <c r="N795" s="57"/>
      <c r="O795" s="57"/>
      <c r="P795" s="57"/>
      <c r="Q795" s="57"/>
      <c r="R795" s="57"/>
      <c r="S795" s="119"/>
      <c r="T795" s="57"/>
      <c r="AD795" s="122"/>
    </row>
    <row r="796" spans="1:30" ht="12.75" hidden="1" customHeight="1" x14ac:dyDescent="0.2">
      <c r="A796" s="121"/>
      <c r="D796" s="117"/>
      <c r="E796" s="117"/>
      <c r="I796" s="118"/>
      <c r="J796" s="13"/>
      <c r="K796" s="269"/>
      <c r="L796" s="57"/>
      <c r="M796" s="119"/>
      <c r="N796" s="57"/>
      <c r="O796" s="57"/>
      <c r="P796" s="57"/>
      <c r="Q796" s="57"/>
      <c r="R796" s="57"/>
      <c r="S796" s="119"/>
      <c r="T796" s="57"/>
      <c r="AD796" s="122"/>
    </row>
    <row r="797" spans="1:30" ht="12.75" hidden="1" customHeight="1" x14ac:dyDescent="0.2">
      <c r="A797" s="121"/>
      <c r="D797" s="117"/>
      <c r="E797" s="117"/>
      <c r="I797" s="118"/>
      <c r="J797" s="13"/>
      <c r="K797" s="269"/>
      <c r="L797" s="57"/>
      <c r="M797" s="119"/>
      <c r="N797" s="57"/>
      <c r="O797" s="57"/>
      <c r="P797" s="57"/>
      <c r="Q797" s="57"/>
      <c r="R797" s="57"/>
      <c r="S797" s="119"/>
      <c r="T797" s="57"/>
      <c r="AD797" s="122"/>
    </row>
    <row r="798" spans="1:30" ht="12.75" hidden="1" customHeight="1" x14ac:dyDescent="0.2">
      <c r="A798" s="121"/>
      <c r="D798" s="117"/>
      <c r="E798" s="117"/>
      <c r="I798" s="118"/>
      <c r="J798" s="13"/>
      <c r="K798" s="269"/>
      <c r="L798" s="57"/>
      <c r="M798" s="119"/>
      <c r="N798" s="57"/>
      <c r="O798" s="57"/>
      <c r="P798" s="57"/>
      <c r="Q798" s="57"/>
      <c r="R798" s="57"/>
      <c r="S798" s="119"/>
      <c r="T798" s="57"/>
      <c r="AD798" s="122"/>
    </row>
    <row r="799" spans="1:30" ht="12.75" hidden="1" customHeight="1" x14ac:dyDescent="0.2">
      <c r="A799" s="121"/>
      <c r="D799" s="117"/>
      <c r="E799" s="117"/>
      <c r="I799" s="118"/>
      <c r="J799" s="13"/>
      <c r="K799" s="269"/>
      <c r="L799" s="57"/>
      <c r="M799" s="119"/>
      <c r="N799" s="57"/>
      <c r="O799" s="57"/>
      <c r="P799" s="57"/>
      <c r="Q799" s="57"/>
      <c r="R799" s="57"/>
      <c r="S799" s="119"/>
      <c r="T799" s="57"/>
      <c r="AD799" s="122"/>
    </row>
    <row r="800" spans="1:30" ht="12.75" hidden="1" customHeight="1" x14ac:dyDescent="0.2">
      <c r="A800" s="121"/>
      <c r="D800" s="117"/>
      <c r="E800" s="117"/>
      <c r="I800" s="118"/>
      <c r="J800" s="13"/>
      <c r="K800" s="269"/>
      <c r="L800" s="57"/>
      <c r="M800" s="119"/>
      <c r="N800" s="57"/>
      <c r="O800" s="57"/>
      <c r="P800" s="57"/>
      <c r="Q800" s="57"/>
      <c r="R800" s="57"/>
      <c r="S800" s="119"/>
      <c r="T800" s="57"/>
      <c r="AD800" s="122"/>
    </row>
    <row r="801" spans="1:30" ht="12.75" hidden="1" customHeight="1" x14ac:dyDescent="0.2">
      <c r="A801" s="121"/>
      <c r="D801" s="117"/>
      <c r="E801" s="117"/>
      <c r="I801" s="118"/>
      <c r="J801" s="13"/>
      <c r="K801" s="269"/>
      <c r="L801" s="57"/>
      <c r="M801" s="119"/>
      <c r="N801" s="57"/>
      <c r="O801" s="57"/>
      <c r="P801" s="57"/>
      <c r="Q801" s="57"/>
      <c r="R801" s="57"/>
      <c r="S801" s="119"/>
      <c r="T801" s="57"/>
      <c r="AD801" s="122"/>
    </row>
    <row r="802" spans="1:30" ht="12.75" hidden="1" customHeight="1" x14ac:dyDescent="0.2">
      <c r="A802" s="121"/>
      <c r="D802" s="117"/>
      <c r="E802" s="117"/>
      <c r="I802" s="118"/>
      <c r="J802" s="13"/>
      <c r="K802" s="269"/>
      <c r="L802" s="57"/>
      <c r="M802" s="119"/>
      <c r="N802" s="57"/>
      <c r="O802" s="57"/>
      <c r="P802" s="57"/>
      <c r="Q802" s="57"/>
      <c r="R802" s="57"/>
      <c r="S802" s="119"/>
      <c r="T802" s="57"/>
      <c r="AD802" s="122"/>
    </row>
    <row r="803" spans="1:30" ht="12.75" hidden="1" customHeight="1" x14ac:dyDescent="0.2">
      <c r="A803" s="121"/>
      <c r="D803" s="117"/>
      <c r="E803" s="117"/>
      <c r="I803" s="118"/>
      <c r="J803" s="13"/>
      <c r="K803" s="269"/>
      <c r="L803" s="57"/>
      <c r="M803" s="119"/>
      <c r="N803" s="57"/>
      <c r="O803" s="57"/>
      <c r="P803" s="57"/>
      <c r="Q803" s="57"/>
      <c r="R803" s="57"/>
      <c r="S803" s="119"/>
      <c r="T803" s="57"/>
      <c r="AD803" s="122"/>
    </row>
    <row r="804" spans="1:30" ht="12.75" hidden="1" customHeight="1" x14ac:dyDescent="0.2">
      <c r="A804" s="121"/>
      <c r="D804" s="117"/>
      <c r="E804" s="117"/>
      <c r="I804" s="118"/>
      <c r="J804" s="13"/>
      <c r="K804" s="269"/>
      <c r="L804" s="57"/>
      <c r="M804" s="119"/>
      <c r="N804" s="57"/>
      <c r="O804" s="57"/>
      <c r="P804" s="57"/>
      <c r="Q804" s="57"/>
      <c r="R804" s="57"/>
      <c r="S804" s="119"/>
      <c r="T804" s="57"/>
      <c r="AD804" s="122"/>
    </row>
    <row r="805" spans="1:30" ht="12.75" hidden="1" customHeight="1" x14ac:dyDescent="0.2">
      <c r="A805" s="121"/>
      <c r="D805" s="117"/>
      <c r="E805" s="117"/>
      <c r="I805" s="118"/>
      <c r="J805" s="13"/>
      <c r="K805" s="269"/>
      <c r="L805" s="57"/>
      <c r="M805" s="119"/>
      <c r="N805" s="57"/>
      <c r="O805" s="57"/>
      <c r="P805" s="57"/>
      <c r="Q805" s="57"/>
      <c r="R805" s="57"/>
      <c r="S805" s="119"/>
      <c r="T805" s="57"/>
      <c r="AD805" s="122"/>
    </row>
    <row r="806" spans="1:30" ht="12.75" hidden="1" customHeight="1" x14ac:dyDescent="0.2">
      <c r="A806" s="121"/>
      <c r="D806" s="117"/>
      <c r="E806" s="117"/>
      <c r="I806" s="118"/>
      <c r="J806" s="13"/>
      <c r="K806" s="269"/>
      <c r="L806" s="57"/>
      <c r="M806" s="119"/>
      <c r="N806" s="57"/>
      <c r="O806" s="57"/>
      <c r="P806" s="57"/>
      <c r="Q806" s="57"/>
      <c r="R806" s="57"/>
      <c r="S806" s="119"/>
      <c r="T806" s="57"/>
      <c r="AD806" s="122"/>
    </row>
    <row r="807" spans="1:30" ht="12.75" hidden="1" customHeight="1" x14ac:dyDescent="0.2">
      <c r="A807" s="121"/>
      <c r="D807" s="117"/>
      <c r="E807" s="117"/>
      <c r="I807" s="118"/>
      <c r="J807" s="13"/>
      <c r="K807" s="269"/>
      <c r="L807" s="57"/>
      <c r="M807" s="119"/>
      <c r="N807" s="57"/>
      <c r="O807" s="57"/>
      <c r="P807" s="57"/>
      <c r="Q807" s="57"/>
      <c r="R807" s="57"/>
      <c r="S807" s="119"/>
      <c r="T807" s="57"/>
      <c r="AD807" s="122"/>
    </row>
    <row r="808" spans="1:30" ht="12.75" hidden="1" customHeight="1" x14ac:dyDescent="0.2">
      <c r="A808" s="121"/>
      <c r="D808" s="117"/>
      <c r="E808" s="117"/>
      <c r="I808" s="118"/>
      <c r="J808" s="13"/>
      <c r="K808" s="269"/>
      <c r="L808" s="57"/>
      <c r="M808" s="119"/>
      <c r="N808" s="57"/>
      <c r="O808" s="57"/>
      <c r="P808" s="57"/>
      <c r="Q808" s="57"/>
      <c r="R808" s="57"/>
      <c r="S808" s="119"/>
      <c r="T808" s="57"/>
      <c r="AD808" s="122"/>
    </row>
    <row r="809" spans="1:30" ht="12.75" hidden="1" customHeight="1" x14ac:dyDescent="0.2">
      <c r="A809" s="121"/>
      <c r="D809" s="117"/>
      <c r="E809" s="117"/>
      <c r="I809" s="118"/>
      <c r="J809" s="13"/>
      <c r="K809" s="269"/>
      <c r="L809" s="57"/>
      <c r="M809" s="119"/>
      <c r="N809" s="57"/>
      <c r="O809" s="57"/>
      <c r="P809" s="57"/>
      <c r="Q809" s="57"/>
      <c r="R809" s="57"/>
      <c r="S809" s="119"/>
      <c r="T809" s="57"/>
      <c r="AD809" s="122"/>
    </row>
    <row r="810" spans="1:30" ht="12.75" hidden="1" customHeight="1" x14ac:dyDescent="0.2">
      <c r="A810" s="121"/>
      <c r="D810" s="117"/>
      <c r="E810" s="117"/>
      <c r="I810" s="118"/>
      <c r="J810" s="13"/>
      <c r="K810" s="269"/>
      <c r="L810" s="57"/>
      <c r="M810" s="119"/>
      <c r="N810" s="57"/>
      <c r="O810" s="57"/>
      <c r="P810" s="57"/>
      <c r="Q810" s="57"/>
      <c r="R810" s="57"/>
      <c r="S810" s="119"/>
      <c r="T810" s="57"/>
      <c r="AD810" s="122"/>
    </row>
    <row r="811" spans="1:30" ht="12.75" hidden="1" customHeight="1" x14ac:dyDescent="0.2">
      <c r="A811" s="121"/>
      <c r="D811" s="117"/>
      <c r="E811" s="117"/>
      <c r="I811" s="118"/>
      <c r="J811" s="13"/>
      <c r="K811" s="269"/>
      <c r="L811" s="57"/>
      <c r="M811" s="119"/>
      <c r="N811" s="57"/>
      <c r="O811" s="57"/>
      <c r="P811" s="57"/>
      <c r="Q811" s="57"/>
      <c r="R811" s="57"/>
      <c r="S811" s="119"/>
      <c r="T811" s="57"/>
      <c r="AD811" s="122"/>
    </row>
    <row r="812" spans="1:30" ht="12.75" hidden="1" customHeight="1" x14ac:dyDescent="0.2">
      <c r="A812" s="121"/>
      <c r="D812" s="117"/>
      <c r="E812" s="117"/>
      <c r="I812" s="118"/>
      <c r="J812" s="13"/>
      <c r="K812" s="269"/>
      <c r="L812" s="57"/>
      <c r="M812" s="119"/>
      <c r="N812" s="57"/>
      <c r="O812" s="57"/>
      <c r="P812" s="57"/>
      <c r="Q812" s="57"/>
      <c r="R812" s="57"/>
      <c r="S812" s="119"/>
      <c r="T812" s="57"/>
      <c r="AD812" s="122"/>
    </row>
    <row r="813" spans="1:30" ht="12.75" hidden="1" customHeight="1" x14ac:dyDescent="0.2">
      <c r="A813" s="121"/>
      <c r="D813" s="117"/>
      <c r="E813" s="117"/>
      <c r="I813" s="118"/>
      <c r="J813" s="13"/>
      <c r="K813" s="269"/>
      <c r="L813" s="57"/>
      <c r="M813" s="119"/>
      <c r="N813" s="57"/>
      <c r="O813" s="57"/>
      <c r="P813" s="57"/>
      <c r="Q813" s="57"/>
      <c r="R813" s="57"/>
      <c r="S813" s="119"/>
      <c r="T813" s="57"/>
      <c r="AD813" s="122"/>
    </row>
    <row r="814" spans="1:30" ht="12.75" hidden="1" customHeight="1" x14ac:dyDescent="0.2">
      <c r="A814" s="121"/>
      <c r="D814" s="117"/>
      <c r="E814" s="117"/>
      <c r="I814" s="118"/>
      <c r="J814" s="13"/>
      <c r="K814" s="269"/>
      <c r="L814" s="57"/>
      <c r="M814" s="119"/>
      <c r="N814" s="57"/>
      <c r="O814" s="57"/>
      <c r="P814" s="57"/>
      <c r="Q814" s="57"/>
      <c r="R814" s="57"/>
      <c r="S814" s="119"/>
      <c r="T814" s="57"/>
      <c r="AD814" s="122"/>
    </row>
    <row r="815" spans="1:30" ht="12.75" hidden="1" customHeight="1" x14ac:dyDescent="0.2">
      <c r="A815" s="121"/>
      <c r="D815" s="117"/>
      <c r="E815" s="117"/>
      <c r="I815" s="118"/>
      <c r="J815" s="13"/>
      <c r="K815" s="269"/>
      <c r="L815" s="57"/>
      <c r="M815" s="119"/>
      <c r="N815" s="57"/>
      <c r="O815" s="57"/>
      <c r="P815" s="57"/>
      <c r="Q815" s="57"/>
      <c r="R815" s="57"/>
      <c r="S815" s="119"/>
      <c r="T815" s="57"/>
      <c r="AD815" s="122"/>
    </row>
    <row r="816" spans="1:30" ht="12.75" hidden="1" customHeight="1" x14ac:dyDescent="0.2">
      <c r="A816" s="121"/>
      <c r="D816" s="117"/>
      <c r="E816" s="117"/>
      <c r="I816" s="118"/>
      <c r="J816" s="13"/>
      <c r="K816" s="269"/>
      <c r="L816" s="57"/>
      <c r="M816" s="119"/>
      <c r="N816" s="57"/>
      <c r="O816" s="57"/>
      <c r="P816" s="57"/>
      <c r="Q816" s="57"/>
      <c r="R816" s="57"/>
      <c r="S816" s="119"/>
      <c r="T816" s="57"/>
      <c r="AD816" s="122"/>
    </row>
    <row r="817" spans="1:30" ht="12.75" hidden="1" customHeight="1" x14ac:dyDescent="0.2">
      <c r="A817" s="121"/>
      <c r="D817" s="117"/>
      <c r="E817" s="117"/>
      <c r="I817" s="118"/>
      <c r="J817" s="13"/>
      <c r="K817" s="269"/>
      <c r="L817" s="57"/>
      <c r="M817" s="119"/>
      <c r="N817" s="57"/>
      <c r="O817" s="57"/>
      <c r="P817" s="57"/>
      <c r="Q817" s="57"/>
      <c r="R817" s="57"/>
      <c r="S817" s="119"/>
      <c r="T817" s="57"/>
      <c r="AD817" s="122"/>
    </row>
    <row r="818" spans="1:30" ht="12.75" hidden="1" customHeight="1" x14ac:dyDescent="0.2">
      <c r="A818" s="121"/>
      <c r="D818" s="117"/>
      <c r="E818" s="117"/>
      <c r="I818" s="118"/>
      <c r="J818" s="13"/>
      <c r="K818" s="269"/>
      <c r="L818" s="57"/>
      <c r="M818" s="119"/>
      <c r="N818" s="57"/>
      <c r="O818" s="57"/>
      <c r="P818" s="57"/>
      <c r="Q818" s="57"/>
      <c r="R818" s="57"/>
      <c r="S818" s="119"/>
      <c r="T818" s="57"/>
      <c r="AD818" s="122"/>
    </row>
    <row r="819" spans="1:30" ht="12.75" hidden="1" customHeight="1" x14ac:dyDescent="0.2">
      <c r="A819" s="121"/>
      <c r="D819" s="117"/>
      <c r="E819" s="117"/>
      <c r="I819" s="118"/>
      <c r="J819" s="13"/>
      <c r="K819" s="269"/>
      <c r="L819" s="57"/>
      <c r="M819" s="119"/>
      <c r="N819" s="57"/>
      <c r="O819" s="57"/>
      <c r="P819" s="57"/>
      <c r="Q819" s="57"/>
      <c r="R819" s="57"/>
      <c r="S819" s="119"/>
      <c r="T819" s="57"/>
      <c r="AD819" s="122"/>
    </row>
    <row r="820" spans="1:30" ht="12.75" hidden="1" customHeight="1" x14ac:dyDescent="0.2">
      <c r="A820" s="121"/>
      <c r="D820" s="117"/>
      <c r="E820" s="117"/>
      <c r="I820" s="118"/>
      <c r="J820" s="13"/>
      <c r="K820" s="269"/>
      <c r="L820" s="57"/>
      <c r="M820" s="119"/>
      <c r="N820" s="57"/>
      <c r="O820" s="57"/>
      <c r="P820" s="57"/>
      <c r="Q820" s="57"/>
      <c r="R820" s="57"/>
      <c r="S820" s="119"/>
      <c r="T820" s="57"/>
      <c r="AD820" s="122"/>
    </row>
    <row r="821" spans="1:30" ht="12.75" hidden="1" customHeight="1" x14ac:dyDescent="0.2">
      <c r="A821" s="121"/>
      <c r="D821" s="117"/>
      <c r="E821" s="117"/>
      <c r="I821" s="118"/>
      <c r="J821" s="13"/>
      <c r="K821" s="269"/>
      <c r="L821" s="57"/>
      <c r="M821" s="119"/>
      <c r="N821" s="57"/>
      <c r="O821" s="57"/>
      <c r="P821" s="57"/>
      <c r="Q821" s="57"/>
      <c r="R821" s="57"/>
      <c r="S821" s="119"/>
      <c r="T821" s="57"/>
      <c r="AD821" s="122"/>
    </row>
    <row r="822" spans="1:30" ht="12.75" hidden="1" customHeight="1" x14ac:dyDescent="0.2">
      <c r="A822" s="121"/>
      <c r="D822" s="117"/>
      <c r="E822" s="117"/>
      <c r="I822" s="118"/>
      <c r="J822" s="13"/>
      <c r="K822" s="269"/>
      <c r="L822" s="57"/>
      <c r="M822" s="119"/>
      <c r="N822" s="57"/>
      <c r="O822" s="57"/>
      <c r="P822" s="57"/>
      <c r="Q822" s="57"/>
      <c r="R822" s="57"/>
      <c r="S822" s="119"/>
      <c r="T822" s="57"/>
      <c r="AD822" s="122"/>
    </row>
    <row r="823" spans="1:30" ht="12.75" hidden="1" customHeight="1" x14ac:dyDescent="0.2">
      <c r="A823" s="121"/>
      <c r="D823" s="117"/>
      <c r="E823" s="117"/>
      <c r="I823" s="118"/>
      <c r="J823" s="13"/>
      <c r="K823" s="269"/>
      <c r="L823" s="57"/>
      <c r="M823" s="119"/>
      <c r="N823" s="57"/>
      <c r="O823" s="57"/>
      <c r="P823" s="57"/>
      <c r="Q823" s="57"/>
      <c r="R823" s="57"/>
      <c r="S823" s="119"/>
      <c r="T823" s="57"/>
      <c r="AD823" s="122"/>
    </row>
    <row r="824" spans="1:30" ht="12.75" hidden="1" customHeight="1" x14ac:dyDescent="0.2">
      <c r="A824" s="121"/>
      <c r="D824" s="117"/>
      <c r="E824" s="117"/>
      <c r="I824" s="118"/>
      <c r="J824" s="13"/>
      <c r="K824" s="269"/>
      <c r="L824" s="57"/>
      <c r="M824" s="119"/>
      <c r="N824" s="57"/>
      <c r="O824" s="57"/>
      <c r="P824" s="57"/>
      <c r="Q824" s="57"/>
      <c r="R824" s="57"/>
      <c r="S824" s="119"/>
      <c r="T824" s="57"/>
      <c r="AD824" s="122"/>
    </row>
    <row r="825" spans="1:30" ht="12.75" hidden="1" customHeight="1" x14ac:dyDescent="0.2">
      <c r="A825" s="121"/>
      <c r="D825" s="117"/>
      <c r="E825" s="117"/>
      <c r="I825" s="118"/>
      <c r="J825" s="13"/>
      <c r="K825" s="269"/>
      <c r="L825" s="57"/>
      <c r="M825" s="119"/>
      <c r="N825" s="57"/>
      <c r="O825" s="57"/>
      <c r="P825" s="57"/>
      <c r="Q825" s="57"/>
      <c r="R825" s="57"/>
      <c r="S825" s="119"/>
      <c r="T825" s="57"/>
      <c r="AD825" s="122"/>
    </row>
    <row r="826" spans="1:30" ht="12.75" hidden="1" customHeight="1" x14ac:dyDescent="0.2">
      <c r="A826" s="121"/>
      <c r="D826" s="117"/>
      <c r="E826" s="117"/>
      <c r="I826" s="118"/>
      <c r="J826" s="13"/>
      <c r="K826" s="269"/>
      <c r="L826" s="57"/>
      <c r="M826" s="119"/>
      <c r="N826" s="57"/>
      <c r="O826" s="57"/>
      <c r="P826" s="57"/>
      <c r="Q826" s="57"/>
      <c r="R826" s="57"/>
      <c r="S826" s="119"/>
      <c r="T826" s="57"/>
      <c r="AD826" s="122"/>
    </row>
    <row r="827" spans="1:30" ht="12.75" hidden="1" customHeight="1" x14ac:dyDescent="0.2">
      <c r="A827" s="121"/>
      <c r="D827" s="117"/>
      <c r="E827" s="117"/>
      <c r="I827" s="118"/>
      <c r="J827" s="13"/>
      <c r="K827" s="269"/>
      <c r="L827" s="57"/>
      <c r="M827" s="119"/>
      <c r="N827" s="57"/>
      <c r="O827" s="57"/>
      <c r="P827" s="57"/>
      <c r="Q827" s="57"/>
      <c r="R827" s="57"/>
      <c r="S827" s="119"/>
      <c r="T827" s="57"/>
      <c r="AD827" s="122"/>
    </row>
    <row r="828" spans="1:30" ht="12.75" hidden="1" customHeight="1" x14ac:dyDescent="0.2">
      <c r="A828" s="121"/>
      <c r="D828" s="117"/>
      <c r="E828" s="117"/>
      <c r="I828" s="118"/>
      <c r="J828" s="13"/>
      <c r="K828" s="269"/>
      <c r="L828" s="57"/>
      <c r="M828" s="119"/>
      <c r="N828" s="57"/>
      <c r="O828" s="57"/>
      <c r="P828" s="57"/>
      <c r="Q828" s="57"/>
      <c r="R828" s="57"/>
      <c r="S828" s="119"/>
      <c r="T828" s="57"/>
      <c r="AD828" s="122"/>
    </row>
    <row r="829" spans="1:30" ht="12.75" hidden="1" customHeight="1" x14ac:dyDescent="0.2">
      <c r="A829" s="121"/>
      <c r="D829" s="117"/>
      <c r="E829" s="117"/>
      <c r="I829" s="118"/>
      <c r="J829" s="13"/>
      <c r="K829" s="269"/>
      <c r="L829" s="57"/>
      <c r="M829" s="119"/>
      <c r="N829" s="57"/>
      <c r="O829" s="57"/>
      <c r="P829" s="57"/>
      <c r="Q829" s="57"/>
      <c r="R829" s="57"/>
      <c r="S829" s="119"/>
      <c r="T829" s="57"/>
      <c r="AD829" s="122"/>
    </row>
    <row r="830" spans="1:30" ht="12.75" hidden="1" customHeight="1" x14ac:dyDescent="0.2">
      <c r="A830" s="121"/>
      <c r="D830" s="117"/>
      <c r="E830" s="117"/>
      <c r="I830" s="118"/>
      <c r="J830" s="13"/>
      <c r="K830" s="269"/>
      <c r="L830" s="57"/>
      <c r="M830" s="119"/>
      <c r="N830" s="57"/>
      <c r="O830" s="57"/>
      <c r="P830" s="57"/>
      <c r="Q830" s="57"/>
      <c r="R830" s="57"/>
      <c r="S830" s="119"/>
      <c r="T830" s="57"/>
      <c r="AD830" s="122"/>
    </row>
    <row r="831" spans="1:30" ht="12.75" hidden="1" customHeight="1" x14ac:dyDescent="0.2">
      <c r="A831" s="121"/>
      <c r="D831" s="117"/>
      <c r="E831" s="117"/>
      <c r="I831" s="118"/>
      <c r="J831" s="13"/>
      <c r="K831" s="269"/>
      <c r="L831" s="57"/>
      <c r="M831" s="119"/>
      <c r="N831" s="57"/>
      <c r="O831" s="57"/>
      <c r="P831" s="57"/>
      <c r="Q831" s="57"/>
      <c r="R831" s="57"/>
      <c r="S831" s="119"/>
      <c r="T831" s="57"/>
      <c r="AD831" s="122"/>
    </row>
    <row r="832" spans="1:30" ht="12.75" hidden="1" customHeight="1" x14ac:dyDescent="0.2">
      <c r="A832" s="121"/>
      <c r="D832" s="117"/>
      <c r="E832" s="117"/>
      <c r="I832" s="118"/>
      <c r="J832" s="13"/>
      <c r="K832" s="269"/>
      <c r="L832" s="57"/>
      <c r="M832" s="119"/>
      <c r="N832" s="57"/>
      <c r="O832" s="57"/>
      <c r="P832" s="57"/>
      <c r="Q832" s="57"/>
      <c r="R832" s="57"/>
      <c r="S832" s="119"/>
      <c r="T832" s="57"/>
      <c r="AD832" s="122"/>
    </row>
    <row r="833" spans="1:30" ht="12.75" hidden="1" customHeight="1" x14ac:dyDescent="0.2">
      <c r="A833" s="121"/>
      <c r="D833" s="117"/>
      <c r="E833" s="117"/>
      <c r="I833" s="118"/>
      <c r="J833" s="13"/>
      <c r="K833" s="269"/>
      <c r="L833" s="57"/>
      <c r="M833" s="119"/>
      <c r="N833" s="57"/>
      <c r="O833" s="57"/>
      <c r="P833" s="57"/>
      <c r="Q833" s="57"/>
      <c r="R833" s="57"/>
      <c r="S833" s="119"/>
      <c r="T833" s="57"/>
      <c r="AD833" s="122"/>
    </row>
    <row r="834" spans="1:30" ht="12.75" hidden="1" customHeight="1" x14ac:dyDescent="0.2">
      <c r="A834" s="121"/>
      <c r="D834" s="117"/>
      <c r="E834" s="117"/>
      <c r="I834" s="118"/>
      <c r="J834" s="13"/>
      <c r="K834" s="269"/>
      <c r="L834" s="57"/>
      <c r="M834" s="119"/>
      <c r="N834" s="57"/>
      <c r="O834" s="57"/>
      <c r="P834" s="57"/>
      <c r="Q834" s="57"/>
      <c r="R834" s="57"/>
      <c r="S834" s="119"/>
      <c r="T834" s="57"/>
      <c r="AD834" s="122"/>
    </row>
    <row r="835" spans="1:30" ht="12.75" hidden="1" customHeight="1" x14ac:dyDescent="0.2">
      <c r="A835" s="121"/>
      <c r="D835" s="117"/>
      <c r="E835" s="117"/>
      <c r="I835" s="118"/>
      <c r="J835" s="13"/>
      <c r="K835" s="269"/>
      <c r="L835" s="57"/>
      <c r="M835" s="119"/>
      <c r="N835" s="57"/>
      <c r="O835" s="57"/>
      <c r="P835" s="57"/>
      <c r="Q835" s="57"/>
      <c r="R835" s="57"/>
      <c r="S835" s="119"/>
      <c r="T835" s="57"/>
      <c r="AD835" s="122"/>
    </row>
    <row r="836" spans="1:30" ht="12.75" hidden="1" customHeight="1" x14ac:dyDescent="0.2">
      <c r="A836" s="121"/>
      <c r="D836" s="117"/>
      <c r="E836" s="117"/>
      <c r="I836" s="118"/>
      <c r="J836" s="13"/>
      <c r="K836" s="269"/>
      <c r="L836" s="57"/>
      <c r="M836" s="119"/>
      <c r="N836" s="57"/>
      <c r="O836" s="57"/>
      <c r="P836" s="57"/>
      <c r="Q836" s="57"/>
      <c r="R836" s="57"/>
      <c r="S836" s="119"/>
      <c r="T836" s="57"/>
      <c r="AD836" s="122"/>
    </row>
    <row r="837" spans="1:30" ht="12.75" hidden="1" customHeight="1" x14ac:dyDescent="0.2">
      <c r="A837" s="121"/>
      <c r="D837" s="117"/>
      <c r="E837" s="117"/>
      <c r="I837" s="118"/>
      <c r="J837" s="13"/>
      <c r="K837" s="269"/>
      <c r="L837" s="57"/>
      <c r="M837" s="119"/>
      <c r="N837" s="57"/>
      <c r="O837" s="57"/>
      <c r="P837" s="57"/>
      <c r="Q837" s="57"/>
      <c r="R837" s="57"/>
      <c r="S837" s="119"/>
      <c r="T837" s="57"/>
      <c r="AD837" s="122"/>
    </row>
    <row r="838" spans="1:30" ht="12.75" hidden="1" customHeight="1" x14ac:dyDescent="0.2">
      <c r="A838" s="121"/>
      <c r="D838" s="117"/>
      <c r="E838" s="117"/>
      <c r="I838" s="118"/>
      <c r="J838" s="13"/>
      <c r="K838" s="269"/>
      <c r="L838" s="57"/>
      <c r="M838" s="119"/>
      <c r="N838" s="57"/>
      <c r="O838" s="57"/>
      <c r="P838" s="57"/>
      <c r="Q838" s="57"/>
      <c r="R838" s="57"/>
      <c r="S838" s="119"/>
      <c r="T838" s="57"/>
      <c r="AD838" s="122"/>
    </row>
    <row r="839" spans="1:30" ht="12.75" hidden="1" customHeight="1" x14ac:dyDescent="0.2">
      <c r="A839" s="121"/>
      <c r="D839" s="117"/>
      <c r="E839" s="117"/>
      <c r="I839" s="118"/>
      <c r="J839" s="13"/>
      <c r="K839" s="269"/>
      <c r="L839" s="57"/>
      <c r="M839" s="119"/>
      <c r="N839" s="57"/>
      <c r="O839" s="57"/>
      <c r="P839" s="57"/>
      <c r="Q839" s="57"/>
      <c r="R839" s="57"/>
      <c r="S839" s="119"/>
      <c r="T839" s="57"/>
      <c r="AD839" s="122"/>
    </row>
    <row r="840" spans="1:30" ht="12.75" hidden="1" customHeight="1" x14ac:dyDescent="0.2">
      <c r="A840" s="121"/>
      <c r="D840" s="117"/>
      <c r="E840" s="117"/>
      <c r="I840" s="118"/>
      <c r="J840" s="13"/>
      <c r="K840" s="269"/>
      <c r="L840" s="57"/>
      <c r="M840" s="119"/>
      <c r="N840" s="57"/>
      <c r="O840" s="57"/>
      <c r="P840" s="57"/>
      <c r="Q840" s="57"/>
      <c r="R840" s="57"/>
      <c r="S840" s="119"/>
      <c r="T840" s="57"/>
      <c r="AD840" s="122"/>
    </row>
    <row r="841" spans="1:30" ht="12.75" hidden="1" customHeight="1" x14ac:dyDescent="0.2">
      <c r="A841" s="121"/>
      <c r="D841" s="117"/>
      <c r="E841" s="117"/>
      <c r="I841" s="118"/>
      <c r="J841" s="13"/>
      <c r="K841" s="269"/>
      <c r="L841" s="57"/>
      <c r="M841" s="119"/>
      <c r="N841" s="57"/>
      <c r="O841" s="57"/>
      <c r="P841" s="57"/>
      <c r="Q841" s="57"/>
      <c r="R841" s="57"/>
      <c r="S841" s="119"/>
      <c r="T841" s="57"/>
      <c r="AD841" s="122"/>
    </row>
    <row r="842" spans="1:30" ht="12.75" hidden="1" customHeight="1" x14ac:dyDescent="0.2">
      <c r="A842" s="121"/>
      <c r="D842" s="117"/>
      <c r="E842" s="117"/>
      <c r="I842" s="118"/>
      <c r="J842" s="13"/>
      <c r="K842" s="269"/>
      <c r="L842" s="57"/>
      <c r="M842" s="119"/>
      <c r="N842" s="57"/>
      <c r="O842" s="57"/>
      <c r="P842" s="57"/>
      <c r="Q842" s="57"/>
      <c r="R842" s="57"/>
      <c r="S842" s="119"/>
      <c r="T842" s="57"/>
      <c r="AD842" s="122"/>
    </row>
    <row r="843" spans="1:30" ht="12.75" hidden="1" customHeight="1" x14ac:dyDescent="0.2">
      <c r="A843" s="121"/>
      <c r="D843" s="117"/>
      <c r="E843" s="117"/>
      <c r="I843" s="118"/>
      <c r="J843" s="13"/>
      <c r="K843" s="269"/>
      <c r="L843" s="57"/>
      <c r="M843" s="119"/>
      <c r="N843" s="57"/>
      <c r="O843" s="57"/>
      <c r="P843" s="57"/>
      <c r="Q843" s="57"/>
      <c r="R843" s="57"/>
      <c r="S843" s="119"/>
      <c r="T843" s="57"/>
      <c r="AD843" s="122"/>
    </row>
    <row r="844" spans="1:30" ht="12.75" hidden="1" customHeight="1" x14ac:dyDescent="0.2">
      <c r="A844" s="121"/>
      <c r="D844" s="117"/>
      <c r="E844" s="117"/>
      <c r="I844" s="118"/>
      <c r="J844" s="13"/>
      <c r="K844" s="269"/>
      <c r="L844" s="57"/>
      <c r="M844" s="119"/>
      <c r="N844" s="57"/>
      <c r="O844" s="57"/>
      <c r="P844" s="57"/>
      <c r="Q844" s="57"/>
      <c r="R844" s="57"/>
      <c r="S844" s="119"/>
      <c r="T844" s="57"/>
      <c r="AD844" s="122"/>
    </row>
    <row r="845" spans="1:30" ht="12.75" hidden="1" customHeight="1" x14ac:dyDescent="0.2">
      <c r="A845" s="121"/>
      <c r="D845" s="117"/>
      <c r="E845" s="117"/>
      <c r="I845" s="118"/>
      <c r="J845" s="13"/>
      <c r="K845" s="269"/>
      <c r="L845" s="57"/>
      <c r="M845" s="119"/>
      <c r="N845" s="57"/>
      <c r="O845" s="57"/>
      <c r="P845" s="57"/>
      <c r="Q845" s="57"/>
      <c r="R845" s="57"/>
      <c r="S845" s="119"/>
      <c r="T845" s="57"/>
      <c r="AD845" s="122"/>
    </row>
    <row r="846" spans="1:30" ht="12.75" hidden="1" customHeight="1" x14ac:dyDescent="0.2">
      <c r="A846" s="121"/>
      <c r="D846" s="117"/>
      <c r="E846" s="117"/>
      <c r="I846" s="118"/>
      <c r="J846" s="13"/>
      <c r="K846" s="269"/>
      <c r="L846" s="57"/>
      <c r="M846" s="119"/>
      <c r="N846" s="57"/>
      <c r="O846" s="57"/>
      <c r="P846" s="57"/>
      <c r="Q846" s="57"/>
      <c r="R846" s="57"/>
      <c r="S846" s="119"/>
      <c r="T846" s="57"/>
      <c r="AD846" s="122"/>
    </row>
    <row r="847" spans="1:30" ht="12.75" hidden="1" customHeight="1" x14ac:dyDescent="0.2">
      <c r="A847" s="121"/>
      <c r="D847" s="117"/>
      <c r="E847" s="117"/>
      <c r="I847" s="118"/>
      <c r="J847" s="13"/>
      <c r="K847" s="269"/>
      <c r="L847" s="57"/>
      <c r="M847" s="119"/>
      <c r="N847" s="57"/>
      <c r="O847" s="57"/>
      <c r="P847" s="57"/>
      <c r="Q847" s="57"/>
      <c r="R847" s="57"/>
      <c r="S847" s="119"/>
      <c r="T847" s="57"/>
      <c r="AD847" s="122"/>
    </row>
    <row r="848" spans="1:30" ht="12.75" hidden="1" customHeight="1" x14ac:dyDescent="0.2">
      <c r="A848" s="121"/>
      <c r="D848" s="117"/>
      <c r="E848" s="117"/>
      <c r="I848" s="118"/>
      <c r="J848" s="13"/>
      <c r="K848" s="269"/>
      <c r="L848" s="57"/>
      <c r="M848" s="119"/>
      <c r="N848" s="57"/>
      <c r="O848" s="57"/>
      <c r="P848" s="57"/>
      <c r="Q848" s="57"/>
      <c r="R848" s="57"/>
      <c r="S848" s="119"/>
      <c r="T848" s="57"/>
      <c r="AD848" s="122"/>
    </row>
    <row r="849" spans="1:30" ht="12.75" hidden="1" customHeight="1" x14ac:dyDescent="0.2">
      <c r="A849" s="121"/>
      <c r="D849" s="117"/>
      <c r="E849" s="117"/>
      <c r="I849" s="118"/>
      <c r="J849" s="13"/>
      <c r="K849" s="269"/>
      <c r="L849" s="57"/>
      <c r="M849" s="119"/>
      <c r="N849" s="57"/>
      <c r="O849" s="57"/>
      <c r="P849" s="57"/>
      <c r="Q849" s="57"/>
      <c r="R849" s="57"/>
      <c r="S849" s="119"/>
      <c r="T849" s="57"/>
      <c r="AD849" s="122"/>
    </row>
    <row r="850" spans="1:30" ht="12.75" hidden="1" customHeight="1" x14ac:dyDescent="0.2">
      <c r="A850" s="121"/>
      <c r="D850" s="117"/>
      <c r="E850" s="117"/>
      <c r="I850" s="118"/>
      <c r="J850" s="13"/>
      <c r="K850" s="269"/>
      <c r="L850" s="57"/>
      <c r="M850" s="119"/>
      <c r="N850" s="57"/>
      <c r="O850" s="57"/>
      <c r="P850" s="57"/>
      <c r="Q850" s="57"/>
      <c r="R850" s="57"/>
      <c r="S850" s="119"/>
      <c r="T850" s="57"/>
      <c r="AD850" s="122"/>
    </row>
    <row r="851" spans="1:30" ht="12.75" hidden="1" customHeight="1" x14ac:dyDescent="0.2">
      <c r="A851" s="121"/>
      <c r="D851" s="117"/>
      <c r="E851" s="117"/>
      <c r="I851" s="118"/>
      <c r="J851" s="13"/>
      <c r="K851" s="269"/>
      <c r="L851" s="57"/>
      <c r="M851" s="119"/>
      <c r="N851" s="57"/>
      <c r="O851" s="57"/>
      <c r="P851" s="57"/>
      <c r="Q851" s="57"/>
      <c r="R851" s="57"/>
      <c r="S851" s="119"/>
      <c r="T851" s="57"/>
      <c r="AD851" s="122"/>
    </row>
    <row r="852" spans="1:30" ht="12.75" hidden="1" customHeight="1" x14ac:dyDescent="0.2">
      <c r="A852" s="121"/>
      <c r="D852" s="117"/>
      <c r="E852" s="117"/>
      <c r="I852" s="118"/>
      <c r="J852" s="13"/>
      <c r="K852" s="269"/>
      <c r="L852" s="57"/>
      <c r="M852" s="119"/>
      <c r="N852" s="57"/>
      <c r="O852" s="57"/>
      <c r="P852" s="57"/>
      <c r="Q852" s="57"/>
      <c r="R852" s="57"/>
      <c r="S852" s="119"/>
      <c r="T852" s="57"/>
      <c r="AD852" s="122"/>
    </row>
    <row r="853" spans="1:30" ht="12.75" hidden="1" customHeight="1" x14ac:dyDescent="0.2">
      <c r="A853" s="121"/>
      <c r="D853" s="117"/>
      <c r="E853" s="117"/>
      <c r="I853" s="118"/>
      <c r="J853" s="13"/>
      <c r="K853" s="269"/>
      <c r="L853" s="57"/>
      <c r="M853" s="119"/>
      <c r="N853" s="57"/>
      <c r="O853" s="57"/>
      <c r="P853" s="57"/>
      <c r="Q853" s="57"/>
      <c r="R853" s="57"/>
      <c r="S853" s="119"/>
      <c r="T853" s="57"/>
      <c r="AD853" s="122"/>
    </row>
    <row r="854" spans="1:30" ht="12.75" hidden="1" customHeight="1" x14ac:dyDescent="0.2">
      <c r="A854" s="121"/>
      <c r="D854" s="117"/>
      <c r="E854" s="117"/>
      <c r="I854" s="118"/>
      <c r="J854" s="13"/>
      <c r="K854" s="269"/>
      <c r="L854" s="57"/>
      <c r="M854" s="119"/>
      <c r="N854" s="57"/>
      <c r="O854" s="57"/>
      <c r="P854" s="57"/>
      <c r="Q854" s="57"/>
      <c r="R854" s="57"/>
      <c r="S854" s="119"/>
      <c r="T854" s="57"/>
      <c r="AD854" s="122"/>
    </row>
    <row r="855" spans="1:30" ht="12.75" hidden="1" customHeight="1" x14ac:dyDescent="0.2">
      <c r="A855" s="121"/>
      <c r="D855" s="117"/>
      <c r="E855" s="117"/>
      <c r="I855" s="118"/>
      <c r="J855" s="13"/>
      <c r="K855" s="269"/>
      <c r="L855" s="57"/>
      <c r="M855" s="119"/>
      <c r="N855" s="57"/>
      <c r="O855" s="57"/>
      <c r="P855" s="57"/>
      <c r="Q855" s="57"/>
      <c r="R855" s="57"/>
      <c r="S855" s="119"/>
      <c r="T855" s="57"/>
      <c r="AD855" s="122"/>
    </row>
    <row r="856" spans="1:30" ht="12.75" hidden="1" customHeight="1" x14ac:dyDescent="0.2">
      <c r="A856" s="121"/>
      <c r="D856" s="117"/>
      <c r="E856" s="117"/>
      <c r="I856" s="118"/>
      <c r="J856" s="13"/>
      <c r="K856" s="269"/>
      <c r="L856" s="57"/>
      <c r="M856" s="119"/>
      <c r="N856" s="57"/>
      <c r="O856" s="57"/>
      <c r="P856" s="57"/>
      <c r="Q856" s="57"/>
      <c r="R856" s="57"/>
      <c r="S856" s="119"/>
      <c r="T856" s="57"/>
      <c r="AD856" s="122"/>
    </row>
    <row r="857" spans="1:30" ht="12.75" hidden="1" customHeight="1" x14ac:dyDescent="0.2">
      <c r="A857" s="121"/>
      <c r="D857" s="117"/>
      <c r="E857" s="117"/>
      <c r="I857" s="118"/>
      <c r="J857" s="13"/>
      <c r="K857" s="269"/>
      <c r="L857" s="57"/>
      <c r="M857" s="119"/>
      <c r="N857" s="57"/>
      <c r="O857" s="57"/>
      <c r="P857" s="57"/>
      <c r="Q857" s="57"/>
      <c r="R857" s="57"/>
      <c r="S857" s="119"/>
      <c r="T857" s="57"/>
      <c r="AD857" s="122"/>
    </row>
    <row r="858" spans="1:30" ht="12.75" hidden="1" customHeight="1" x14ac:dyDescent="0.2">
      <c r="A858" s="121"/>
      <c r="D858" s="117"/>
      <c r="E858" s="117"/>
      <c r="I858" s="118"/>
      <c r="J858" s="13"/>
      <c r="K858" s="269"/>
      <c r="L858" s="57"/>
      <c r="M858" s="119"/>
      <c r="N858" s="57"/>
      <c r="O858" s="57"/>
      <c r="P858" s="57"/>
      <c r="Q858" s="57"/>
      <c r="R858" s="57"/>
      <c r="S858" s="119"/>
      <c r="T858" s="57"/>
      <c r="AD858" s="122"/>
    </row>
    <row r="859" spans="1:30" ht="12.75" hidden="1" customHeight="1" x14ac:dyDescent="0.2">
      <c r="A859" s="121"/>
      <c r="D859" s="117"/>
      <c r="E859" s="117"/>
      <c r="I859" s="118"/>
      <c r="J859" s="13"/>
      <c r="K859" s="269"/>
      <c r="L859" s="57"/>
      <c r="M859" s="119"/>
      <c r="N859" s="57"/>
      <c r="O859" s="57"/>
      <c r="P859" s="57"/>
      <c r="Q859" s="57"/>
      <c r="R859" s="57"/>
      <c r="S859" s="119"/>
      <c r="T859" s="57"/>
      <c r="AD859" s="122"/>
    </row>
    <row r="860" spans="1:30" ht="12.75" hidden="1" customHeight="1" x14ac:dyDescent="0.2">
      <c r="A860" s="121"/>
      <c r="D860" s="117"/>
      <c r="E860" s="117"/>
      <c r="I860" s="118"/>
      <c r="J860" s="13"/>
      <c r="K860" s="269"/>
      <c r="L860" s="57"/>
      <c r="M860" s="119"/>
      <c r="N860" s="57"/>
      <c r="O860" s="57"/>
      <c r="P860" s="57"/>
      <c r="Q860" s="57"/>
      <c r="R860" s="57"/>
      <c r="S860" s="119"/>
      <c r="T860" s="57"/>
      <c r="AD860" s="122"/>
    </row>
    <row r="861" spans="1:30" ht="12.75" hidden="1" customHeight="1" x14ac:dyDescent="0.2">
      <c r="A861" s="121"/>
      <c r="D861" s="117"/>
      <c r="E861" s="117"/>
      <c r="I861" s="118"/>
      <c r="J861" s="13"/>
      <c r="K861" s="269"/>
      <c r="L861" s="57"/>
      <c r="M861" s="119"/>
      <c r="N861" s="57"/>
      <c r="O861" s="57"/>
      <c r="P861" s="57"/>
      <c r="Q861" s="57"/>
      <c r="R861" s="57"/>
      <c r="S861" s="119"/>
      <c r="T861" s="57"/>
      <c r="AD861" s="122"/>
    </row>
    <row r="862" spans="1:30" ht="12.75" hidden="1" customHeight="1" x14ac:dyDescent="0.2">
      <c r="A862" s="121"/>
      <c r="D862" s="117"/>
      <c r="E862" s="117"/>
      <c r="I862" s="118"/>
      <c r="J862" s="13"/>
      <c r="K862" s="269"/>
      <c r="L862" s="57"/>
      <c r="M862" s="119"/>
      <c r="N862" s="57"/>
      <c r="O862" s="57"/>
      <c r="P862" s="57"/>
      <c r="Q862" s="57"/>
      <c r="R862" s="57"/>
      <c r="S862" s="119"/>
      <c r="T862" s="57"/>
      <c r="AD862" s="122"/>
    </row>
    <row r="863" spans="1:30" ht="12.75" hidden="1" customHeight="1" x14ac:dyDescent="0.2">
      <c r="A863" s="121"/>
      <c r="D863" s="117"/>
      <c r="E863" s="117"/>
      <c r="I863" s="118"/>
      <c r="J863" s="13"/>
      <c r="K863" s="269"/>
      <c r="L863" s="57"/>
      <c r="M863" s="119"/>
      <c r="N863" s="57"/>
      <c r="O863" s="57"/>
      <c r="P863" s="57"/>
      <c r="Q863" s="57"/>
      <c r="R863" s="57"/>
      <c r="S863" s="119"/>
      <c r="T863" s="57"/>
      <c r="AD863" s="122"/>
    </row>
    <row r="864" spans="1:30" ht="12.75" hidden="1" customHeight="1" x14ac:dyDescent="0.2">
      <c r="A864" s="121"/>
      <c r="D864" s="117"/>
      <c r="E864" s="117"/>
      <c r="I864" s="118"/>
      <c r="J864" s="13"/>
      <c r="K864" s="269"/>
      <c r="L864" s="57"/>
      <c r="M864" s="119"/>
      <c r="N864" s="57"/>
      <c r="O864" s="57"/>
      <c r="P864" s="57"/>
      <c r="Q864" s="57"/>
      <c r="R864" s="57"/>
      <c r="S864" s="119"/>
      <c r="T864" s="57"/>
      <c r="AD864" s="122"/>
    </row>
    <row r="865" spans="1:30" ht="12.75" hidden="1" customHeight="1" x14ac:dyDescent="0.2">
      <c r="A865" s="121"/>
      <c r="D865" s="117"/>
      <c r="E865" s="117"/>
      <c r="I865" s="118"/>
      <c r="J865" s="13"/>
      <c r="K865" s="269"/>
      <c r="L865" s="57"/>
      <c r="M865" s="119"/>
      <c r="N865" s="57"/>
      <c r="O865" s="57"/>
      <c r="P865" s="57"/>
      <c r="Q865" s="57"/>
      <c r="R865" s="57"/>
      <c r="S865" s="119"/>
      <c r="T865" s="57"/>
      <c r="AD865" s="122"/>
    </row>
    <row r="866" spans="1:30" ht="12.75" hidden="1" customHeight="1" x14ac:dyDescent="0.2">
      <c r="A866" s="121"/>
      <c r="D866" s="117"/>
      <c r="E866" s="117"/>
      <c r="I866" s="118"/>
      <c r="J866" s="13"/>
      <c r="K866" s="269"/>
      <c r="L866" s="57"/>
      <c r="M866" s="119"/>
      <c r="N866" s="57"/>
      <c r="O866" s="57"/>
      <c r="P866" s="57"/>
      <c r="Q866" s="57"/>
      <c r="R866" s="57"/>
      <c r="S866" s="119"/>
      <c r="T866" s="57"/>
      <c r="AD866" s="122"/>
    </row>
    <row r="867" spans="1:30" ht="12.75" hidden="1" customHeight="1" x14ac:dyDescent="0.2">
      <c r="A867" s="121"/>
      <c r="D867" s="117"/>
      <c r="E867" s="117"/>
      <c r="I867" s="118"/>
      <c r="J867" s="13"/>
      <c r="K867" s="269"/>
      <c r="L867" s="57"/>
      <c r="M867" s="119"/>
      <c r="N867" s="57"/>
      <c r="O867" s="57"/>
      <c r="P867" s="57"/>
      <c r="Q867" s="57"/>
      <c r="R867" s="57"/>
      <c r="S867" s="119"/>
      <c r="T867" s="57"/>
      <c r="AD867" s="122"/>
    </row>
    <row r="868" spans="1:30" ht="12.75" hidden="1" customHeight="1" x14ac:dyDescent="0.2">
      <c r="A868" s="121"/>
      <c r="D868" s="117"/>
      <c r="E868" s="117"/>
      <c r="I868" s="118"/>
      <c r="J868" s="13"/>
      <c r="K868" s="269"/>
      <c r="L868" s="57"/>
      <c r="M868" s="119"/>
      <c r="N868" s="57"/>
      <c r="O868" s="57"/>
      <c r="P868" s="57"/>
      <c r="Q868" s="57"/>
      <c r="R868" s="57"/>
      <c r="S868" s="119"/>
      <c r="T868" s="57"/>
      <c r="AD868" s="122"/>
    </row>
    <row r="869" spans="1:30" ht="12.75" hidden="1" customHeight="1" x14ac:dyDescent="0.2">
      <c r="A869" s="121"/>
      <c r="D869" s="117"/>
      <c r="E869" s="117"/>
      <c r="I869" s="118"/>
      <c r="J869" s="13"/>
      <c r="K869" s="269"/>
      <c r="L869" s="57"/>
      <c r="M869" s="119"/>
      <c r="N869" s="57"/>
      <c r="O869" s="57"/>
      <c r="P869" s="57"/>
      <c r="Q869" s="57"/>
      <c r="R869" s="57"/>
      <c r="S869" s="119"/>
      <c r="T869" s="57"/>
      <c r="AD869" s="122"/>
    </row>
    <row r="870" spans="1:30" ht="12.75" hidden="1" customHeight="1" x14ac:dyDescent="0.2">
      <c r="A870" s="121"/>
      <c r="D870" s="117"/>
      <c r="E870" s="117"/>
      <c r="I870" s="118"/>
      <c r="J870" s="13"/>
      <c r="K870" s="269"/>
      <c r="L870" s="57"/>
      <c r="M870" s="119"/>
      <c r="N870" s="57"/>
      <c r="O870" s="57"/>
      <c r="P870" s="57"/>
      <c r="Q870" s="57"/>
      <c r="R870" s="57"/>
      <c r="S870" s="119"/>
      <c r="T870" s="57"/>
      <c r="AD870" s="122"/>
    </row>
    <row r="871" spans="1:30" ht="12.75" hidden="1" customHeight="1" x14ac:dyDescent="0.2">
      <c r="A871" s="121"/>
      <c r="D871" s="117"/>
      <c r="E871" s="117"/>
      <c r="I871" s="118"/>
      <c r="J871" s="13"/>
      <c r="K871" s="269"/>
      <c r="L871" s="57"/>
      <c r="M871" s="119"/>
      <c r="N871" s="57"/>
      <c r="O871" s="57"/>
      <c r="P871" s="57"/>
      <c r="Q871" s="57"/>
      <c r="R871" s="57"/>
      <c r="S871" s="119"/>
      <c r="T871" s="57"/>
      <c r="AD871" s="122"/>
    </row>
    <row r="872" spans="1:30" ht="12.75" hidden="1" customHeight="1" x14ac:dyDescent="0.2">
      <c r="A872" s="121"/>
      <c r="D872" s="117"/>
      <c r="E872" s="117"/>
      <c r="I872" s="118"/>
      <c r="J872" s="13"/>
      <c r="K872" s="269"/>
      <c r="L872" s="57"/>
      <c r="M872" s="119"/>
      <c r="N872" s="57"/>
      <c r="O872" s="57"/>
      <c r="P872" s="57"/>
      <c r="Q872" s="57"/>
      <c r="R872" s="57"/>
      <c r="S872" s="119"/>
      <c r="T872" s="57"/>
      <c r="AD872" s="122"/>
    </row>
    <row r="873" spans="1:30" ht="12.75" hidden="1" customHeight="1" x14ac:dyDescent="0.2">
      <c r="A873" s="121"/>
      <c r="D873" s="117"/>
      <c r="E873" s="117"/>
      <c r="I873" s="118"/>
      <c r="J873" s="13"/>
      <c r="K873" s="269"/>
      <c r="L873" s="57"/>
      <c r="M873" s="119"/>
      <c r="N873" s="57"/>
      <c r="O873" s="57"/>
      <c r="P873" s="57"/>
      <c r="Q873" s="57"/>
      <c r="R873" s="57"/>
      <c r="S873" s="119"/>
      <c r="T873" s="57"/>
      <c r="AD873" s="122"/>
    </row>
    <row r="874" spans="1:30" ht="12.75" hidden="1" customHeight="1" x14ac:dyDescent="0.2">
      <c r="A874" s="121"/>
      <c r="D874" s="117"/>
      <c r="E874" s="117"/>
      <c r="I874" s="118"/>
      <c r="J874" s="13"/>
      <c r="K874" s="269"/>
      <c r="L874" s="57"/>
      <c r="M874" s="119"/>
      <c r="N874" s="57"/>
      <c r="O874" s="57"/>
      <c r="P874" s="57"/>
      <c r="Q874" s="57"/>
      <c r="R874" s="57"/>
      <c r="S874" s="119"/>
      <c r="T874" s="57"/>
      <c r="AD874" s="122"/>
    </row>
    <row r="875" spans="1:30" ht="12.75" hidden="1" customHeight="1" x14ac:dyDescent="0.2">
      <c r="A875" s="121"/>
      <c r="D875" s="117"/>
      <c r="E875" s="117"/>
      <c r="I875" s="118"/>
      <c r="J875" s="13"/>
      <c r="K875" s="269"/>
      <c r="L875" s="57"/>
      <c r="M875" s="119"/>
      <c r="N875" s="57"/>
      <c r="O875" s="57"/>
      <c r="P875" s="57"/>
      <c r="Q875" s="57"/>
      <c r="R875" s="57"/>
      <c r="S875" s="119"/>
      <c r="T875" s="57"/>
      <c r="AD875" s="122"/>
    </row>
    <row r="876" spans="1:30" ht="12.75" hidden="1" customHeight="1" x14ac:dyDescent="0.2">
      <c r="A876" s="121"/>
      <c r="D876" s="117"/>
      <c r="E876" s="117"/>
      <c r="I876" s="118"/>
      <c r="J876" s="13"/>
      <c r="K876" s="269"/>
      <c r="L876" s="57"/>
      <c r="M876" s="119"/>
      <c r="N876" s="57"/>
      <c r="O876" s="57"/>
      <c r="P876" s="57"/>
      <c r="Q876" s="57"/>
      <c r="R876" s="57"/>
      <c r="S876" s="119"/>
      <c r="T876" s="57"/>
      <c r="AD876" s="122"/>
    </row>
    <row r="877" spans="1:30" ht="12.75" hidden="1" customHeight="1" x14ac:dyDescent="0.2">
      <c r="A877" s="121"/>
      <c r="D877" s="117"/>
      <c r="E877" s="117"/>
      <c r="I877" s="118"/>
      <c r="J877" s="13"/>
      <c r="K877" s="269"/>
      <c r="L877" s="57"/>
      <c r="M877" s="119"/>
      <c r="N877" s="57"/>
      <c r="O877" s="57"/>
      <c r="P877" s="57"/>
      <c r="Q877" s="57"/>
      <c r="R877" s="57"/>
      <c r="S877" s="119"/>
      <c r="T877" s="57"/>
      <c r="AD877" s="122"/>
    </row>
    <row r="878" spans="1:30" ht="12.75" hidden="1" customHeight="1" x14ac:dyDescent="0.2">
      <c r="A878" s="121"/>
      <c r="D878" s="117"/>
      <c r="E878" s="117"/>
      <c r="I878" s="118"/>
      <c r="J878" s="13"/>
      <c r="K878" s="269"/>
      <c r="L878" s="57"/>
      <c r="M878" s="119"/>
      <c r="N878" s="57"/>
      <c r="O878" s="57"/>
      <c r="P878" s="57"/>
      <c r="Q878" s="57"/>
      <c r="R878" s="57"/>
      <c r="S878" s="119"/>
      <c r="T878" s="57"/>
      <c r="AD878" s="122"/>
    </row>
    <row r="879" spans="1:30" ht="12.75" hidden="1" customHeight="1" x14ac:dyDescent="0.2">
      <c r="A879" s="121"/>
      <c r="D879" s="117"/>
      <c r="E879" s="117"/>
      <c r="I879" s="118"/>
      <c r="J879" s="13"/>
      <c r="K879" s="269"/>
      <c r="L879" s="57"/>
      <c r="M879" s="119"/>
      <c r="N879" s="57"/>
      <c r="O879" s="57"/>
      <c r="P879" s="57"/>
      <c r="Q879" s="57"/>
      <c r="R879" s="57"/>
      <c r="S879" s="119"/>
      <c r="T879" s="57"/>
      <c r="AD879" s="122"/>
    </row>
    <row r="880" spans="1:30" ht="12.75" hidden="1" customHeight="1" x14ac:dyDescent="0.2">
      <c r="A880" s="121"/>
      <c r="D880" s="117"/>
      <c r="E880" s="117"/>
      <c r="I880" s="118"/>
      <c r="J880" s="13"/>
      <c r="K880" s="269"/>
      <c r="L880" s="57"/>
      <c r="M880" s="119"/>
      <c r="N880" s="57"/>
      <c r="O880" s="57"/>
      <c r="P880" s="57"/>
      <c r="Q880" s="57"/>
      <c r="R880" s="57"/>
      <c r="S880" s="119"/>
      <c r="T880" s="57"/>
      <c r="AD880" s="122"/>
    </row>
    <row r="881" spans="1:30" ht="12.75" hidden="1" customHeight="1" x14ac:dyDescent="0.2">
      <c r="A881" s="121"/>
      <c r="D881" s="117"/>
      <c r="E881" s="117"/>
      <c r="I881" s="118"/>
      <c r="J881" s="13"/>
      <c r="K881" s="269"/>
      <c r="L881" s="57"/>
      <c r="M881" s="119"/>
      <c r="N881" s="57"/>
      <c r="O881" s="57"/>
      <c r="P881" s="57"/>
      <c r="Q881" s="57"/>
      <c r="R881" s="57"/>
      <c r="S881" s="119"/>
      <c r="T881" s="57"/>
      <c r="AD881" s="122"/>
    </row>
    <row r="882" spans="1:30" ht="12.75" hidden="1" customHeight="1" x14ac:dyDescent="0.2">
      <c r="A882" s="121"/>
      <c r="D882" s="117"/>
      <c r="E882" s="117"/>
      <c r="I882" s="118"/>
      <c r="J882" s="13"/>
      <c r="K882" s="269"/>
      <c r="L882" s="57"/>
      <c r="M882" s="119"/>
      <c r="N882" s="57"/>
      <c r="O882" s="57"/>
      <c r="P882" s="57"/>
      <c r="Q882" s="57"/>
      <c r="R882" s="57"/>
      <c r="S882" s="119"/>
      <c r="T882" s="57"/>
      <c r="AD882" s="122"/>
    </row>
    <row r="883" spans="1:30" ht="12.75" hidden="1" customHeight="1" x14ac:dyDescent="0.2">
      <c r="A883" s="121"/>
      <c r="D883" s="117"/>
      <c r="E883" s="117"/>
      <c r="I883" s="118"/>
      <c r="J883" s="13"/>
      <c r="K883" s="269"/>
      <c r="L883" s="57"/>
      <c r="M883" s="119"/>
      <c r="N883" s="57"/>
      <c r="O883" s="57"/>
      <c r="P883" s="57"/>
      <c r="Q883" s="57"/>
      <c r="R883" s="57"/>
      <c r="S883" s="119"/>
      <c r="T883" s="57"/>
      <c r="AD883" s="122"/>
    </row>
    <row r="884" spans="1:30" ht="12.75" hidden="1" customHeight="1" x14ac:dyDescent="0.2">
      <c r="A884" s="121"/>
      <c r="D884" s="117"/>
      <c r="E884" s="117"/>
      <c r="I884" s="118"/>
      <c r="J884" s="13"/>
      <c r="K884" s="269"/>
      <c r="L884" s="57"/>
      <c r="M884" s="119"/>
      <c r="N884" s="57"/>
      <c r="O884" s="57"/>
      <c r="P884" s="57"/>
      <c r="Q884" s="57"/>
      <c r="R884" s="57"/>
      <c r="S884" s="119"/>
      <c r="T884" s="57"/>
      <c r="AD884" s="122"/>
    </row>
    <row r="885" spans="1:30" ht="12.75" hidden="1" customHeight="1" x14ac:dyDescent="0.2">
      <c r="A885" s="121"/>
      <c r="D885" s="117"/>
      <c r="E885" s="117"/>
      <c r="I885" s="118"/>
      <c r="J885" s="13"/>
      <c r="K885" s="269"/>
      <c r="L885" s="57"/>
      <c r="M885" s="119"/>
      <c r="N885" s="57"/>
      <c r="O885" s="57"/>
      <c r="P885" s="57"/>
      <c r="Q885" s="57"/>
      <c r="R885" s="57"/>
      <c r="S885" s="119"/>
      <c r="T885" s="57"/>
      <c r="AD885" s="122"/>
    </row>
    <row r="886" spans="1:30" ht="12.75" hidden="1" customHeight="1" x14ac:dyDescent="0.2">
      <c r="A886" s="121"/>
      <c r="D886" s="117"/>
      <c r="E886" s="117"/>
      <c r="I886" s="118"/>
      <c r="J886" s="13"/>
      <c r="K886" s="269"/>
      <c r="L886" s="57"/>
      <c r="M886" s="119"/>
      <c r="N886" s="57"/>
      <c r="O886" s="57"/>
      <c r="P886" s="57"/>
      <c r="Q886" s="57"/>
      <c r="R886" s="57"/>
      <c r="S886" s="119"/>
      <c r="T886" s="57"/>
      <c r="AD886" s="122"/>
    </row>
    <row r="887" spans="1:30" ht="12.75" hidden="1" customHeight="1" x14ac:dyDescent="0.2">
      <c r="A887" s="121"/>
      <c r="D887" s="117"/>
      <c r="E887" s="117"/>
      <c r="I887" s="118"/>
      <c r="J887" s="13"/>
      <c r="K887" s="269"/>
      <c r="L887" s="57"/>
      <c r="M887" s="119"/>
      <c r="N887" s="57"/>
      <c r="O887" s="57"/>
      <c r="P887" s="57"/>
      <c r="Q887" s="57"/>
      <c r="R887" s="57"/>
      <c r="S887" s="119"/>
      <c r="T887" s="57"/>
      <c r="AD887" s="122"/>
    </row>
    <row r="888" spans="1:30" ht="12.75" hidden="1" customHeight="1" x14ac:dyDescent="0.2">
      <c r="A888" s="121"/>
      <c r="D888" s="117"/>
      <c r="E888" s="117"/>
      <c r="I888" s="118"/>
      <c r="J888" s="13"/>
      <c r="K888" s="269"/>
      <c r="L888" s="57"/>
      <c r="M888" s="119"/>
      <c r="N888" s="57"/>
      <c r="O888" s="57"/>
      <c r="P888" s="57"/>
      <c r="Q888" s="57"/>
      <c r="R888" s="57"/>
      <c r="S888" s="119"/>
      <c r="T888" s="57"/>
      <c r="AD888" s="122"/>
    </row>
    <row r="889" spans="1:30" ht="12.75" hidden="1" customHeight="1" x14ac:dyDescent="0.2">
      <c r="A889" s="121"/>
      <c r="D889" s="117"/>
      <c r="E889" s="117"/>
      <c r="I889" s="118"/>
      <c r="J889" s="13"/>
      <c r="K889" s="269"/>
      <c r="L889" s="57"/>
      <c r="M889" s="119"/>
      <c r="N889" s="57"/>
      <c r="O889" s="57"/>
      <c r="P889" s="57"/>
      <c r="Q889" s="57"/>
      <c r="R889" s="57"/>
      <c r="S889" s="119"/>
      <c r="T889" s="57"/>
      <c r="AD889" s="122"/>
    </row>
    <row r="890" spans="1:30" ht="12.75" hidden="1" customHeight="1" x14ac:dyDescent="0.2">
      <c r="A890" s="121"/>
      <c r="D890" s="117"/>
      <c r="E890" s="117"/>
      <c r="I890" s="118"/>
      <c r="J890" s="13"/>
      <c r="K890" s="269"/>
      <c r="L890" s="57"/>
      <c r="M890" s="119"/>
      <c r="N890" s="57"/>
      <c r="O890" s="57"/>
      <c r="P890" s="57"/>
      <c r="Q890" s="57"/>
      <c r="R890" s="57"/>
      <c r="S890" s="119"/>
      <c r="T890" s="57"/>
      <c r="AD890" s="122"/>
    </row>
    <row r="891" spans="1:30" ht="12.75" hidden="1" customHeight="1" x14ac:dyDescent="0.2">
      <c r="A891" s="121"/>
      <c r="D891" s="117"/>
      <c r="E891" s="117"/>
      <c r="I891" s="118"/>
      <c r="J891" s="13"/>
      <c r="K891" s="269"/>
      <c r="L891" s="57"/>
      <c r="M891" s="119"/>
      <c r="N891" s="57"/>
      <c r="O891" s="57"/>
      <c r="P891" s="57"/>
      <c r="Q891" s="57"/>
      <c r="R891" s="57"/>
      <c r="S891" s="119"/>
      <c r="T891" s="57"/>
      <c r="AD891" s="122"/>
    </row>
    <row r="892" spans="1:30" ht="12.75" hidden="1" customHeight="1" x14ac:dyDescent="0.2">
      <c r="A892" s="121"/>
      <c r="D892" s="117"/>
      <c r="E892" s="117"/>
      <c r="I892" s="118"/>
      <c r="J892" s="13"/>
      <c r="K892" s="269"/>
      <c r="L892" s="57"/>
      <c r="M892" s="119"/>
      <c r="N892" s="57"/>
      <c r="O892" s="57"/>
      <c r="P892" s="57"/>
      <c r="Q892" s="57"/>
      <c r="R892" s="57"/>
      <c r="S892" s="119"/>
      <c r="T892" s="57"/>
      <c r="AD892" s="122"/>
    </row>
    <row r="893" spans="1:30" ht="12.75" hidden="1" customHeight="1" x14ac:dyDescent="0.2">
      <c r="A893" s="121"/>
      <c r="D893" s="117"/>
      <c r="E893" s="117"/>
      <c r="I893" s="118"/>
      <c r="J893" s="13"/>
      <c r="K893" s="269"/>
      <c r="L893" s="57"/>
      <c r="M893" s="119"/>
      <c r="N893" s="57"/>
      <c r="O893" s="57"/>
      <c r="P893" s="57"/>
      <c r="Q893" s="57"/>
      <c r="R893" s="57"/>
      <c r="S893" s="119"/>
      <c r="T893" s="57"/>
      <c r="AD893" s="122"/>
    </row>
    <row r="894" spans="1:30" ht="12.75" hidden="1" customHeight="1" x14ac:dyDescent="0.2">
      <c r="A894" s="121"/>
      <c r="D894" s="117"/>
      <c r="E894" s="117"/>
      <c r="I894" s="118"/>
      <c r="J894" s="13"/>
      <c r="K894" s="269"/>
      <c r="L894" s="57"/>
      <c r="M894" s="119"/>
      <c r="N894" s="57"/>
      <c r="O894" s="57"/>
      <c r="P894" s="57"/>
      <c r="Q894" s="57"/>
      <c r="R894" s="57"/>
      <c r="S894" s="119"/>
      <c r="T894" s="57"/>
      <c r="AD894" s="122"/>
    </row>
    <row r="895" spans="1:30" ht="12.75" hidden="1" customHeight="1" x14ac:dyDescent="0.2">
      <c r="A895" s="121"/>
      <c r="D895" s="117"/>
      <c r="E895" s="117"/>
      <c r="I895" s="118"/>
      <c r="J895" s="13"/>
      <c r="K895" s="269"/>
      <c r="L895" s="57"/>
      <c r="M895" s="119"/>
      <c r="N895" s="57"/>
      <c r="O895" s="57"/>
      <c r="P895" s="57"/>
      <c r="Q895" s="57"/>
      <c r="R895" s="57"/>
      <c r="S895" s="119"/>
      <c r="T895" s="57"/>
      <c r="AD895" s="122"/>
    </row>
    <row r="896" spans="1:30" ht="12.75" hidden="1" customHeight="1" x14ac:dyDescent="0.2">
      <c r="A896" s="121"/>
      <c r="D896" s="117"/>
      <c r="E896" s="117"/>
      <c r="I896" s="118"/>
      <c r="J896" s="13"/>
      <c r="K896" s="269"/>
      <c r="L896" s="57"/>
      <c r="M896" s="119"/>
      <c r="N896" s="57"/>
      <c r="O896" s="57"/>
      <c r="P896" s="57"/>
      <c r="Q896" s="57"/>
      <c r="R896" s="57"/>
      <c r="S896" s="119"/>
      <c r="T896" s="57"/>
      <c r="AD896" s="122"/>
    </row>
    <row r="897" spans="1:30" ht="12.75" hidden="1" customHeight="1" x14ac:dyDescent="0.2">
      <c r="A897" s="121"/>
      <c r="D897" s="117"/>
      <c r="E897" s="117"/>
      <c r="I897" s="118"/>
      <c r="J897" s="13"/>
      <c r="K897" s="269"/>
      <c r="L897" s="57"/>
      <c r="M897" s="119"/>
      <c r="N897" s="57"/>
      <c r="O897" s="57"/>
      <c r="P897" s="57"/>
      <c r="Q897" s="57"/>
      <c r="R897" s="57"/>
      <c r="S897" s="119"/>
      <c r="T897" s="57"/>
      <c r="AD897" s="122"/>
    </row>
    <row r="898" spans="1:30" ht="12.75" hidden="1" customHeight="1" x14ac:dyDescent="0.2">
      <c r="A898" s="121"/>
      <c r="D898" s="117"/>
      <c r="E898" s="117"/>
      <c r="I898" s="118"/>
      <c r="J898" s="13"/>
      <c r="K898" s="269"/>
      <c r="L898" s="57"/>
      <c r="M898" s="119"/>
      <c r="N898" s="57"/>
      <c r="O898" s="57"/>
      <c r="P898" s="57"/>
      <c r="Q898" s="57"/>
      <c r="R898" s="57"/>
      <c r="S898" s="119"/>
      <c r="T898" s="57"/>
      <c r="AD898" s="122"/>
    </row>
    <row r="899" spans="1:30" ht="12.75" hidden="1" customHeight="1" x14ac:dyDescent="0.2">
      <c r="A899" s="121"/>
      <c r="D899" s="117"/>
      <c r="E899" s="117"/>
      <c r="I899" s="118"/>
      <c r="J899" s="13"/>
      <c r="K899" s="269"/>
      <c r="L899" s="57"/>
      <c r="M899" s="119"/>
      <c r="N899" s="57"/>
      <c r="O899" s="57"/>
      <c r="P899" s="57"/>
      <c r="Q899" s="57"/>
      <c r="R899" s="57"/>
      <c r="S899" s="119"/>
      <c r="T899" s="57"/>
      <c r="AD899" s="122"/>
    </row>
    <row r="900" spans="1:30" ht="12.75" hidden="1" customHeight="1" x14ac:dyDescent="0.2">
      <c r="A900" s="121"/>
      <c r="D900" s="117"/>
      <c r="E900" s="117"/>
      <c r="I900" s="118"/>
      <c r="J900" s="13"/>
      <c r="K900" s="269"/>
      <c r="L900" s="57"/>
      <c r="M900" s="119"/>
      <c r="N900" s="57"/>
      <c r="O900" s="57"/>
      <c r="P900" s="57"/>
      <c r="Q900" s="57"/>
      <c r="R900" s="57"/>
      <c r="S900" s="119"/>
      <c r="T900" s="57"/>
      <c r="AD900" s="122"/>
    </row>
    <row r="901" spans="1:30" ht="12.75" hidden="1" customHeight="1" x14ac:dyDescent="0.2">
      <c r="A901" s="121"/>
      <c r="D901" s="117"/>
      <c r="E901" s="117"/>
      <c r="I901" s="118"/>
      <c r="J901" s="13"/>
      <c r="K901" s="269"/>
      <c r="L901" s="57"/>
      <c r="M901" s="119"/>
      <c r="N901" s="57"/>
      <c r="O901" s="57"/>
      <c r="P901" s="57"/>
      <c r="Q901" s="57"/>
      <c r="R901" s="57"/>
      <c r="S901" s="119"/>
      <c r="T901" s="57"/>
      <c r="AD901" s="122"/>
    </row>
    <row r="902" spans="1:30" ht="12.75" hidden="1" customHeight="1" x14ac:dyDescent="0.2">
      <c r="A902" s="121"/>
      <c r="D902" s="117"/>
      <c r="E902" s="117"/>
      <c r="I902" s="118"/>
      <c r="J902" s="13"/>
      <c r="K902" s="269"/>
      <c r="L902" s="57"/>
      <c r="M902" s="119"/>
      <c r="N902" s="57"/>
      <c r="O902" s="57"/>
      <c r="P902" s="57"/>
      <c r="Q902" s="57"/>
      <c r="R902" s="57"/>
      <c r="S902" s="119"/>
      <c r="T902" s="57"/>
      <c r="AD902" s="122"/>
    </row>
    <row r="903" spans="1:30" ht="12.75" hidden="1" customHeight="1" x14ac:dyDescent="0.2">
      <c r="A903" s="121"/>
      <c r="D903" s="117"/>
      <c r="E903" s="117"/>
      <c r="I903" s="118"/>
      <c r="J903" s="13"/>
      <c r="K903" s="269"/>
      <c r="L903" s="57"/>
      <c r="M903" s="119"/>
      <c r="N903" s="57"/>
      <c r="O903" s="57"/>
      <c r="P903" s="57"/>
      <c r="Q903" s="57"/>
      <c r="R903" s="57"/>
      <c r="S903" s="119"/>
      <c r="T903" s="57"/>
      <c r="AD903" s="122"/>
    </row>
    <row r="904" spans="1:30" ht="12.75" hidden="1" customHeight="1" x14ac:dyDescent="0.2">
      <c r="A904" s="121"/>
      <c r="D904" s="117"/>
      <c r="E904" s="117"/>
      <c r="I904" s="118"/>
      <c r="J904" s="13"/>
      <c r="K904" s="269"/>
      <c r="L904" s="57"/>
      <c r="M904" s="119"/>
      <c r="N904" s="57"/>
      <c r="O904" s="57"/>
      <c r="P904" s="57"/>
      <c r="Q904" s="57"/>
      <c r="R904" s="57"/>
      <c r="S904" s="119"/>
      <c r="T904" s="57"/>
      <c r="AD904" s="122"/>
    </row>
    <row r="905" spans="1:30" ht="12.75" hidden="1" customHeight="1" x14ac:dyDescent="0.2">
      <c r="A905" s="121"/>
      <c r="D905" s="117"/>
      <c r="E905" s="117"/>
      <c r="I905" s="118"/>
      <c r="J905" s="13"/>
      <c r="K905" s="269"/>
      <c r="L905" s="57"/>
      <c r="M905" s="119"/>
      <c r="N905" s="57"/>
      <c r="O905" s="57"/>
      <c r="P905" s="57"/>
      <c r="Q905" s="57"/>
      <c r="R905" s="57"/>
      <c r="S905" s="119"/>
      <c r="T905" s="57"/>
      <c r="AD905" s="122"/>
    </row>
    <row r="906" spans="1:30" ht="12.75" hidden="1" customHeight="1" x14ac:dyDescent="0.2">
      <c r="A906" s="121"/>
      <c r="D906" s="117"/>
      <c r="E906" s="117"/>
      <c r="I906" s="118"/>
      <c r="J906" s="13"/>
      <c r="K906" s="269"/>
      <c r="L906" s="57"/>
      <c r="M906" s="119"/>
      <c r="N906" s="57"/>
      <c r="O906" s="57"/>
      <c r="P906" s="57"/>
      <c r="Q906" s="57"/>
      <c r="R906" s="57"/>
      <c r="S906" s="119"/>
      <c r="T906" s="57"/>
      <c r="AD906" s="122"/>
    </row>
    <row r="907" spans="1:30" ht="12.75" hidden="1" customHeight="1" x14ac:dyDescent="0.2">
      <c r="A907" s="121"/>
      <c r="D907" s="117"/>
      <c r="E907" s="117"/>
      <c r="I907" s="118"/>
      <c r="J907" s="13"/>
      <c r="K907" s="269"/>
      <c r="L907" s="57"/>
      <c r="M907" s="119"/>
      <c r="N907" s="57"/>
      <c r="O907" s="57"/>
      <c r="P907" s="57"/>
      <c r="Q907" s="57"/>
      <c r="R907" s="57"/>
      <c r="S907" s="119"/>
      <c r="T907" s="57"/>
      <c r="AD907" s="122"/>
    </row>
    <row r="908" spans="1:30" ht="12.75" hidden="1" customHeight="1" x14ac:dyDescent="0.2">
      <c r="A908" s="121"/>
      <c r="D908" s="117"/>
      <c r="E908" s="117"/>
      <c r="I908" s="118"/>
      <c r="J908" s="13"/>
      <c r="K908" s="269"/>
      <c r="L908" s="57"/>
      <c r="M908" s="119"/>
      <c r="N908" s="57"/>
      <c r="O908" s="57"/>
      <c r="P908" s="57"/>
      <c r="Q908" s="57"/>
      <c r="R908" s="57"/>
      <c r="S908" s="119"/>
      <c r="T908" s="57"/>
      <c r="AD908" s="122"/>
    </row>
    <row r="909" spans="1:30" ht="12.75" hidden="1" customHeight="1" x14ac:dyDescent="0.2">
      <c r="A909" s="121"/>
      <c r="D909" s="117"/>
      <c r="E909" s="117"/>
      <c r="I909" s="118"/>
      <c r="J909" s="13"/>
      <c r="K909" s="269"/>
      <c r="L909" s="57"/>
      <c r="M909" s="119"/>
      <c r="N909" s="57"/>
      <c r="O909" s="57"/>
      <c r="P909" s="57"/>
      <c r="Q909" s="57"/>
      <c r="R909" s="57"/>
      <c r="S909" s="119"/>
      <c r="T909" s="57"/>
      <c r="AD909" s="122"/>
    </row>
    <row r="910" spans="1:30" ht="12.75" hidden="1" customHeight="1" x14ac:dyDescent="0.2">
      <c r="A910" s="121"/>
      <c r="D910" s="117"/>
      <c r="E910" s="117"/>
      <c r="I910" s="118"/>
      <c r="J910" s="13"/>
      <c r="K910" s="269"/>
      <c r="L910" s="57"/>
      <c r="M910" s="119"/>
      <c r="N910" s="57"/>
      <c r="O910" s="57"/>
      <c r="P910" s="57"/>
      <c r="Q910" s="57"/>
      <c r="R910" s="57"/>
      <c r="S910" s="119"/>
      <c r="T910" s="57"/>
      <c r="AD910" s="122"/>
    </row>
    <row r="911" spans="1:30" ht="12.75" hidden="1" customHeight="1" x14ac:dyDescent="0.2">
      <c r="A911" s="121"/>
      <c r="D911" s="117"/>
      <c r="E911" s="117"/>
      <c r="I911" s="118"/>
      <c r="J911" s="13"/>
      <c r="K911" s="269"/>
      <c r="L911" s="57"/>
      <c r="M911" s="119"/>
      <c r="N911" s="57"/>
      <c r="O911" s="57"/>
      <c r="P911" s="57"/>
      <c r="Q911" s="57"/>
      <c r="R911" s="57"/>
      <c r="S911" s="119"/>
      <c r="T911" s="57"/>
      <c r="AD911" s="122"/>
    </row>
    <row r="912" spans="1:30" ht="12.75" hidden="1" customHeight="1" x14ac:dyDescent="0.2">
      <c r="A912" s="121"/>
      <c r="D912" s="117"/>
      <c r="E912" s="117"/>
      <c r="I912" s="118"/>
      <c r="J912" s="13"/>
      <c r="K912" s="269"/>
      <c r="L912" s="57"/>
      <c r="M912" s="119"/>
      <c r="N912" s="57"/>
      <c r="O912" s="57"/>
      <c r="P912" s="57"/>
      <c r="Q912" s="57"/>
      <c r="R912" s="57"/>
      <c r="S912" s="119"/>
      <c r="T912" s="57"/>
      <c r="AD912" s="122"/>
    </row>
    <row r="913" spans="1:30" ht="12.75" hidden="1" customHeight="1" x14ac:dyDescent="0.2">
      <c r="A913" s="121"/>
      <c r="D913" s="117"/>
      <c r="E913" s="117"/>
      <c r="I913" s="118"/>
      <c r="J913" s="13"/>
      <c r="K913" s="269"/>
      <c r="L913" s="57"/>
      <c r="M913" s="119"/>
      <c r="N913" s="57"/>
      <c r="O913" s="57"/>
      <c r="P913" s="57"/>
      <c r="Q913" s="57"/>
      <c r="R913" s="57"/>
      <c r="S913" s="119"/>
      <c r="T913" s="57"/>
      <c r="AD913" s="122"/>
    </row>
    <row r="914" spans="1:30" ht="12.75" hidden="1" customHeight="1" x14ac:dyDescent="0.2">
      <c r="A914" s="121"/>
      <c r="D914" s="117"/>
      <c r="E914" s="117"/>
      <c r="I914" s="118"/>
      <c r="J914" s="13"/>
      <c r="K914" s="269"/>
      <c r="L914" s="57"/>
      <c r="M914" s="119"/>
      <c r="N914" s="57"/>
      <c r="O914" s="57"/>
      <c r="P914" s="57"/>
      <c r="Q914" s="57"/>
      <c r="R914" s="57"/>
      <c r="S914" s="119"/>
      <c r="T914" s="57"/>
      <c r="AD914" s="122"/>
    </row>
    <row r="915" spans="1:30" ht="12.75" hidden="1" customHeight="1" x14ac:dyDescent="0.2">
      <c r="A915" s="121"/>
      <c r="D915" s="117"/>
      <c r="E915" s="117"/>
      <c r="I915" s="118"/>
      <c r="J915" s="13"/>
      <c r="K915" s="269"/>
      <c r="L915" s="57"/>
      <c r="M915" s="119"/>
      <c r="N915" s="57"/>
      <c r="O915" s="57"/>
      <c r="P915" s="57"/>
      <c r="Q915" s="57"/>
      <c r="R915" s="57"/>
      <c r="S915" s="119"/>
      <c r="T915" s="57"/>
      <c r="AD915" s="122"/>
    </row>
    <row r="916" spans="1:30" ht="12.75" hidden="1" customHeight="1" x14ac:dyDescent="0.2">
      <c r="A916" s="121"/>
      <c r="D916" s="117"/>
      <c r="E916" s="117"/>
      <c r="I916" s="118"/>
      <c r="J916" s="13"/>
      <c r="K916" s="269"/>
      <c r="L916" s="57"/>
      <c r="M916" s="119"/>
      <c r="N916" s="57"/>
      <c r="O916" s="57"/>
      <c r="P916" s="57"/>
      <c r="Q916" s="57"/>
      <c r="R916" s="57"/>
      <c r="S916" s="119"/>
      <c r="T916" s="57"/>
      <c r="AD916" s="122"/>
    </row>
    <row r="917" spans="1:30" ht="12.75" hidden="1" customHeight="1" x14ac:dyDescent="0.2">
      <c r="A917" s="121"/>
      <c r="D917" s="117"/>
      <c r="E917" s="117"/>
      <c r="I917" s="118"/>
      <c r="J917" s="13"/>
      <c r="K917" s="269"/>
      <c r="L917" s="57"/>
      <c r="M917" s="119"/>
      <c r="N917" s="57"/>
      <c r="O917" s="57"/>
      <c r="P917" s="57"/>
      <c r="Q917" s="57"/>
      <c r="R917" s="57"/>
      <c r="S917" s="119"/>
      <c r="T917" s="57"/>
      <c r="AD917" s="122"/>
    </row>
    <row r="918" spans="1:30" ht="12.75" hidden="1" customHeight="1" x14ac:dyDescent="0.2">
      <c r="A918" s="121"/>
      <c r="D918" s="117"/>
      <c r="E918" s="117"/>
      <c r="I918" s="118"/>
      <c r="J918" s="13"/>
      <c r="K918" s="269"/>
      <c r="L918" s="57"/>
      <c r="M918" s="119"/>
      <c r="N918" s="57"/>
      <c r="O918" s="57"/>
      <c r="P918" s="57"/>
      <c r="Q918" s="57"/>
      <c r="R918" s="57"/>
      <c r="S918" s="119"/>
      <c r="T918" s="57"/>
      <c r="AD918" s="122"/>
    </row>
    <row r="919" spans="1:30" ht="12.75" hidden="1" customHeight="1" x14ac:dyDescent="0.2">
      <c r="A919" s="121"/>
      <c r="D919" s="117"/>
      <c r="E919" s="117"/>
      <c r="I919" s="118"/>
      <c r="J919" s="13"/>
      <c r="K919" s="269"/>
      <c r="L919" s="57"/>
      <c r="M919" s="119"/>
      <c r="N919" s="57"/>
      <c r="O919" s="57"/>
      <c r="P919" s="57"/>
      <c r="Q919" s="57"/>
      <c r="R919" s="57"/>
      <c r="S919" s="119"/>
      <c r="T919" s="57"/>
      <c r="AD919" s="122"/>
    </row>
    <row r="920" spans="1:30" ht="12.75" hidden="1" customHeight="1" x14ac:dyDescent="0.2">
      <c r="A920" s="121"/>
      <c r="D920" s="117"/>
      <c r="E920" s="117"/>
      <c r="I920" s="118"/>
      <c r="J920" s="13"/>
      <c r="K920" s="269"/>
      <c r="L920" s="57"/>
      <c r="M920" s="119"/>
      <c r="N920" s="57"/>
      <c r="O920" s="57"/>
      <c r="P920" s="57"/>
      <c r="Q920" s="57"/>
      <c r="R920" s="57"/>
      <c r="S920" s="119"/>
      <c r="T920" s="57"/>
      <c r="AD920" s="122"/>
    </row>
    <row r="921" spans="1:30" ht="12.75" hidden="1" customHeight="1" x14ac:dyDescent="0.2">
      <c r="A921" s="121"/>
      <c r="D921" s="117"/>
      <c r="E921" s="117"/>
      <c r="I921" s="118"/>
      <c r="J921" s="13"/>
      <c r="K921" s="269"/>
      <c r="L921" s="57"/>
      <c r="M921" s="119"/>
      <c r="N921" s="57"/>
      <c r="O921" s="57"/>
      <c r="P921" s="57"/>
      <c r="Q921" s="57"/>
      <c r="R921" s="57"/>
      <c r="S921" s="119"/>
      <c r="T921" s="57"/>
      <c r="AD921" s="122"/>
    </row>
    <row r="922" spans="1:30" ht="12.75" hidden="1" customHeight="1" x14ac:dyDescent="0.2">
      <c r="A922" s="121"/>
      <c r="D922" s="117"/>
      <c r="E922" s="117"/>
      <c r="I922" s="118"/>
      <c r="J922" s="13"/>
      <c r="K922" s="269"/>
      <c r="L922" s="57"/>
      <c r="M922" s="119"/>
      <c r="N922" s="57"/>
      <c r="O922" s="57"/>
      <c r="P922" s="57"/>
      <c r="Q922" s="57"/>
      <c r="R922" s="57"/>
      <c r="S922" s="119"/>
      <c r="T922" s="57"/>
      <c r="AD922" s="122"/>
    </row>
    <row r="923" spans="1:30" ht="12.75" hidden="1" customHeight="1" x14ac:dyDescent="0.2">
      <c r="A923" s="121"/>
      <c r="D923" s="117"/>
      <c r="E923" s="117"/>
      <c r="I923" s="118"/>
      <c r="J923" s="13"/>
      <c r="K923" s="269"/>
      <c r="L923" s="57"/>
      <c r="M923" s="119"/>
      <c r="N923" s="57"/>
      <c r="O923" s="57"/>
      <c r="P923" s="57"/>
      <c r="Q923" s="57"/>
      <c r="R923" s="57"/>
      <c r="S923" s="119"/>
      <c r="T923" s="57"/>
      <c r="AD923" s="122"/>
    </row>
    <row r="924" spans="1:30" ht="12.75" hidden="1" customHeight="1" x14ac:dyDescent="0.2">
      <c r="A924" s="121"/>
      <c r="D924" s="117"/>
      <c r="E924" s="117"/>
      <c r="I924" s="118"/>
      <c r="J924" s="13"/>
      <c r="K924" s="269"/>
      <c r="L924" s="57"/>
      <c r="M924" s="119"/>
      <c r="N924" s="57"/>
      <c r="O924" s="57"/>
      <c r="P924" s="57"/>
      <c r="Q924" s="57"/>
      <c r="R924" s="57"/>
      <c r="S924" s="119"/>
      <c r="T924" s="57"/>
      <c r="AD924" s="122"/>
    </row>
    <row r="925" spans="1:30" ht="12.75" hidden="1" customHeight="1" x14ac:dyDescent="0.2">
      <c r="A925" s="121"/>
      <c r="D925" s="117"/>
      <c r="E925" s="117"/>
      <c r="I925" s="118"/>
      <c r="J925" s="13"/>
      <c r="K925" s="269"/>
      <c r="L925" s="57"/>
      <c r="M925" s="119"/>
      <c r="N925" s="57"/>
      <c r="O925" s="57"/>
      <c r="P925" s="57"/>
      <c r="Q925" s="57"/>
      <c r="R925" s="57"/>
      <c r="S925" s="119"/>
      <c r="T925" s="57"/>
      <c r="AD925" s="122"/>
    </row>
    <row r="926" spans="1:30" ht="12.75" hidden="1" customHeight="1" x14ac:dyDescent="0.2">
      <c r="A926" s="121"/>
      <c r="D926" s="117"/>
      <c r="E926" s="117"/>
      <c r="I926" s="118"/>
      <c r="J926" s="13"/>
      <c r="K926" s="269"/>
      <c r="L926" s="57"/>
      <c r="M926" s="119"/>
      <c r="N926" s="57"/>
      <c r="O926" s="57"/>
      <c r="P926" s="57"/>
      <c r="Q926" s="57"/>
      <c r="R926" s="57"/>
      <c r="S926" s="119"/>
      <c r="T926" s="57"/>
      <c r="AD926" s="122"/>
    </row>
    <row r="927" spans="1:30" ht="12.75" hidden="1" customHeight="1" x14ac:dyDescent="0.2">
      <c r="A927" s="121"/>
      <c r="D927" s="117"/>
      <c r="E927" s="117"/>
      <c r="I927" s="118"/>
      <c r="J927" s="13"/>
      <c r="K927" s="269"/>
      <c r="L927" s="57"/>
      <c r="M927" s="119"/>
      <c r="N927" s="57"/>
      <c r="O927" s="57"/>
      <c r="P927" s="57"/>
      <c r="Q927" s="57"/>
      <c r="R927" s="57"/>
      <c r="S927" s="119"/>
      <c r="T927" s="57"/>
      <c r="AD927" s="122"/>
    </row>
    <row r="928" spans="1:30" ht="12.75" hidden="1" customHeight="1" x14ac:dyDescent="0.2">
      <c r="A928" s="121"/>
      <c r="D928" s="117"/>
      <c r="E928" s="117"/>
      <c r="I928" s="118"/>
      <c r="J928" s="13"/>
      <c r="K928" s="269"/>
      <c r="L928" s="57"/>
      <c r="M928" s="119"/>
      <c r="N928" s="57"/>
      <c r="O928" s="57"/>
      <c r="P928" s="57"/>
      <c r="Q928" s="57"/>
      <c r="R928" s="57"/>
      <c r="S928" s="119"/>
      <c r="T928" s="57"/>
      <c r="AD928" s="122"/>
    </row>
    <row r="929" spans="1:30" ht="12.75" hidden="1" customHeight="1" x14ac:dyDescent="0.2">
      <c r="A929" s="121"/>
      <c r="D929" s="117"/>
      <c r="E929" s="117"/>
      <c r="I929" s="118"/>
      <c r="J929" s="13"/>
      <c r="K929" s="269"/>
      <c r="L929" s="57"/>
      <c r="M929" s="119"/>
      <c r="N929" s="57"/>
      <c r="O929" s="57"/>
      <c r="P929" s="57"/>
      <c r="Q929" s="57"/>
      <c r="R929" s="57"/>
      <c r="S929" s="119"/>
      <c r="T929" s="57"/>
      <c r="AD929" s="122"/>
    </row>
    <row r="930" spans="1:30" ht="12.75" hidden="1" customHeight="1" x14ac:dyDescent="0.2">
      <c r="A930" s="121"/>
      <c r="D930" s="117"/>
      <c r="E930" s="117"/>
      <c r="I930" s="118"/>
      <c r="J930" s="13"/>
      <c r="K930" s="269"/>
      <c r="L930" s="57"/>
      <c r="M930" s="119"/>
      <c r="N930" s="57"/>
      <c r="O930" s="57"/>
      <c r="P930" s="57"/>
      <c r="Q930" s="57"/>
      <c r="R930" s="57"/>
      <c r="S930" s="119"/>
      <c r="T930" s="57"/>
      <c r="AD930" s="122"/>
    </row>
    <row r="931" spans="1:30" ht="12.75" hidden="1" customHeight="1" x14ac:dyDescent="0.2">
      <c r="A931" s="121"/>
      <c r="D931" s="117"/>
      <c r="E931" s="117"/>
      <c r="I931" s="118"/>
      <c r="J931" s="13"/>
      <c r="K931" s="269"/>
      <c r="L931" s="57"/>
      <c r="M931" s="119"/>
      <c r="N931" s="57"/>
      <c r="O931" s="57"/>
      <c r="P931" s="57"/>
      <c r="Q931" s="57"/>
      <c r="R931" s="57"/>
      <c r="S931" s="119"/>
      <c r="T931" s="57"/>
      <c r="AD931" s="122"/>
    </row>
    <row r="932" spans="1:30" ht="12.75" hidden="1" customHeight="1" x14ac:dyDescent="0.2">
      <c r="A932" s="121"/>
      <c r="D932" s="117"/>
      <c r="E932" s="117"/>
      <c r="I932" s="118"/>
      <c r="J932" s="13"/>
      <c r="K932" s="269"/>
      <c r="L932" s="57"/>
      <c r="M932" s="119"/>
      <c r="N932" s="57"/>
      <c r="O932" s="57"/>
      <c r="P932" s="57"/>
      <c r="Q932" s="57"/>
      <c r="R932" s="57"/>
      <c r="S932" s="119"/>
      <c r="T932" s="57"/>
      <c r="AD932" s="122"/>
    </row>
    <row r="933" spans="1:30" ht="12.75" hidden="1" customHeight="1" x14ac:dyDescent="0.2">
      <c r="A933" s="121"/>
      <c r="D933" s="117"/>
      <c r="E933" s="117"/>
      <c r="I933" s="118"/>
      <c r="J933" s="13"/>
      <c r="K933" s="269"/>
      <c r="L933" s="57"/>
      <c r="M933" s="119"/>
      <c r="N933" s="57"/>
      <c r="O933" s="57"/>
      <c r="P933" s="57"/>
      <c r="Q933" s="57"/>
      <c r="R933" s="57"/>
      <c r="S933" s="119"/>
      <c r="T933" s="57"/>
      <c r="AD933" s="122"/>
    </row>
    <row r="934" spans="1:30" ht="12.75" hidden="1" customHeight="1" x14ac:dyDescent="0.2">
      <c r="A934" s="121"/>
      <c r="D934" s="117"/>
      <c r="E934" s="117"/>
      <c r="I934" s="118"/>
      <c r="J934" s="13"/>
      <c r="K934" s="269"/>
      <c r="L934" s="57"/>
      <c r="M934" s="119"/>
      <c r="N934" s="57"/>
      <c r="O934" s="57"/>
      <c r="P934" s="57"/>
      <c r="Q934" s="57"/>
      <c r="R934" s="57"/>
      <c r="S934" s="119"/>
      <c r="T934" s="57"/>
      <c r="AD934" s="122"/>
    </row>
    <row r="935" spans="1:30" ht="12.75" hidden="1" customHeight="1" x14ac:dyDescent="0.2">
      <c r="A935" s="121"/>
      <c r="D935" s="117"/>
      <c r="E935" s="117"/>
      <c r="I935" s="118"/>
      <c r="J935" s="13"/>
      <c r="K935" s="269"/>
      <c r="L935" s="57"/>
      <c r="M935" s="119"/>
      <c r="N935" s="57"/>
      <c r="O935" s="57"/>
      <c r="P935" s="57"/>
      <c r="Q935" s="57"/>
      <c r="R935" s="57"/>
      <c r="S935" s="119"/>
      <c r="T935" s="57"/>
      <c r="AD935" s="122"/>
    </row>
    <row r="936" spans="1:30" ht="12.75" hidden="1" customHeight="1" x14ac:dyDescent="0.2">
      <c r="A936" s="121"/>
      <c r="D936" s="117"/>
      <c r="E936" s="117"/>
      <c r="I936" s="118"/>
      <c r="J936" s="13"/>
      <c r="K936" s="269"/>
      <c r="L936" s="57"/>
      <c r="M936" s="119"/>
      <c r="N936" s="57"/>
      <c r="O936" s="57"/>
      <c r="P936" s="57"/>
      <c r="Q936" s="57"/>
      <c r="R936" s="57"/>
      <c r="S936" s="119"/>
      <c r="T936" s="57"/>
      <c r="AD936" s="122"/>
    </row>
    <row r="937" spans="1:30" ht="12.75" hidden="1" customHeight="1" x14ac:dyDescent="0.2">
      <c r="A937" s="121"/>
      <c r="D937" s="117"/>
      <c r="E937" s="117"/>
      <c r="I937" s="118"/>
      <c r="J937" s="13"/>
      <c r="K937" s="269"/>
      <c r="L937" s="57"/>
      <c r="M937" s="119"/>
      <c r="N937" s="57"/>
      <c r="O937" s="57"/>
      <c r="P937" s="57"/>
      <c r="Q937" s="57"/>
      <c r="R937" s="57"/>
      <c r="S937" s="119"/>
      <c r="T937" s="57"/>
      <c r="AD937" s="122"/>
    </row>
    <row r="938" spans="1:30" ht="12.75" hidden="1" customHeight="1" x14ac:dyDescent="0.2">
      <c r="A938" s="121"/>
      <c r="D938" s="117"/>
      <c r="E938" s="117"/>
      <c r="I938" s="118"/>
      <c r="J938" s="13"/>
      <c r="K938" s="269"/>
      <c r="L938" s="57"/>
      <c r="M938" s="119"/>
      <c r="N938" s="57"/>
      <c r="O938" s="57"/>
      <c r="P938" s="57"/>
      <c r="Q938" s="57"/>
      <c r="R938" s="57"/>
      <c r="S938" s="119"/>
      <c r="T938" s="57"/>
      <c r="AD938" s="122"/>
    </row>
    <row r="939" spans="1:30" ht="12.75" hidden="1" customHeight="1" x14ac:dyDescent="0.2">
      <c r="A939" s="121"/>
      <c r="D939" s="117"/>
      <c r="E939" s="117"/>
      <c r="I939" s="118"/>
      <c r="J939" s="13"/>
      <c r="K939" s="269"/>
      <c r="L939" s="57"/>
      <c r="M939" s="119"/>
      <c r="N939" s="57"/>
      <c r="O939" s="57"/>
      <c r="P939" s="57"/>
      <c r="Q939" s="57"/>
      <c r="R939" s="57"/>
      <c r="S939" s="119"/>
      <c r="T939" s="57"/>
      <c r="AD939" s="122"/>
    </row>
    <row r="940" spans="1:30" ht="12.75" hidden="1" customHeight="1" x14ac:dyDescent="0.2">
      <c r="A940" s="121"/>
      <c r="D940" s="117"/>
      <c r="E940" s="117"/>
      <c r="I940" s="118"/>
      <c r="J940" s="13"/>
      <c r="K940" s="269"/>
      <c r="L940" s="57"/>
      <c r="M940" s="119"/>
      <c r="N940" s="57"/>
      <c r="O940" s="57"/>
      <c r="P940" s="57"/>
      <c r="Q940" s="57"/>
      <c r="R940" s="57"/>
      <c r="S940" s="119"/>
      <c r="T940" s="57"/>
      <c r="AD940" s="122"/>
    </row>
    <row r="941" spans="1:30" ht="12.75" hidden="1" customHeight="1" x14ac:dyDescent="0.2">
      <c r="A941" s="121"/>
      <c r="D941" s="117"/>
      <c r="E941" s="117"/>
      <c r="I941" s="118"/>
      <c r="J941" s="13"/>
      <c r="K941" s="269"/>
      <c r="L941" s="57"/>
      <c r="M941" s="119"/>
      <c r="N941" s="57"/>
      <c r="O941" s="57"/>
      <c r="P941" s="57"/>
      <c r="Q941" s="57"/>
      <c r="R941" s="57"/>
      <c r="S941" s="119"/>
      <c r="T941" s="57"/>
      <c r="AD941" s="122"/>
    </row>
    <row r="942" spans="1:30" ht="12.75" hidden="1" customHeight="1" x14ac:dyDescent="0.2">
      <c r="A942" s="121"/>
      <c r="D942" s="117"/>
      <c r="E942" s="117"/>
      <c r="I942" s="118"/>
      <c r="J942" s="13"/>
      <c r="K942" s="269"/>
      <c r="L942" s="57"/>
      <c r="M942" s="119"/>
      <c r="N942" s="57"/>
      <c r="O942" s="57"/>
      <c r="P942" s="57"/>
      <c r="Q942" s="57"/>
      <c r="R942" s="57"/>
      <c r="S942" s="119"/>
      <c r="T942" s="57"/>
      <c r="AD942" s="122"/>
    </row>
    <row r="943" spans="1:30" ht="12.75" hidden="1" customHeight="1" x14ac:dyDescent="0.2">
      <c r="A943" s="121"/>
      <c r="D943" s="117"/>
      <c r="E943" s="117"/>
      <c r="I943" s="118"/>
      <c r="J943" s="13"/>
      <c r="K943" s="269"/>
      <c r="L943" s="57"/>
      <c r="M943" s="119"/>
      <c r="N943" s="57"/>
      <c r="O943" s="57"/>
      <c r="P943" s="57"/>
      <c r="Q943" s="57"/>
      <c r="R943" s="57"/>
      <c r="S943" s="119"/>
      <c r="T943" s="57"/>
      <c r="AD943" s="122"/>
    </row>
    <row r="944" spans="1:30" ht="12.75" hidden="1" customHeight="1" x14ac:dyDescent="0.2">
      <c r="A944" s="121"/>
      <c r="D944" s="117"/>
      <c r="E944" s="117"/>
      <c r="I944" s="118"/>
      <c r="J944" s="13"/>
      <c r="K944" s="269"/>
      <c r="L944" s="57"/>
      <c r="M944" s="119"/>
      <c r="N944" s="57"/>
      <c r="O944" s="57"/>
      <c r="P944" s="57"/>
      <c r="Q944" s="57"/>
      <c r="R944" s="57"/>
      <c r="S944" s="119"/>
      <c r="T944" s="57"/>
      <c r="AD944" s="122"/>
    </row>
    <row r="945" spans="1:30" ht="12.75" hidden="1" customHeight="1" x14ac:dyDescent="0.2">
      <c r="A945" s="121"/>
      <c r="D945" s="117"/>
      <c r="E945" s="117"/>
      <c r="I945" s="118"/>
      <c r="J945" s="13"/>
      <c r="K945" s="269"/>
      <c r="L945" s="57"/>
      <c r="M945" s="119"/>
      <c r="N945" s="57"/>
      <c r="O945" s="57"/>
      <c r="P945" s="57"/>
      <c r="Q945" s="57"/>
      <c r="R945" s="57"/>
      <c r="S945" s="119"/>
      <c r="T945" s="57"/>
      <c r="AD945" s="122"/>
    </row>
    <row r="946" spans="1:30" ht="12.75" hidden="1" customHeight="1" x14ac:dyDescent="0.2">
      <c r="A946" s="121"/>
      <c r="D946" s="117"/>
      <c r="E946" s="117"/>
      <c r="I946" s="118"/>
      <c r="J946" s="13"/>
      <c r="K946" s="269"/>
      <c r="L946" s="57"/>
      <c r="M946" s="119"/>
      <c r="N946" s="57"/>
      <c r="O946" s="57"/>
      <c r="P946" s="57"/>
      <c r="Q946" s="57"/>
      <c r="R946" s="57"/>
      <c r="S946" s="119"/>
      <c r="T946" s="57"/>
      <c r="AD946" s="122"/>
    </row>
    <row r="947" spans="1:30" ht="12.75" hidden="1" customHeight="1" x14ac:dyDescent="0.2">
      <c r="A947" s="121"/>
      <c r="D947" s="117"/>
      <c r="E947" s="117"/>
      <c r="I947" s="118"/>
      <c r="J947" s="13"/>
      <c r="K947" s="269"/>
      <c r="L947" s="57"/>
      <c r="M947" s="119"/>
      <c r="N947" s="57"/>
      <c r="O947" s="57"/>
      <c r="P947" s="57"/>
      <c r="Q947" s="57"/>
      <c r="R947" s="57"/>
      <c r="S947" s="119"/>
      <c r="T947" s="57"/>
      <c r="AD947" s="122"/>
    </row>
    <row r="948" spans="1:30" ht="12.75" hidden="1" customHeight="1" x14ac:dyDescent="0.2">
      <c r="A948" s="121"/>
      <c r="D948" s="117"/>
      <c r="E948" s="117"/>
      <c r="I948" s="118"/>
      <c r="J948" s="13"/>
      <c r="K948" s="269"/>
      <c r="L948" s="57"/>
      <c r="M948" s="119"/>
      <c r="N948" s="57"/>
      <c r="O948" s="57"/>
      <c r="P948" s="57"/>
      <c r="Q948" s="57"/>
      <c r="R948" s="57"/>
      <c r="S948" s="119"/>
      <c r="T948" s="57"/>
      <c r="AD948" s="122"/>
    </row>
    <row r="949" spans="1:30" ht="12.75" hidden="1" customHeight="1" x14ac:dyDescent="0.2">
      <c r="A949" s="121"/>
      <c r="D949" s="117"/>
      <c r="E949" s="117"/>
      <c r="I949" s="118"/>
      <c r="J949" s="13"/>
      <c r="K949" s="269"/>
      <c r="L949" s="57"/>
      <c r="M949" s="119"/>
      <c r="N949" s="57"/>
      <c r="O949" s="57"/>
      <c r="P949" s="57"/>
      <c r="Q949" s="57"/>
      <c r="R949" s="57"/>
      <c r="S949" s="119"/>
      <c r="T949" s="57"/>
      <c r="AD949" s="122"/>
    </row>
    <row r="950" spans="1:30" ht="12.75" hidden="1" customHeight="1" x14ac:dyDescent="0.2">
      <c r="A950" s="121"/>
      <c r="D950" s="117"/>
      <c r="E950" s="117"/>
      <c r="I950" s="118"/>
      <c r="J950" s="13"/>
      <c r="K950" s="269"/>
      <c r="L950" s="57"/>
      <c r="M950" s="119"/>
      <c r="N950" s="57"/>
      <c r="O950" s="57"/>
      <c r="P950" s="57"/>
      <c r="Q950" s="57"/>
      <c r="R950" s="57"/>
      <c r="S950" s="119"/>
      <c r="T950" s="57"/>
      <c r="AD950" s="122"/>
    </row>
    <row r="951" spans="1:30" ht="12.75" hidden="1" customHeight="1" x14ac:dyDescent="0.2">
      <c r="A951" s="121"/>
      <c r="D951" s="117"/>
      <c r="E951" s="117"/>
      <c r="I951" s="118"/>
      <c r="J951" s="13"/>
      <c r="K951" s="269"/>
      <c r="L951" s="57"/>
      <c r="M951" s="119"/>
      <c r="N951" s="57"/>
      <c r="O951" s="57"/>
      <c r="P951" s="57"/>
      <c r="Q951" s="57"/>
      <c r="R951" s="57"/>
      <c r="S951" s="119"/>
      <c r="T951" s="57"/>
      <c r="AD951" s="122"/>
    </row>
    <row r="952" spans="1:30" ht="12.75" hidden="1" customHeight="1" x14ac:dyDescent="0.2">
      <c r="A952" s="121"/>
      <c r="D952" s="117"/>
      <c r="E952" s="117"/>
      <c r="I952" s="118"/>
      <c r="J952" s="13"/>
      <c r="K952" s="269"/>
      <c r="L952" s="57"/>
      <c r="M952" s="119"/>
      <c r="N952" s="57"/>
      <c r="O952" s="57"/>
      <c r="P952" s="57"/>
      <c r="Q952" s="57"/>
      <c r="R952" s="57"/>
      <c r="S952" s="119"/>
      <c r="T952" s="57"/>
      <c r="AD952" s="122"/>
    </row>
    <row r="953" spans="1:30" ht="12.75" hidden="1" customHeight="1" x14ac:dyDescent="0.2">
      <c r="A953" s="121"/>
      <c r="D953" s="117"/>
      <c r="E953" s="117"/>
      <c r="I953" s="118"/>
      <c r="J953" s="13"/>
      <c r="K953" s="269"/>
      <c r="L953" s="57"/>
      <c r="M953" s="119"/>
      <c r="N953" s="57"/>
      <c r="O953" s="57"/>
      <c r="P953" s="57"/>
      <c r="Q953" s="57"/>
      <c r="R953" s="57"/>
      <c r="S953" s="119"/>
      <c r="T953" s="57"/>
      <c r="AD953" s="122"/>
    </row>
    <row r="954" spans="1:30" ht="12.75" hidden="1" customHeight="1" x14ac:dyDescent="0.2">
      <c r="A954" s="121"/>
      <c r="D954" s="117"/>
      <c r="E954" s="117"/>
      <c r="I954" s="118"/>
      <c r="J954" s="13"/>
      <c r="K954" s="269"/>
      <c r="L954" s="57"/>
      <c r="M954" s="119"/>
      <c r="N954" s="57"/>
      <c r="O954" s="57"/>
      <c r="P954" s="57"/>
      <c r="Q954" s="57"/>
      <c r="R954" s="57"/>
      <c r="S954" s="119"/>
      <c r="T954" s="57"/>
      <c r="AD954" s="122"/>
    </row>
    <row r="955" spans="1:30" ht="12.75" hidden="1" customHeight="1" x14ac:dyDescent="0.2">
      <c r="A955" s="121"/>
      <c r="D955" s="117"/>
      <c r="E955" s="117"/>
      <c r="I955" s="118"/>
      <c r="J955" s="13"/>
      <c r="K955" s="269"/>
      <c r="L955" s="57"/>
      <c r="M955" s="119"/>
      <c r="N955" s="57"/>
      <c r="O955" s="57"/>
      <c r="P955" s="57"/>
      <c r="Q955" s="57"/>
      <c r="R955" s="57"/>
      <c r="S955" s="119"/>
      <c r="T955" s="57"/>
      <c r="AD955" s="122"/>
    </row>
    <row r="956" spans="1:30" ht="12.75" hidden="1" customHeight="1" x14ac:dyDescent="0.2">
      <c r="A956" s="121"/>
      <c r="D956" s="117"/>
      <c r="E956" s="117"/>
      <c r="I956" s="118"/>
      <c r="J956" s="13"/>
      <c r="K956" s="269"/>
      <c r="L956" s="57"/>
      <c r="M956" s="119"/>
      <c r="N956" s="57"/>
      <c r="O956" s="57"/>
      <c r="P956" s="57"/>
      <c r="Q956" s="57"/>
      <c r="R956" s="57"/>
      <c r="S956" s="119"/>
      <c r="T956" s="57"/>
      <c r="AD956" s="122"/>
    </row>
    <row r="957" spans="1:30" ht="12.75" hidden="1" customHeight="1" x14ac:dyDescent="0.2">
      <c r="A957" s="121"/>
      <c r="D957" s="117"/>
      <c r="E957" s="117"/>
      <c r="I957" s="118"/>
      <c r="J957" s="13"/>
      <c r="K957" s="269"/>
      <c r="L957" s="57"/>
      <c r="M957" s="119"/>
      <c r="N957" s="57"/>
      <c r="O957" s="57"/>
      <c r="P957" s="57"/>
      <c r="Q957" s="57"/>
      <c r="R957" s="57"/>
      <c r="S957" s="119"/>
      <c r="T957" s="57"/>
      <c r="AD957" s="122"/>
    </row>
    <row r="958" spans="1:30" ht="12.75" hidden="1" customHeight="1" x14ac:dyDescent="0.2">
      <c r="A958" s="121"/>
      <c r="D958" s="117"/>
      <c r="E958" s="117"/>
      <c r="I958" s="118"/>
      <c r="J958" s="13"/>
      <c r="K958" s="269"/>
      <c r="L958" s="57"/>
      <c r="M958" s="119"/>
      <c r="N958" s="57"/>
      <c r="O958" s="57"/>
      <c r="P958" s="57"/>
      <c r="Q958" s="57"/>
      <c r="R958" s="57"/>
      <c r="S958" s="119"/>
      <c r="T958" s="57"/>
      <c r="AD958" s="122"/>
    </row>
    <row r="959" spans="1:30" ht="12.75" hidden="1" customHeight="1" x14ac:dyDescent="0.2">
      <c r="A959" s="121"/>
      <c r="D959" s="117"/>
      <c r="E959" s="117"/>
      <c r="I959" s="118"/>
      <c r="J959" s="13"/>
      <c r="K959" s="269"/>
      <c r="L959" s="57"/>
      <c r="M959" s="119"/>
      <c r="N959" s="57"/>
      <c r="O959" s="57"/>
      <c r="P959" s="57"/>
      <c r="Q959" s="57"/>
      <c r="R959" s="57"/>
      <c r="S959" s="119"/>
      <c r="T959" s="57"/>
      <c r="AD959" s="122"/>
    </row>
    <row r="960" spans="1:30" ht="12.75" hidden="1" customHeight="1" x14ac:dyDescent="0.2">
      <c r="A960" s="121"/>
      <c r="D960" s="117"/>
      <c r="E960" s="117"/>
      <c r="I960" s="118"/>
      <c r="J960" s="13"/>
      <c r="K960" s="269"/>
      <c r="L960" s="57"/>
      <c r="M960" s="119"/>
      <c r="N960" s="57"/>
      <c r="O960" s="57"/>
      <c r="P960" s="57"/>
      <c r="Q960" s="57"/>
      <c r="R960" s="57"/>
      <c r="S960" s="119"/>
      <c r="T960" s="57"/>
      <c r="AD960" s="122"/>
    </row>
    <row r="961" spans="1:30" ht="12.75" hidden="1" customHeight="1" x14ac:dyDescent="0.2">
      <c r="A961" s="121"/>
      <c r="D961" s="117"/>
      <c r="E961" s="117"/>
      <c r="I961" s="118"/>
      <c r="J961" s="13"/>
      <c r="K961" s="269"/>
      <c r="L961" s="57"/>
      <c r="M961" s="119"/>
      <c r="N961" s="57"/>
      <c r="O961" s="57"/>
      <c r="P961" s="57"/>
      <c r="Q961" s="57"/>
      <c r="R961" s="57"/>
      <c r="S961" s="119"/>
      <c r="T961" s="57"/>
      <c r="AD961" s="122"/>
    </row>
    <row r="962" spans="1:30" ht="12.75" hidden="1" customHeight="1" x14ac:dyDescent="0.2">
      <c r="A962" s="121"/>
      <c r="D962" s="117"/>
      <c r="E962" s="117"/>
      <c r="I962" s="118"/>
      <c r="J962" s="13"/>
      <c r="K962" s="269"/>
      <c r="L962" s="57"/>
      <c r="M962" s="119"/>
      <c r="N962" s="57"/>
      <c r="O962" s="57"/>
      <c r="P962" s="57"/>
      <c r="Q962" s="57"/>
      <c r="R962" s="57"/>
      <c r="S962" s="119"/>
      <c r="T962" s="57"/>
      <c r="AD962" s="122"/>
    </row>
    <row r="963" spans="1:30" ht="12.75" hidden="1" customHeight="1" x14ac:dyDescent="0.2">
      <c r="A963" s="121"/>
      <c r="D963" s="117"/>
      <c r="E963" s="117"/>
      <c r="I963" s="118"/>
      <c r="J963" s="13"/>
      <c r="K963" s="269"/>
      <c r="L963" s="57"/>
      <c r="M963" s="119"/>
      <c r="N963" s="57"/>
      <c r="O963" s="57"/>
      <c r="P963" s="57"/>
      <c r="Q963" s="57"/>
      <c r="R963" s="57"/>
      <c r="S963" s="119"/>
      <c r="T963" s="57"/>
      <c r="AD963" s="122"/>
    </row>
    <row r="964" spans="1:30" ht="12.75" hidden="1" customHeight="1" x14ac:dyDescent="0.2">
      <c r="A964" s="121"/>
      <c r="D964" s="117"/>
      <c r="E964" s="117"/>
      <c r="I964" s="118"/>
      <c r="J964" s="13"/>
      <c r="K964" s="269"/>
      <c r="L964" s="57"/>
      <c r="M964" s="119"/>
      <c r="N964" s="57"/>
      <c r="O964" s="57"/>
      <c r="P964" s="57"/>
      <c r="Q964" s="57"/>
      <c r="R964" s="57"/>
      <c r="S964" s="119"/>
      <c r="T964" s="57"/>
      <c r="AD964" s="122"/>
    </row>
    <row r="965" spans="1:30" ht="12.75" hidden="1" customHeight="1" x14ac:dyDescent="0.2">
      <c r="A965" s="121"/>
      <c r="D965" s="117"/>
      <c r="E965" s="117"/>
      <c r="I965" s="118"/>
      <c r="J965" s="13"/>
      <c r="K965" s="269"/>
      <c r="L965" s="57"/>
      <c r="M965" s="119"/>
      <c r="N965" s="57"/>
      <c r="O965" s="57"/>
      <c r="P965" s="57"/>
      <c r="Q965" s="57"/>
      <c r="R965" s="57"/>
      <c r="S965" s="119"/>
      <c r="T965" s="57"/>
      <c r="AD965" s="122"/>
    </row>
    <row r="966" spans="1:30" ht="12.75" hidden="1" customHeight="1" x14ac:dyDescent="0.2">
      <c r="A966" s="121"/>
      <c r="D966" s="117"/>
      <c r="E966" s="117"/>
      <c r="I966" s="118"/>
      <c r="J966" s="13"/>
      <c r="K966" s="269"/>
      <c r="L966" s="57"/>
      <c r="M966" s="119"/>
      <c r="N966" s="57"/>
      <c r="O966" s="57"/>
      <c r="P966" s="57"/>
      <c r="Q966" s="57"/>
      <c r="R966" s="57"/>
      <c r="S966" s="119"/>
      <c r="T966" s="57"/>
      <c r="AD966" s="122"/>
    </row>
    <row r="967" spans="1:30" ht="12.75" hidden="1" customHeight="1" x14ac:dyDescent="0.2">
      <c r="A967" s="121"/>
      <c r="D967" s="117"/>
      <c r="E967" s="117"/>
      <c r="I967" s="118"/>
      <c r="J967" s="13"/>
      <c r="K967" s="269"/>
      <c r="L967" s="57"/>
      <c r="M967" s="119"/>
      <c r="N967" s="57"/>
      <c r="O967" s="57"/>
      <c r="P967" s="57"/>
      <c r="Q967" s="57"/>
      <c r="R967" s="57"/>
      <c r="S967" s="119"/>
      <c r="T967" s="57"/>
      <c r="AD967" s="122"/>
    </row>
    <row r="968" spans="1:30" ht="12.75" hidden="1" customHeight="1" x14ac:dyDescent="0.2">
      <c r="A968" s="121"/>
      <c r="D968" s="117"/>
      <c r="E968" s="117"/>
      <c r="I968" s="118"/>
      <c r="J968" s="13"/>
      <c r="K968" s="269"/>
      <c r="L968" s="57"/>
      <c r="M968" s="119"/>
      <c r="N968" s="57"/>
      <c r="O968" s="57"/>
      <c r="P968" s="57"/>
      <c r="Q968" s="57"/>
      <c r="R968" s="57"/>
      <c r="S968" s="119"/>
      <c r="T968" s="57"/>
      <c r="AD968" s="122"/>
    </row>
    <row r="969" spans="1:30" ht="12.75" hidden="1" customHeight="1" x14ac:dyDescent="0.2">
      <c r="A969" s="121"/>
      <c r="D969" s="117"/>
      <c r="E969" s="117"/>
      <c r="I969" s="118"/>
      <c r="J969" s="13"/>
      <c r="K969" s="269"/>
      <c r="L969" s="57"/>
      <c r="M969" s="119"/>
      <c r="N969" s="57"/>
      <c r="O969" s="57"/>
      <c r="P969" s="57"/>
      <c r="Q969" s="57"/>
      <c r="R969" s="57"/>
      <c r="S969" s="119"/>
      <c r="T969" s="57"/>
      <c r="AD969" s="122"/>
    </row>
    <row r="970" spans="1:30" ht="12.75" hidden="1" customHeight="1" x14ac:dyDescent="0.2">
      <c r="A970" s="121"/>
      <c r="D970" s="117"/>
      <c r="E970" s="117"/>
      <c r="I970" s="118"/>
      <c r="J970" s="13"/>
      <c r="K970" s="269"/>
      <c r="L970" s="57"/>
      <c r="M970" s="119"/>
      <c r="N970" s="57"/>
      <c r="O970" s="57"/>
      <c r="P970" s="57"/>
      <c r="Q970" s="57"/>
      <c r="R970" s="57"/>
      <c r="S970" s="119"/>
      <c r="T970" s="57"/>
      <c r="AD970" s="122"/>
    </row>
    <row r="971" spans="1:30" ht="12.75" hidden="1" customHeight="1" x14ac:dyDescent="0.2">
      <c r="A971" s="121"/>
      <c r="D971" s="117"/>
      <c r="E971" s="117"/>
      <c r="I971" s="118"/>
      <c r="J971" s="13"/>
      <c r="K971" s="269"/>
      <c r="L971" s="57"/>
      <c r="M971" s="119"/>
      <c r="N971" s="57"/>
      <c r="O971" s="57"/>
      <c r="P971" s="57"/>
      <c r="Q971" s="57"/>
      <c r="R971" s="57"/>
      <c r="S971" s="119"/>
      <c r="T971" s="57"/>
      <c r="AD971" s="122"/>
    </row>
    <row r="972" spans="1:30" ht="12.75" hidden="1" customHeight="1" x14ac:dyDescent="0.2">
      <c r="A972" s="121"/>
      <c r="D972" s="117"/>
      <c r="E972" s="117"/>
      <c r="I972" s="118"/>
      <c r="J972" s="13"/>
      <c r="K972" s="269"/>
      <c r="L972" s="57"/>
      <c r="M972" s="119"/>
      <c r="N972" s="57"/>
      <c r="O972" s="57"/>
      <c r="P972" s="57"/>
      <c r="Q972" s="57"/>
      <c r="R972" s="57"/>
      <c r="S972" s="119"/>
      <c r="T972" s="57"/>
      <c r="AD972" s="122"/>
    </row>
    <row r="973" spans="1:30" ht="12.75" hidden="1" customHeight="1" x14ac:dyDescent="0.2">
      <c r="A973" s="121"/>
      <c r="D973" s="117"/>
      <c r="E973" s="117"/>
      <c r="I973" s="118"/>
      <c r="J973" s="13"/>
      <c r="K973" s="269"/>
      <c r="L973" s="57"/>
      <c r="M973" s="119"/>
      <c r="N973" s="57"/>
      <c r="O973" s="57"/>
      <c r="P973" s="57"/>
      <c r="Q973" s="57"/>
      <c r="R973" s="57"/>
      <c r="S973" s="119"/>
      <c r="T973" s="57"/>
      <c r="AD973" s="122"/>
    </row>
    <row r="974" spans="1:30" ht="12.75" hidden="1" customHeight="1" x14ac:dyDescent="0.2">
      <c r="A974" s="121"/>
      <c r="D974" s="117"/>
      <c r="E974" s="117"/>
      <c r="I974" s="118"/>
      <c r="J974" s="13"/>
      <c r="K974" s="269"/>
      <c r="L974" s="57"/>
      <c r="M974" s="119"/>
      <c r="N974" s="57"/>
      <c r="O974" s="57"/>
      <c r="P974" s="57"/>
      <c r="Q974" s="57"/>
      <c r="R974" s="57"/>
      <c r="S974" s="119"/>
      <c r="T974" s="57"/>
      <c r="AD974" s="122"/>
    </row>
    <row r="975" spans="1:30" ht="12.75" hidden="1" customHeight="1" x14ac:dyDescent="0.2">
      <c r="A975" s="121"/>
      <c r="D975" s="117"/>
      <c r="E975" s="117"/>
      <c r="I975" s="118"/>
      <c r="J975" s="13"/>
      <c r="K975" s="269"/>
      <c r="L975" s="57"/>
      <c r="M975" s="119"/>
      <c r="N975" s="57"/>
      <c r="O975" s="57"/>
      <c r="P975" s="57"/>
      <c r="Q975" s="57"/>
      <c r="R975" s="57"/>
      <c r="S975" s="119"/>
      <c r="T975" s="57"/>
      <c r="AD975" s="122"/>
    </row>
    <row r="976" spans="1:30" ht="12.75" hidden="1" customHeight="1" x14ac:dyDescent="0.2">
      <c r="A976" s="121"/>
      <c r="D976" s="117"/>
      <c r="E976" s="117"/>
      <c r="I976" s="118"/>
      <c r="J976" s="13"/>
      <c r="K976" s="269"/>
      <c r="L976" s="57"/>
      <c r="M976" s="119"/>
      <c r="N976" s="57"/>
      <c r="O976" s="57"/>
      <c r="P976" s="57"/>
      <c r="Q976" s="57"/>
      <c r="R976" s="57"/>
      <c r="S976" s="119"/>
      <c r="T976" s="57"/>
      <c r="AD976" s="122"/>
    </row>
    <row r="977" spans="1:30" ht="12.75" hidden="1" customHeight="1" x14ac:dyDescent="0.2">
      <c r="A977" s="121"/>
      <c r="D977" s="117"/>
      <c r="E977" s="117"/>
      <c r="I977" s="118"/>
      <c r="J977" s="13"/>
      <c r="K977" s="269"/>
      <c r="L977" s="57"/>
      <c r="M977" s="119"/>
      <c r="N977" s="57"/>
      <c r="O977" s="57"/>
      <c r="P977" s="57"/>
      <c r="Q977" s="57"/>
      <c r="R977" s="57"/>
      <c r="S977" s="119"/>
      <c r="T977" s="57"/>
      <c r="AD977" s="122"/>
    </row>
    <row r="978" spans="1:30" ht="12.75" hidden="1" customHeight="1" x14ac:dyDescent="0.2">
      <c r="A978" s="121"/>
      <c r="D978" s="117"/>
      <c r="E978" s="117"/>
      <c r="I978" s="118"/>
      <c r="J978" s="13"/>
      <c r="K978" s="269"/>
      <c r="L978" s="57"/>
      <c r="M978" s="119"/>
      <c r="N978" s="57"/>
      <c r="O978" s="57"/>
      <c r="P978" s="57"/>
      <c r="Q978" s="57"/>
      <c r="R978" s="57"/>
      <c r="S978" s="119"/>
      <c r="T978" s="57"/>
      <c r="AD978" s="122"/>
    </row>
    <row r="979" spans="1:30" ht="12.75" hidden="1" customHeight="1" x14ac:dyDescent="0.2">
      <c r="A979" s="121"/>
      <c r="D979" s="117"/>
      <c r="E979" s="117"/>
      <c r="I979" s="118"/>
      <c r="J979" s="13"/>
      <c r="K979" s="269"/>
      <c r="L979" s="57"/>
      <c r="M979" s="119"/>
      <c r="N979" s="57"/>
      <c r="O979" s="57"/>
      <c r="P979" s="57"/>
      <c r="Q979" s="57"/>
      <c r="R979" s="57"/>
      <c r="S979" s="119"/>
      <c r="T979" s="57"/>
      <c r="AD979" s="122"/>
    </row>
    <row r="980" spans="1:30" ht="12.75" hidden="1" customHeight="1" x14ac:dyDescent="0.2">
      <c r="A980" s="121"/>
      <c r="D980" s="117"/>
      <c r="E980" s="117"/>
      <c r="I980" s="118"/>
      <c r="J980" s="13"/>
      <c r="K980" s="269"/>
      <c r="L980" s="57"/>
      <c r="M980" s="119"/>
      <c r="N980" s="57"/>
      <c r="O980" s="57"/>
      <c r="P980" s="57"/>
      <c r="Q980" s="57"/>
      <c r="R980" s="57"/>
      <c r="S980" s="119"/>
      <c r="T980" s="57"/>
      <c r="AD980" s="122"/>
    </row>
    <row r="981" spans="1:30" ht="12.75" hidden="1" customHeight="1" x14ac:dyDescent="0.2">
      <c r="A981" s="121"/>
      <c r="D981" s="117"/>
      <c r="E981" s="117"/>
      <c r="I981" s="118"/>
      <c r="J981" s="13"/>
      <c r="K981" s="269"/>
      <c r="L981" s="57"/>
      <c r="M981" s="119"/>
      <c r="N981" s="57"/>
      <c r="O981" s="57"/>
      <c r="P981" s="57"/>
      <c r="Q981" s="57"/>
      <c r="R981" s="57"/>
      <c r="S981" s="119"/>
      <c r="T981" s="57"/>
      <c r="AD981" s="122"/>
    </row>
    <row r="982" spans="1:30" ht="12.75" hidden="1" customHeight="1" x14ac:dyDescent="0.2">
      <c r="A982" s="121"/>
      <c r="D982" s="117"/>
      <c r="E982" s="117"/>
      <c r="I982" s="118"/>
      <c r="J982" s="13"/>
      <c r="K982" s="269"/>
      <c r="L982" s="57"/>
      <c r="M982" s="119"/>
      <c r="N982" s="57"/>
      <c r="O982" s="57"/>
      <c r="P982" s="57"/>
      <c r="Q982" s="57"/>
      <c r="R982" s="57"/>
      <c r="S982" s="119"/>
      <c r="T982" s="57"/>
      <c r="AD982" s="122"/>
    </row>
    <row r="983" spans="1:30" ht="12.75" hidden="1" customHeight="1" x14ac:dyDescent="0.2">
      <c r="A983" s="121"/>
      <c r="D983" s="117"/>
      <c r="E983" s="117"/>
      <c r="I983" s="118"/>
      <c r="J983" s="13"/>
      <c r="K983" s="269"/>
      <c r="L983" s="57"/>
      <c r="M983" s="119"/>
      <c r="N983" s="57"/>
      <c r="O983" s="57"/>
      <c r="P983" s="57"/>
      <c r="Q983" s="57"/>
      <c r="R983" s="57"/>
      <c r="S983" s="119"/>
      <c r="T983" s="57"/>
      <c r="AD983" s="122"/>
    </row>
    <row r="984" spans="1:30" ht="12.75" hidden="1" customHeight="1" x14ac:dyDescent="0.2">
      <c r="A984" s="121"/>
      <c r="D984" s="117"/>
      <c r="E984" s="117"/>
      <c r="I984" s="118"/>
      <c r="J984" s="13"/>
      <c r="K984" s="269"/>
      <c r="L984" s="57"/>
      <c r="M984" s="119"/>
      <c r="N984" s="57"/>
      <c r="O984" s="57"/>
      <c r="P984" s="57"/>
      <c r="Q984" s="57"/>
      <c r="R984" s="57"/>
      <c r="S984" s="119"/>
      <c r="T984" s="57"/>
      <c r="AD984" s="122"/>
    </row>
    <row r="985" spans="1:30" ht="12.75" hidden="1" customHeight="1" x14ac:dyDescent="0.2">
      <c r="A985" s="121"/>
      <c r="D985" s="117"/>
      <c r="E985" s="117"/>
      <c r="I985" s="118"/>
      <c r="J985" s="13"/>
      <c r="K985" s="269"/>
      <c r="L985" s="57"/>
      <c r="M985" s="119"/>
      <c r="N985" s="57"/>
      <c r="O985" s="57"/>
      <c r="P985" s="57"/>
      <c r="Q985" s="57"/>
      <c r="R985" s="57"/>
      <c r="S985" s="119"/>
      <c r="T985" s="57"/>
      <c r="AD985" s="122"/>
    </row>
    <row r="986" spans="1:30" ht="12.75" hidden="1" customHeight="1" x14ac:dyDescent="0.2">
      <c r="A986" s="121"/>
      <c r="D986" s="117"/>
      <c r="E986" s="117"/>
      <c r="I986" s="118"/>
      <c r="J986" s="13"/>
      <c r="K986" s="269"/>
      <c r="L986" s="57"/>
      <c r="M986" s="119"/>
      <c r="N986" s="57"/>
      <c r="O986" s="57"/>
      <c r="P986" s="57"/>
      <c r="Q986" s="57"/>
      <c r="R986" s="57"/>
      <c r="S986" s="119"/>
      <c r="T986" s="57"/>
      <c r="AD986" s="122"/>
    </row>
    <row r="987" spans="1:30" ht="12.75" hidden="1" customHeight="1" x14ac:dyDescent="0.2">
      <c r="A987" s="121"/>
      <c r="D987" s="117"/>
      <c r="E987" s="117"/>
      <c r="I987" s="118"/>
      <c r="J987" s="13"/>
      <c r="K987" s="269"/>
      <c r="L987" s="57"/>
      <c r="M987" s="119"/>
      <c r="N987" s="57"/>
      <c r="O987" s="57"/>
      <c r="P987" s="57"/>
      <c r="Q987" s="57"/>
      <c r="R987" s="57"/>
      <c r="S987" s="119"/>
      <c r="T987" s="57"/>
      <c r="AD987" s="122"/>
    </row>
    <row r="988" spans="1:30" ht="12.75" hidden="1" customHeight="1" x14ac:dyDescent="0.2">
      <c r="A988" s="121"/>
      <c r="D988" s="117"/>
      <c r="E988" s="117"/>
      <c r="I988" s="118"/>
      <c r="J988" s="13"/>
      <c r="K988" s="269"/>
      <c r="L988" s="57"/>
      <c r="M988" s="119"/>
      <c r="N988" s="57"/>
      <c r="O988" s="57"/>
      <c r="P988" s="57"/>
      <c r="Q988" s="57"/>
      <c r="R988" s="57"/>
      <c r="S988" s="119"/>
      <c r="T988" s="57"/>
      <c r="AD988" s="122"/>
    </row>
    <row r="989" spans="1:30" ht="12.75" hidden="1" customHeight="1" x14ac:dyDescent="0.2">
      <c r="A989" s="121"/>
      <c r="D989" s="117"/>
      <c r="E989" s="117"/>
      <c r="I989" s="118"/>
      <c r="J989" s="13"/>
      <c r="K989" s="269"/>
      <c r="L989" s="57"/>
      <c r="M989" s="119"/>
      <c r="N989" s="57"/>
      <c r="O989" s="57"/>
      <c r="P989" s="57"/>
      <c r="Q989" s="57"/>
      <c r="R989" s="57"/>
      <c r="S989" s="119"/>
      <c r="T989" s="57"/>
      <c r="AD989" s="122"/>
    </row>
    <row r="990" spans="1:30" ht="12.75" hidden="1" customHeight="1" x14ac:dyDescent="0.2">
      <c r="A990" s="121"/>
      <c r="D990" s="117"/>
      <c r="E990" s="117"/>
      <c r="I990" s="118"/>
      <c r="J990" s="13"/>
      <c r="K990" s="269"/>
      <c r="L990" s="57"/>
      <c r="M990" s="119"/>
      <c r="N990" s="57"/>
      <c r="O990" s="57"/>
      <c r="P990" s="57"/>
      <c r="Q990" s="57"/>
      <c r="R990" s="57"/>
      <c r="S990" s="119"/>
      <c r="T990" s="57"/>
      <c r="AD990" s="122"/>
    </row>
    <row r="991" spans="1:30" ht="12.75" hidden="1" customHeight="1" x14ac:dyDescent="0.2">
      <c r="A991" s="121"/>
      <c r="D991" s="117"/>
      <c r="E991" s="117"/>
      <c r="I991" s="118"/>
      <c r="J991" s="13"/>
      <c r="K991" s="269"/>
      <c r="L991" s="57"/>
      <c r="M991" s="119"/>
      <c r="N991" s="57"/>
      <c r="O991" s="57"/>
      <c r="P991" s="57"/>
      <c r="Q991" s="57"/>
      <c r="R991" s="57"/>
      <c r="S991" s="119"/>
      <c r="T991" s="57"/>
      <c r="AD991" s="122"/>
    </row>
    <row r="992" spans="1:30" ht="12.75" hidden="1" customHeight="1" x14ac:dyDescent="0.2">
      <c r="A992" s="121"/>
      <c r="D992" s="117"/>
      <c r="E992" s="117"/>
      <c r="I992" s="118"/>
      <c r="J992" s="13"/>
      <c r="K992" s="269"/>
      <c r="L992" s="57"/>
      <c r="M992" s="119"/>
      <c r="N992" s="57"/>
      <c r="O992" s="57"/>
      <c r="P992" s="57"/>
      <c r="Q992" s="57"/>
      <c r="R992" s="57"/>
      <c r="S992" s="119"/>
      <c r="T992" s="57"/>
      <c r="AD992" s="122"/>
    </row>
    <row r="993" spans="1:30" ht="12.75" hidden="1" customHeight="1" x14ac:dyDescent="0.2">
      <c r="A993" s="121"/>
      <c r="D993" s="117"/>
      <c r="E993" s="117"/>
      <c r="I993" s="118"/>
      <c r="J993" s="13"/>
      <c r="K993" s="269"/>
      <c r="L993" s="57"/>
      <c r="M993" s="119"/>
      <c r="N993" s="57"/>
      <c r="O993" s="57"/>
      <c r="P993" s="57"/>
      <c r="Q993" s="57"/>
      <c r="R993" s="57"/>
      <c r="S993" s="119"/>
      <c r="T993" s="57"/>
      <c r="AD993" s="122"/>
    </row>
    <row r="994" spans="1:30" ht="12.75" hidden="1" customHeight="1" x14ac:dyDescent="0.2">
      <c r="A994" s="121"/>
      <c r="D994" s="117"/>
      <c r="E994" s="117"/>
      <c r="I994" s="118"/>
      <c r="J994" s="13"/>
      <c r="K994" s="269"/>
      <c r="L994" s="57"/>
      <c r="M994" s="119"/>
      <c r="N994" s="57"/>
      <c r="O994" s="57"/>
      <c r="P994" s="57"/>
      <c r="Q994" s="57"/>
      <c r="R994" s="57"/>
      <c r="S994" s="119"/>
      <c r="T994" s="57"/>
      <c r="AD994" s="122"/>
    </row>
    <row r="995" spans="1:30" ht="12.75" hidden="1" customHeight="1" x14ac:dyDescent="0.2">
      <c r="A995" s="121"/>
      <c r="D995" s="117"/>
      <c r="E995" s="117"/>
      <c r="I995" s="118"/>
      <c r="J995" s="13"/>
      <c r="K995" s="269"/>
      <c r="L995" s="57"/>
      <c r="M995" s="119"/>
      <c r="N995" s="57"/>
      <c r="O995" s="57"/>
      <c r="P995" s="57"/>
      <c r="Q995" s="57"/>
      <c r="R995" s="57"/>
      <c r="S995" s="119"/>
      <c r="T995" s="57"/>
      <c r="AD995" s="122"/>
    </row>
    <row r="996" spans="1:30" ht="12.75" hidden="1" customHeight="1" x14ac:dyDescent="0.2">
      <c r="A996" s="121"/>
      <c r="D996" s="117"/>
      <c r="E996" s="117"/>
      <c r="I996" s="118"/>
      <c r="J996" s="13"/>
      <c r="K996" s="269"/>
      <c r="L996" s="57"/>
      <c r="M996" s="119"/>
      <c r="N996" s="57"/>
      <c r="O996" s="57"/>
      <c r="P996" s="57"/>
      <c r="Q996" s="57"/>
      <c r="R996" s="57"/>
      <c r="S996" s="119"/>
      <c r="T996" s="57"/>
      <c r="AD996" s="122"/>
    </row>
    <row r="997" spans="1:30" ht="12.75" hidden="1" customHeight="1" x14ac:dyDescent="0.2">
      <c r="A997" s="121"/>
      <c r="D997" s="117"/>
      <c r="E997" s="117"/>
      <c r="I997" s="118"/>
      <c r="J997" s="13"/>
      <c r="K997" s="269"/>
      <c r="L997" s="57"/>
      <c r="M997" s="119"/>
      <c r="N997" s="57"/>
      <c r="O997" s="57"/>
      <c r="P997" s="57"/>
      <c r="Q997" s="57"/>
      <c r="R997" s="57"/>
      <c r="S997" s="119"/>
      <c r="T997" s="57"/>
      <c r="AD997" s="122"/>
    </row>
    <row r="998" spans="1:30" ht="12.75" hidden="1" customHeight="1" x14ac:dyDescent="0.2">
      <c r="A998" s="121"/>
      <c r="D998" s="117"/>
      <c r="E998" s="117"/>
      <c r="I998" s="118"/>
      <c r="J998" s="13"/>
      <c r="K998" s="269"/>
      <c r="L998" s="57"/>
      <c r="M998" s="119"/>
      <c r="N998" s="57"/>
      <c r="O998" s="57"/>
      <c r="P998" s="57"/>
      <c r="Q998" s="57"/>
      <c r="R998" s="57"/>
      <c r="S998" s="119"/>
      <c r="T998" s="57"/>
      <c r="AD998" s="122"/>
    </row>
    <row r="999" spans="1:30" ht="12.75" hidden="1" customHeight="1" x14ac:dyDescent="0.2">
      <c r="A999" s="121"/>
      <c r="D999" s="117"/>
      <c r="E999" s="117"/>
      <c r="I999" s="118"/>
      <c r="J999" s="13"/>
      <c r="K999" s="269"/>
      <c r="L999" s="57"/>
      <c r="M999" s="119"/>
      <c r="N999" s="57"/>
      <c r="O999" s="57"/>
      <c r="P999" s="57"/>
      <c r="Q999" s="57"/>
      <c r="R999" s="57"/>
      <c r="S999" s="119"/>
      <c r="T999" s="57"/>
      <c r="AD999" s="122"/>
    </row>
    <row r="1000" spans="1:30" ht="12.75" hidden="1" customHeight="1" x14ac:dyDescent="0.2">
      <c r="A1000" s="121"/>
      <c r="D1000" s="117"/>
      <c r="E1000" s="117"/>
      <c r="I1000" s="118"/>
      <c r="J1000" s="13"/>
      <c r="K1000" s="269"/>
      <c r="L1000" s="57"/>
      <c r="M1000" s="119"/>
      <c r="N1000" s="57"/>
      <c r="O1000" s="57"/>
      <c r="P1000" s="57"/>
      <c r="Q1000" s="57"/>
      <c r="R1000" s="57"/>
      <c r="S1000" s="119"/>
      <c r="T1000" s="57"/>
      <c r="AD1000" s="122"/>
    </row>
  </sheetData>
  <sheetProtection algorithmName="SHA-512" hashValue="oUPPuzeKTsVEptGAcaUreRvk55mweaD9BYPw76t4oFvrHeKAeZtX8PeQ5HyRAnK+VqN32nqIl6lopZ3f1YlZzw==" saltValue="N1fA/pX5O0uDeppmXvSACA==" spinCount="100000" sheet="1" objects="1" scenarios="1"/>
  <mergeCells count="310">
    <mergeCell ref="B208:C208"/>
    <mergeCell ref="B193:C193"/>
    <mergeCell ref="B194:C194"/>
    <mergeCell ref="B195:C195"/>
    <mergeCell ref="B196:C196"/>
    <mergeCell ref="B197:C197"/>
    <mergeCell ref="B198:C198"/>
    <mergeCell ref="B199:C199"/>
    <mergeCell ref="B200:C200"/>
    <mergeCell ref="B201:C201"/>
    <mergeCell ref="B233:C233"/>
    <mergeCell ref="B234:C234"/>
    <mergeCell ref="B235:C235"/>
    <mergeCell ref="B236:C236"/>
    <mergeCell ref="B244:C244"/>
    <mergeCell ref="B245:C245"/>
    <mergeCell ref="B246:C246"/>
    <mergeCell ref="B247:C247"/>
    <mergeCell ref="B237:C237"/>
    <mergeCell ref="B238:C238"/>
    <mergeCell ref="B239:C239"/>
    <mergeCell ref="B240:C240"/>
    <mergeCell ref="B241:C241"/>
    <mergeCell ref="B242:C242"/>
    <mergeCell ref="B243:C243"/>
    <mergeCell ref="B224:C224"/>
    <mergeCell ref="B225:C225"/>
    <mergeCell ref="B226:C226"/>
    <mergeCell ref="B227:C227"/>
    <mergeCell ref="B228:C228"/>
    <mergeCell ref="B229:C229"/>
    <mergeCell ref="B230:C230"/>
    <mergeCell ref="B231:C231"/>
    <mergeCell ref="B232:C232"/>
    <mergeCell ref="B215:C215"/>
    <mergeCell ref="B216:C216"/>
    <mergeCell ref="B217:C217"/>
    <mergeCell ref="B218:C218"/>
    <mergeCell ref="B219:C219"/>
    <mergeCell ref="B220:C220"/>
    <mergeCell ref="B221:C221"/>
    <mergeCell ref="B222:C222"/>
    <mergeCell ref="B223:C223"/>
    <mergeCell ref="B210:C210"/>
    <mergeCell ref="B211:C211"/>
    <mergeCell ref="B212:C212"/>
    <mergeCell ref="B213:C213"/>
    <mergeCell ref="B214:C214"/>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57:C157"/>
    <mergeCell ref="B158:C158"/>
    <mergeCell ref="B159:C159"/>
    <mergeCell ref="B209:C209"/>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202:C202"/>
    <mergeCell ref="B203:C203"/>
    <mergeCell ref="B204:C204"/>
    <mergeCell ref="B205:C205"/>
    <mergeCell ref="B206:C206"/>
    <mergeCell ref="B207:C207"/>
    <mergeCell ref="B148:C148"/>
    <mergeCell ref="B149:C149"/>
    <mergeCell ref="B150:C150"/>
    <mergeCell ref="B151:C151"/>
    <mergeCell ref="B152:C152"/>
    <mergeCell ref="B153:C153"/>
    <mergeCell ref="B154:C154"/>
    <mergeCell ref="B155:C155"/>
    <mergeCell ref="B156:C156"/>
    <mergeCell ref="B139:C139"/>
    <mergeCell ref="B140:C140"/>
    <mergeCell ref="B141:C141"/>
    <mergeCell ref="B142:C142"/>
    <mergeCell ref="B143:C143"/>
    <mergeCell ref="B144:C144"/>
    <mergeCell ref="B145:C145"/>
    <mergeCell ref="B146:C146"/>
    <mergeCell ref="B147:C147"/>
    <mergeCell ref="B130:C130"/>
    <mergeCell ref="B131:C131"/>
    <mergeCell ref="B132:C132"/>
    <mergeCell ref="B133:C133"/>
    <mergeCell ref="B134:C134"/>
    <mergeCell ref="B135:C135"/>
    <mergeCell ref="B136:C136"/>
    <mergeCell ref="B137:C137"/>
    <mergeCell ref="B138:C138"/>
    <mergeCell ref="B121:C121"/>
    <mergeCell ref="B122:C122"/>
    <mergeCell ref="B123:C123"/>
    <mergeCell ref="B124:C124"/>
    <mergeCell ref="B125:C125"/>
    <mergeCell ref="B126:C126"/>
    <mergeCell ref="B127:C127"/>
    <mergeCell ref="B128:C128"/>
    <mergeCell ref="B129:C129"/>
    <mergeCell ref="B112:C112"/>
    <mergeCell ref="B113:C113"/>
    <mergeCell ref="B114:C114"/>
    <mergeCell ref="B115:C115"/>
    <mergeCell ref="B116:C116"/>
    <mergeCell ref="B117:C117"/>
    <mergeCell ref="B118:C118"/>
    <mergeCell ref="B119:C119"/>
    <mergeCell ref="B120:C120"/>
    <mergeCell ref="B103:C103"/>
    <mergeCell ref="B104:C104"/>
    <mergeCell ref="B105:C105"/>
    <mergeCell ref="B106:C106"/>
    <mergeCell ref="B107:C107"/>
    <mergeCell ref="B108:C108"/>
    <mergeCell ref="B109:C109"/>
    <mergeCell ref="B110:C110"/>
    <mergeCell ref="B111:C111"/>
    <mergeCell ref="B94:C94"/>
    <mergeCell ref="B95:C95"/>
    <mergeCell ref="B96:C96"/>
    <mergeCell ref="B97:C97"/>
    <mergeCell ref="B98:C98"/>
    <mergeCell ref="B99:C99"/>
    <mergeCell ref="B100:C100"/>
    <mergeCell ref="B101:C101"/>
    <mergeCell ref="B102:C102"/>
    <mergeCell ref="B85:C85"/>
    <mergeCell ref="B86:C86"/>
    <mergeCell ref="B87:C87"/>
    <mergeCell ref="B88:C88"/>
    <mergeCell ref="B89:C89"/>
    <mergeCell ref="B90:C90"/>
    <mergeCell ref="B91:C91"/>
    <mergeCell ref="B92:C92"/>
    <mergeCell ref="B93:C93"/>
    <mergeCell ref="B76:C76"/>
    <mergeCell ref="B77:C77"/>
    <mergeCell ref="B78:C78"/>
    <mergeCell ref="B79:C79"/>
    <mergeCell ref="B80:C80"/>
    <mergeCell ref="B81:C81"/>
    <mergeCell ref="B82:C82"/>
    <mergeCell ref="B83:C83"/>
    <mergeCell ref="B84:C84"/>
    <mergeCell ref="B67:C67"/>
    <mergeCell ref="B68:C68"/>
    <mergeCell ref="B69:C69"/>
    <mergeCell ref="B70:C70"/>
    <mergeCell ref="B71:C71"/>
    <mergeCell ref="B72:C72"/>
    <mergeCell ref="B73:C73"/>
    <mergeCell ref="B74:C74"/>
    <mergeCell ref="B75:C75"/>
    <mergeCell ref="B58:C58"/>
    <mergeCell ref="B59:C59"/>
    <mergeCell ref="B60:C60"/>
    <mergeCell ref="B61:C61"/>
    <mergeCell ref="B62:C62"/>
    <mergeCell ref="B63:C63"/>
    <mergeCell ref="B64:C64"/>
    <mergeCell ref="B65:C65"/>
    <mergeCell ref="B66:C66"/>
    <mergeCell ref="B38:C38"/>
    <mergeCell ref="B39:C39"/>
    <mergeCell ref="B40:C40"/>
    <mergeCell ref="B41:C41"/>
    <mergeCell ref="B42:C42"/>
    <mergeCell ref="B43:C43"/>
    <mergeCell ref="B44:C44"/>
    <mergeCell ref="B45:C45"/>
    <mergeCell ref="B46:C46"/>
    <mergeCell ref="B29:C29"/>
    <mergeCell ref="B30:C30"/>
    <mergeCell ref="B31:C31"/>
    <mergeCell ref="B32:C32"/>
    <mergeCell ref="B33:C33"/>
    <mergeCell ref="B34:C34"/>
    <mergeCell ref="B35:C35"/>
    <mergeCell ref="B36:C36"/>
    <mergeCell ref="B37:C37"/>
    <mergeCell ref="B20:C20"/>
    <mergeCell ref="B21:C21"/>
    <mergeCell ref="B22:C22"/>
    <mergeCell ref="B23:C23"/>
    <mergeCell ref="B24:C24"/>
    <mergeCell ref="B25:C25"/>
    <mergeCell ref="B26:C26"/>
    <mergeCell ref="B27:C27"/>
    <mergeCell ref="B28:C28"/>
    <mergeCell ref="AB17:AC17"/>
    <mergeCell ref="AB18:AC18"/>
    <mergeCell ref="AB19:AC19"/>
    <mergeCell ref="AB13:AC13"/>
    <mergeCell ref="AB14:AC14"/>
    <mergeCell ref="B15:C15"/>
    <mergeCell ref="B16:C16"/>
    <mergeCell ref="B17:C17"/>
    <mergeCell ref="B18:C18"/>
    <mergeCell ref="B19:C19"/>
    <mergeCell ref="B12:C12"/>
    <mergeCell ref="B13:C13"/>
    <mergeCell ref="B14:C14"/>
    <mergeCell ref="L1:N1"/>
    <mergeCell ref="O1:Q1"/>
    <mergeCell ref="R1:T1"/>
    <mergeCell ref="U1:W1"/>
    <mergeCell ref="A4:AC4"/>
    <mergeCell ref="B9:C9"/>
    <mergeCell ref="B10:C10"/>
    <mergeCell ref="B11:C11"/>
    <mergeCell ref="F1:H1"/>
    <mergeCell ref="I1:K1"/>
    <mergeCell ref="AB5:AC5"/>
    <mergeCell ref="AB6:AC6"/>
    <mergeCell ref="AB7:AC7"/>
    <mergeCell ref="AB8:AC8"/>
    <mergeCell ref="I5:K5"/>
    <mergeCell ref="L5:N5"/>
    <mergeCell ref="O5:Q5"/>
    <mergeCell ref="R5:T5"/>
    <mergeCell ref="U5:W5"/>
    <mergeCell ref="A5:C5"/>
    <mergeCell ref="B6:C6"/>
    <mergeCell ref="B7:C7"/>
    <mergeCell ref="B8:C8"/>
    <mergeCell ref="AB47:AC47"/>
    <mergeCell ref="AB55:AC55"/>
    <mergeCell ref="D56:AC56"/>
    <mergeCell ref="A57:AD57"/>
    <mergeCell ref="AB48:AC48"/>
    <mergeCell ref="AB49:AC49"/>
    <mergeCell ref="AB50:AC50"/>
    <mergeCell ref="AB51:AC51"/>
    <mergeCell ref="AB52:AC52"/>
    <mergeCell ref="AB53:AC53"/>
    <mergeCell ref="AB54:AC54"/>
    <mergeCell ref="B47:C47"/>
    <mergeCell ref="B48:C48"/>
    <mergeCell ref="B49:C49"/>
    <mergeCell ref="B50:C50"/>
    <mergeCell ref="B51:C51"/>
    <mergeCell ref="B52:C52"/>
    <mergeCell ref="B53:C53"/>
    <mergeCell ref="B54:C54"/>
    <mergeCell ref="B55:C55"/>
    <mergeCell ref="A56:C56"/>
    <mergeCell ref="AD1:AD56"/>
    <mergeCell ref="D1:E3"/>
    <mergeCell ref="F5:H5"/>
    <mergeCell ref="AB38:AC38"/>
    <mergeCell ref="AB39:AC39"/>
    <mergeCell ref="AB40:AC40"/>
    <mergeCell ref="AB41:AC41"/>
    <mergeCell ref="AB42:AC42"/>
    <mergeCell ref="AB43:AC43"/>
    <mergeCell ref="AB44:AC44"/>
    <mergeCell ref="AB20:AC20"/>
    <mergeCell ref="AB21:AC21"/>
    <mergeCell ref="AB22:AC22"/>
    <mergeCell ref="AB23:AC23"/>
    <mergeCell ref="AB24:AC24"/>
    <mergeCell ref="AB25:AC25"/>
    <mergeCell ref="AB26:AC26"/>
    <mergeCell ref="AB27:AC27"/>
    <mergeCell ref="AB28:AC28"/>
    <mergeCell ref="AB15:AC15"/>
    <mergeCell ref="AB9:AC9"/>
    <mergeCell ref="AB10:AC10"/>
    <mergeCell ref="AB11:AC11"/>
    <mergeCell ref="AB12:AC12"/>
    <mergeCell ref="AB16:AC16"/>
    <mergeCell ref="AB45:AC45"/>
    <mergeCell ref="AB46:AC46"/>
    <mergeCell ref="AB29:AC29"/>
    <mergeCell ref="AB30:AC30"/>
    <mergeCell ref="AB31:AC31"/>
    <mergeCell ref="AB32:AC32"/>
    <mergeCell ref="AB33:AC33"/>
    <mergeCell ref="AB34:AC34"/>
    <mergeCell ref="AB35:AC35"/>
    <mergeCell ref="AB36:AC36"/>
    <mergeCell ref="AB37:AC37"/>
  </mergeCells>
  <conditionalFormatting sqref="B6:C55">
    <cfRule type="cellIs" dxfId="25" priority="1" operator="equal">
      <formula>"perdido"</formula>
    </cfRule>
    <cfRule type="cellIs" dxfId="24" priority="2" operator="equal">
      <formula>"empatado"</formula>
    </cfRule>
    <cfRule type="cellIs" dxfId="23" priority="3" operator="equal">
      <formula>"ganado"</formula>
    </cfRule>
    <cfRule type="cellIs" dxfId="22" priority="4" stopIfTrue="1" operator="equal">
      <formula>"won"</formula>
    </cfRule>
    <cfRule type="cellIs" dxfId="21" priority="5" stopIfTrue="1" operator="equal">
      <formula>"lost"</formula>
    </cfRule>
    <cfRule type="cellIs" dxfId="20" priority="6" stopIfTrue="1" operator="equal">
      <formula>"tied"</formula>
    </cfRule>
  </conditionalFormatting>
  <conditionalFormatting sqref="B19:C55">
    <cfRule type="cellIs" dxfId="19" priority="7" operator="equal">
      <formula>"perdido"</formula>
    </cfRule>
    <cfRule type="cellIs" dxfId="18" priority="8" operator="equal">
      <formula>"empatado"</formula>
    </cfRule>
    <cfRule type="cellIs" dxfId="17" priority="9" operator="equal">
      <formula>"ganado"</formula>
    </cfRule>
    <cfRule type="cellIs" dxfId="16" priority="10" stopIfTrue="1" operator="equal">
      <formula>"won"</formula>
    </cfRule>
    <cfRule type="cellIs" dxfId="15" priority="11" stopIfTrue="1" operator="equal">
      <formula>"lost"</formula>
    </cfRule>
    <cfRule type="cellIs" dxfId="14" priority="12" stopIfTrue="1" operator="equal">
      <formula>"tied"</formula>
    </cfRule>
  </conditionalFormatting>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xr:uid="{00000000-0002-0000-0200-000000000000}">
          <x14:formula1>
            <xm:f>Roster!$AS$61:$AS$171</xm:f>
          </x14:formula1>
          <xm:sqref>AC3</xm:sqref>
        </x14:dataValidation>
        <x14:dataValidation type="list" allowBlank="1" xr:uid="{00000000-0002-0000-0200-000001000000}">
          <x14:formula1>
            <xm:f>Roster!$AZ$62:$AZ$68</xm:f>
          </x14:formula1>
          <xm:sqref>AC2</xm:sqref>
        </x14:dataValidation>
        <x14:dataValidation type="list" allowBlank="1" showErrorMessage="1" xr:uid="{00000000-0002-0000-0200-000002000000}">
          <x14:formula1>
            <xm:f>Roster!$AJ$71:$AJ$75</xm:f>
          </x14:formula1>
          <xm:sqref>X6:X55</xm:sqref>
        </x14:dataValidation>
        <x14:dataValidation type="list" allowBlank="1" showErrorMessage="1" xr:uid="{00000000-0002-0000-0200-000003000000}">
          <x14:formula1>
            <xm:f>Roster!$BN$2:$BN$34</xm:f>
          </x14:formula1>
          <xm:sqref>E6:E55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000"/>
  <sheetViews>
    <sheetView zoomScaleNormal="100" workbookViewId="0">
      <selection activeCell="B4" sqref="B4"/>
    </sheetView>
  </sheetViews>
  <sheetFormatPr defaultColWidth="0" defaultRowHeight="15" customHeight="1" zeroHeight="1" x14ac:dyDescent="0.2"/>
  <cols>
    <col min="1" max="1" width="2.85546875" customWidth="1"/>
    <col min="2" max="2" width="20" customWidth="1"/>
    <col min="3" max="37" width="5" customWidth="1"/>
    <col min="38" max="38" width="2.85546875" customWidth="1"/>
    <col min="39" max="16384" width="14.42578125" hidden="1"/>
  </cols>
  <sheetData>
    <row r="1" spans="1:38" ht="24.75" customHeight="1" x14ac:dyDescent="0.2">
      <c r="A1" s="361" t="str">
        <f>IF(Roster!$K$25="Italiano","GIOCATORI MORTI &amp; TEMPORANEAMENTE RITIRATI",(IF(Roster!$K$25="Español","MUERTOS Y JUGADORES RETIRADOS",(IF(Roster!$K$25="Deutsch","TOTE &amp; PENSIONIERTE SPIELER",(IF(Roster!$K$25="Français","JOUEURS MORTS ET RETRAITÉS","DEAD &amp; RETIRED PLAYERS")))))))</f>
        <v>DEAD &amp; RETIRED PLAYERS</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1"/>
      <c r="AL1" s="8"/>
    </row>
    <row r="2" spans="1:38" ht="22.5" customHeight="1" x14ac:dyDescent="0.2">
      <c r="A2" s="15" t="s">
        <v>29</v>
      </c>
      <c r="B2" s="15" t="str">
        <f>IF(Roster!$K$25="Italiano","NOME GIOCATORE",(IF(Roster!$K$25="Español","NOMBRE JUGADOR",(IF(Roster!$K$25="Deutsch","NAME",(IF(Roster!$K$25="Français","NOM DU JOUEUR","PLAYER NAME")))))))</f>
        <v>PLAYER NAME</v>
      </c>
      <c r="C2" s="361" t="str">
        <f>IF(Roster!$K$25="Italiano","TIPO",(IF(Roster!$K$25="Español","TIPO",(IF(Roster!$K$25="Deutsch","POSITION",(IF(Roster!$K$25="Français","POSTE","TYPE")))))))</f>
        <v>TYPE</v>
      </c>
      <c r="D2" s="300"/>
      <c r="E2" s="300"/>
      <c r="F2" s="301"/>
      <c r="G2" s="15" t="str">
        <f>IF(Roster!$K$25="Español","MO",(IF(Roster!$K$25="Deutsch","BE",(IF(Roster!$K$25="Français","M","MA")))))</f>
        <v>MA</v>
      </c>
      <c r="H2" s="15" t="str">
        <f>IF(Roster!$K$25="Español","FU",(IF(Roster!$K$25="Français","F","ST")))</f>
        <v>ST</v>
      </c>
      <c r="I2" s="15" t="str">
        <f>IF(Roster!$K$25="Deutsch","GE","AG")</f>
        <v>AG</v>
      </c>
      <c r="J2" s="15" t="str">
        <f>IF(Roster!$K$25="Deutsch","WG",(IF(Roster!$K$25="Français","CP","PA")))</f>
        <v>PA</v>
      </c>
      <c r="K2" s="15" t="str">
        <f>IF(Roster!$K$25="Español","AR",(IF(Roster!$K$25="Deutsch","RW",(IF(Roster!$K$25="Français","AR","AV")))))</f>
        <v>AV</v>
      </c>
      <c r="L2" s="361" t="str">
        <f>IF(Roster!$K$25="Italiano","ABILITÀ",(IF(Roster!$K$25="Español","HABILIDADES",(IF(Roster!$K$25="Deutsch","FERTIGKEITEN",(IF(Roster!$K$25="Français","COMPÉTENCES","SKILLS")))))))</f>
        <v>SKILLS</v>
      </c>
      <c r="M2" s="300"/>
      <c r="N2" s="300"/>
      <c r="O2" s="300"/>
      <c r="P2" s="300"/>
      <c r="Q2" s="300"/>
      <c r="R2" s="300"/>
      <c r="S2" s="300"/>
      <c r="T2" s="300"/>
      <c r="U2" s="300"/>
      <c r="V2" s="301"/>
      <c r="W2" s="17" t="str">
        <f>IF(Roster!$K$25="Español","ESP","SPE")</f>
        <v>SPE</v>
      </c>
      <c r="X2" s="15" t="str">
        <f>IF(Roster!$K$25="Deutsch","GP",(IF(Roster!$K$25="Français","REU","CP")))</f>
        <v>CP</v>
      </c>
      <c r="Y2" s="198" t="s">
        <v>1196</v>
      </c>
      <c r="Z2" s="15" t="str">
        <f>IF(Roster!$K$25="Español","DES",(IF(Roster!$K$25="Deutsch","AB",(IF(Roster!$K$25="Français","DET","DEF")))))</f>
        <v>DEF</v>
      </c>
      <c r="AA2" s="198" t="s">
        <v>1197</v>
      </c>
      <c r="AB2" s="15" t="str">
        <f>IF(Roster!$K$25="Español","HL",(IF(Roster!$K$25="Deutsch","SV",(IF(Roster!$K$25="Français","COM","BH")))))</f>
        <v>BH</v>
      </c>
      <c r="AC2" s="15" t="str">
        <f>IF(Roster!$K$25="Español","HG",(IF(Roster!$K$25="Deutsch","BV",(IF(Roster!$K$25="Français","BS","SI")))))</f>
        <v>SI</v>
      </c>
      <c r="AD2" s="15" t="str">
        <f>IF(Roster!$K$25="Español","RIP",(IF(Roster!$K$25="Deutsch","TOT",(IF(Roster!$K$25="Français","MORT","KILL")))))</f>
        <v>KILL</v>
      </c>
      <c r="AE2" s="15" t="str">
        <f>IF(Roster!$K$25="Deutsch","SDT",(IF(Roster!$K$25="Français","JdM","MVP")))</f>
        <v>MVP</v>
      </c>
      <c r="AF2" s="391" t="str">
        <f>IF(Roster!$K$25="Italiano","SPP Totali",(IF(Roster!$K$25="Español","SPP Totales",(IF(Roster!$K$25="Deutsch","Gesamte SPP",(IF(Roster!$K$25="Français","Total PSP","Total SPP")))))))</f>
        <v>Total SPP</v>
      </c>
      <c r="AG2" s="301"/>
      <c r="AH2" s="391" t="str">
        <f>IF(Roster!$K$25="Italiano","SPP Non Spesi",(IF(Roster!$K$25="Español","SPP Sin gastar",(IF(Roster!$K$25="Deutsch","Verfügb. SPP",(IF(Roster!$K$25="Français","PSP restant","Unspent SPP")))))))</f>
        <v>Unspent SPP</v>
      </c>
      <c r="AI2" s="301"/>
      <c r="AJ2" s="361" t="str">
        <f>IF(Roster!$K$25="Italiano","COSTO",(IF(Roster!$K$25="Español","PRECIO",(IF(Roster!$K$25="Deutsch","WERT",(IF(Roster!$K$25="Français","VALEUR","COST")))))))</f>
        <v>COST</v>
      </c>
      <c r="AK2" s="301"/>
      <c r="AL2" s="451"/>
    </row>
    <row r="3" spans="1:38" ht="22.5" customHeight="1" x14ac:dyDescent="0.2">
      <c r="A3" s="15">
        <v>1</v>
      </c>
      <c r="B3" s="60" t="s">
        <v>1842</v>
      </c>
      <c r="C3" s="389" t="s">
        <v>650</v>
      </c>
      <c r="D3" s="365"/>
      <c r="E3" s="365"/>
      <c r="F3" s="366"/>
      <c r="G3" s="142"/>
      <c r="H3" s="142"/>
      <c r="I3" s="142"/>
      <c r="J3" s="142"/>
      <c r="K3" s="142"/>
      <c r="L3" s="449"/>
      <c r="M3" s="365"/>
      <c r="N3" s="365"/>
      <c r="O3" s="365"/>
      <c r="P3" s="365"/>
      <c r="Q3" s="365"/>
      <c r="R3" s="365"/>
      <c r="S3" s="365"/>
      <c r="T3" s="365"/>
      <c r="U3" s="365"/>
      <c r="V3" s="366"/>
      <c r="W3" s="143"/>
      <c r="X3" s="144"/>
      <c r="Y3" s="144"/>
      <c r="Z3" s="144"/>
      <c r="AA3" s="145"/>
      <c r="AB3" s="145"/>
      <c r="AC3" s="145"/>
      <c r="AD3" s="145"/>
      <c r="AE3" s="145"/>
      <c r="AF3" s="450"/>
      <c r="AG3" s="366"/>
      <c r="AH3" s="450"/>
      <c r="AI3" s="366"/>
      <c r="AJ3" s="453">
        <v>15000</v>
      </c>
      <c r="AK3" s="366"/>
      <c r="AL3" s="290"/>
    </row>
    <row r="4" spans="1:38" ht="22.5" customHeight="1" x14ac:dyDescent="0.2">
      <c r="A4" s="15">
        <v>2</v>
      </c>
      <c r="B4" s="60"/>
      <c r="C4" s="389"/>
      <c r="D4" s="365"/>
      <c r="E4" s="365"/>
      <c r="F4" s="366"/>
      <c r="G4" s="142"/>
      <c r="H4" s="142"/>
      <c r="I4" s="142"/>
      <c r="J4" s="142"/>
      <c r="K4" s="142"/>
      <c r="L4" s="449"/>
      <c r="M4" s="365"/>
      <c r="N4" s="365"/>
      <c r="O4" s="365"/>
      <c r="P4" s="365"/>
      <c r="Q4" s="365"/>
      <c r="R4" s="365"/>
      <c r="S4" s="365"/>
      <c r="T4" s="365"/>
      <c r="U4" s="365"/>
      <c r="V4" s="366"/>
      <c r="W4" s="143"/>
      <c r="X4" s="144"/>
      <c r="Y4" s="144"/>
      <c r="Z4" s="144"/>
      <c r="AA4" s="145"/>
      <c r="AB4" s="145"/>
      <c r="AC4" s="145"/>
      <c r="AD4" s="145"/>
      <c r="AE4" s="145"/>
      <c r="AF4" s="450"/>
      <c r="AG4" s="366"/>
      <c r="AH4" s="450"/>
      <c r="AI4" s="366"/>
      <c r="AJ4" s="450"/>
      <c r="AK4" s="366"/>
      <c r="AL4" s="290"/>
    </row>
    <row r="5" spans="1:38" ht="22.5" customHeight="1" x14ac:dyDescent="0.2">
      <c r="A5" s="15">
        <v>3</v>
      </c>
      <c r="B5" s="60"/>
      <c r="C5" s="389"/>
      <c r="D5" s="365"/>
      <c r="E5" s="365"/>
      <c r="F5" s="366"/>
      <c r="G5" s="142"/>
      <c r="H5" s="142"/>
      <c r="I5" s="142"/>
      <c r="J5" s="142"/>
      <c r="K5" s="142"/>
      <c r="L5" s="449"/>
      <c r="M5" s="365"/>
      <c r="N5" s="365"/>
      <c r="O5" s="365"/>
      <c r="P5" s="365"/>
      <c r="Q5" s="365"/>
      <c r="R5" s="365"/>
      <c r="S5" s="365"/>
      <c r="T5" s="365"/>
      <c r="U5" s="365"/>
      <c r="V5" s="366"/>
      <c r="W5" s="143"/>
      <c r="X5" s="144"/>
      <c r="Y5" s="144"/>
      <c r="Z5" s="144"/>
      <c r="AA5" s="145"/>
      <c r="AB5" s="145"/>
      <c r="AC5" s="145"/>
      <c r="AD5" s="145"/>
      <c r="AE5" s="145"/>
      <c r="AF5" s="450"/>
      <c r="AG5" s="366"/>
      <c r="AH5" s="450"/>
      <c r="AI5" s="366"/>
      <c r="AJ5" s="450"/>
      <c r="AK5" s="366"/>
      <c r="AL5" s="290"/>
    </row>
    <row r="6" spans="1:38" ht="22.5" customHeight="1" x14ac:dyDescent="0.2">
      <c r="A6" s="15">
        <v>4</v>
      </c>
      <c r="B6" s="60"/>
      <c r="C6" s="389"/>
      <c r="D6" s="365"/>
      <c r="E6" s="365"/>
      <c r="F6" s="366"/>
      <c r="G6" s="142"/>
      <c r="H6" s="142"/>
      <c r="I6" s="142"/>
      <c r="J6" s="142"/>
      <c r="K6" s="142"/>
      <c r="L6" s="449"/>
      <c r="M6" s="365"/>
      <c r="N6" s="365"/>
      <c r="O6" s="365"/>
      <c r="P6" s="365"/>
      <c r="Q6" s="365"/>
      <c r="R6" s="365"/>
      <c r="S6" s="365"/>
      <c r="T6" s="365"/>
      <c r="U6" s="365"/>
      <c r="V6" s="366"/>
      <c r="W6" s="143"/>
      <c r="X6" s="144"/>
      <c r="Y6" s="144"/>
      <c r="Z6" s="144"/>
      <c r="AA6" s="145"/>
      <c r="AB6" s="145"/>
      <c r="AC6" s="145"/>
      <c r="AD6" s="145"/>
      <c r="AE6" s="145"/>
      <c r="AF6" s="450"/>
      <c r="AG6" s="366"/>
      <c r="AH6" s="450"/>
      <c r="AI6" s="366"/>
      <c r="AJ6" s="450"/>
      <c r="AK6" s="366"/>
      <c r="AL6" s="290"/>
    </row>
    <row r="7" spans="1:38" ht="22.5" customHeight="1" x14ac:dyDescent="0.2">
      <c r="A7" s="15">
        <v>5</v>
      </c>
      <c r="B7" s="60"/>
      <c r="C7" s="389"/>
      <c r="D7" s="365"/>
      <c r="E7" s="365"/>
      <c r="F7" s="366"/>
      <c r="G7" s="142"/>
      <c r="H7" s="142"/>
      <c r="I7" s="142"/>
      <c r="J7" s="142"/>
      <c r="K7" s="142"/>
      <c r="L7" s="449"/>
      <c r="M7" s="365"/>
      <c r="N7" s="365"/>
      <c r="O7" s="365"/>
      <c r="P7" s="365"/>
      <c r="Q7" s="365"/>
      <c r="R7" s="365"/>
      <c r="S7" s="365"/>
      <c r="T7" s="365"/>
      <c r="U7" s="365"/>
      <c r="V7" s="366"/>
      <c r="W7" s="143"/>
      <c r="X7" s="144"/>
      <c r="Y7" s="144"/>
      <c r="Z7" s="144"/>
      <c r="AA7" s="145"/>
      <c r="AB7" s="145"/>
      <c r="AC7" s="145"/>
      <c r="AD7" s="145"/>
      <c r="AE7" s="145"/>
      <c r="AF7" s="450"/>
      <c r="AG7" s="366"/>
      <c r="AH7" s="450"/>
      <c r="AI7" s="366"/>
      <c r="AJ7" s="450"/>
      <c r="AK7" s="366"/>
      <c r="AL7" s="290"/>
    </row>
    <row r="8" spans="1:38" ht="22.5" customHeight="1" x14ac:dyDescent="0.2">
      <c r="A8" s="15">
        <v>6</v>
      </c>
      <c r="B8" s="60"/>
      <c r="C8" s="389"/>
      <c r="D8" s="365"/>
      <c r="E8" s="365"/>
      <c r="F8" s="366"/>
      <c r="G8" s="142"/>
      <c r="H8" s="142"/>
      <c r="I8" s="142"/>
      <c r="J8" s="142"/>
      <c r="K8" s="142"/>
      <c r="L8" s="449"/>
      <c r="M8" s="365"/>
      <c r="N8" s="365"/>
      <c r="O8" s="365"/>
      <c r="P8" s="365"/>
      <c r="Q8" s="365"/>
      <c r="R8" s="365"/>
      <c r="S8" s="365"/>
      <c r="T8" s="365"/>
      <c r="U8" s="365"/>
      <c r="V8" s="366"/>
      <c r="W8" s="143"/>
      <c r="X8" s="144"/>
      <c r="Y8" s="144"/>
      <c r="Z8" s="144"/>
      <c r="AA8" s="145"/>
      <c r="AB8" s="145"/>
      <c r="AC8" s="145"/>
      <c r="AD8" s="145"/>
      <c r="AE8" s="145"/>
      <c r="AF8" s="450"/>
      <c r="AG8" s="366"/>
      <c r="AH8" s="450"/>
      <c r="AI8" s="366"/>
      <c r="AJ8" s="450"/>
      <c r="AK8" s="366"/>
      <c r="AL8" s="290"/>
    </row>
    <row r="9" spans="1:38" ht="22.5" customHeight="1" x14ac:dyDescent="0.2">
      <c r="A9" s="15">
        <v>7</v>
      </c>
      <c r="B9" s="60"/>
      <c r="C9" s="389"/>
      <c r="D9" s="365"/>
      <c r="E9" s="365"/>
      <c r="F9" s="366"/>
      <c r="G9" s="142"/>
      <c r="H9" s="142"/>
      <c r="I9" s="142"/>
      <c r="J9" s="142"/>
      <c r="K9" s="142"/>
      <c r="L9" s="449"/>
      <c r="M9" s="365"/>
      <c r="N9" s="365"/>
      <c r="O9" s="365"/>
      <c r="P9" s="365"/>
      <c r="Q9" s="365"/>
      <c r="R9" s="365"/>
      <c r="S9" s="365"/>
      <c r="T9" s="365"/>
      <c r="U9" s="365"/>
      <c r="V9" s="366"/>
      <c r="W9" s="143"/>
      <c r="X9" s="144"/>
      <c r="Y9" s="144"/>
      <c r="Z9" s="144"/>
      <c r="AA9" s="145"/>
      <c r="AB9" s="145"/>
      <c r="AC9" s="145"/>
      <c r="AD9" s="145"/>
      <c r="AE9" s="145"/>
      <c r="AF9" s="450"/>
      <c r="AG9" s="366"/>
      <c r="AH9" s="450"/>
      <c r="AI9" s="366"/>
      <c r="AJ9" s="450"/>
      <c r="AK9" s="366"/>
      <c r="AL9" s="290"/>
    </row>
    <row r="10" spans="1:38" ht="22.5" customHeight="1" x14ac:dyDescent="0.2">
      <c r="A10" s="15">
        <v>8</v>
      </c>
      <c r="B10" s="60"/>
      <c r="C10" s="389"/>
      <c r="D10" s="365"/>
      <c r="E10" s="365"/>
      <c r="F10" s="366"/>
      <c r="G10" s="142"/>
      <c r="H10" s="142"/>
      <c r="I10" s="142"/>
      <c r="J10" s="142"/>
      <c r="K10" s="142"/>
      <c r="L10" s="449"/>
      <c r="M10" s="365"/>
      <c r="N10" s="365"/>
      <c r="O10" s="365"/>
      <c r="P10" s="365"/>
      <c r="Q10" s="365"/>
      <c r="R10" s="365"/>
      <c r="S10" s="365"/>
      <c r="T10" s="365"/>
      <c r="U10" s="365"/>
      <c r="V10" s="366"/>
      <c r="W10" s="143"/>
      <c r="X10" s="144"/>
      <c r="Y10" s="144"/>
      <c r="Z10" s="144"/>
      <c r="AA10" s="145"/>
      <c r="AB10" s="145"/>
      <c r="AC10" s="145"/>
      <c r="AD10" s="145"/>
      <c r="AE10" s="145"/>
      <c r="AF10" s="450"/>
      <c r="AG10" s="366"/>
      <c r="AH10" s="450"/>
      <c r="AI10" s="366"/>
      <c r="AJ10" s="450"/>
      <c r="AK10" s="366"/>
      <c r="AL10" s="290"/>
    </row>
    <row r="11" spans="1:38" ht="22.5" customHeight="1" x14ac:dyDescent="0.2">
      <c r="A11" s="15">
        <v>9</v>
      </c>
      <c r="B11" s="60"/>
      <c r="C11" s="389"/>
      <c r="D11" s="365"/>
      <c r="E11" s="365"/>
      <c r="F11" s="366"/>
      <c r="G11" s="142"/>
      <c r="H11" s="142"/>
      <c r="I11" s="142"/>
      <c r="J11" s="142"/>
      <c r="K11" s="142"/>
      <c r="L11" s="449"/>
      <c r="M11" s="365"/>
      <c r="N11" s="365"/>
      <c r="O11" s="365"/>
      <c r="P11" s="365"/>
      <c r="Q11" s="365"/>
      <c r="R11" s="365"/>
      <c r="S11" s="365"/>
      <c r="T11" s="365"/>
      <c r="U11" s="365"/>
      <c r="V11" s="366"/>
      <c r="W11" s="143"/>
      <c r="X11" s="144"/>
      <c r="Y11" s="144"/>
      <c r="Z11" s="144"/>
      <c r="AA11" s="145"/>
      <c r="AB11" s="145"/>
      <c r="AC11" s="145"/>
      <c r="AD11" s="145"/>
      <c r="AE11" s="145"/>
      <c r="AF11" s="450"/>
      <c r="AG11" s="366"/>
      <c r="AH11" s="450"/>
      <c r="AI11" s="366"/>
      <c r="AJ11" s="450"/>
      <c r="AK11" s="366"/>
      <c r="AL11" s="290"/>
    </row>
    <row r="12" spans="1:38" ht="22.5" customHeight="1" x14ac:dyDescent="0.2">
      <c r="A12" s="15">
        <v>10</v>
      </c>
      <c r="B12" s="60"/>
      <c r="C12" s="389"/>
      <c r="D12" s="365"/>
      <c r="E12" s="365"/>
      <c r="F12" s="366"/>
      <c r="G12" s="142"/>
      <c r="H12" s="142"/>
      <c r="I12" s="142"/>
      <c r="J12" s="142"/>
      <c r="K12" s="142"/>
      <c r="L12" s="449"/>
      <c r="M12" s="365"/>
      <c r="N12" s="365"/>
      <c r="O12" s="365"/>
      <c r="P12" s="365"/>
      <c r="Q12" s="365"/>
      <c r="R12" s="365"/>
      <c r="S12" s="365"/>
      <c r="T12" s="365"/>
      <c r="U12" s="365"/>
      <c r="V12" s="366"/>
      <c r="W12" s="143"/>
      <c r="X12" s="144"/>
      <c r="Y12" s="144"/>
      <c r="Z12" s="144"/>
      <c r="AA12" s="145"/>
      <c r="AB12" s="145"/>
      <c r="AC12" s="145"/>
      <c r="AD12" s="145"/>
      <c r="AE12" s="145"/>
      <c r="AF12" s="450"/>
      <c r="AG12" s="366"/>
      <c r="AH12" s="450"/>
      <c r="AI12" s="366"/>
      <c r="AJ12" s="450"/>
      <c r="AK12" s="366"/>
      <c r="AL12" s="290"/>
    </row>
    <row r="13" spans="1:38" ht="22.5" customHeight="1" x14ac:dyDescent="0.2">
      <c r="A13" s="15">
        <v>11</v>
      </c>
      <c r="B13" s="60"/>
      <c r="C13" s="389"/>
      <c r="D13" s="365"/>
      <c r="E13" s="365"/>
      <c r="F13" s="366"/>
      <c r="G13" s="142"/>
      <c r="H13" s="142"/>
      <c r="I13" s="142"/>
      <c r="J13" s="142"/>
      <c r="K13" s="142"/>
      <c r="L13" s="449"/>
      <c r="M13" s="365"/>
      <c r="N13" s="365"/>
      <c r="O13" s="365"/>
      <c r="P13" s="365"/>
      <c r="Q13" s="365"/>
      <c r="R13" s="365"/>
      <c r="S13" s="365"/>
      <c r="T13" s="365"/>
      <c r="U13" s="365"/>
      <c r="V13" s="366"/>
      <c r="W13" s="143"/>
      <c r="X13" s="144"/>
      <c r="Y13" s="144"/>
      <c r="Z13" s="144"/>
      <c r="AA13" s="145"/>
      <c r="AB13" s="145"/>
      <c r="AC13" s="145"/>
      <c r="AD13" s="145"/>
      <c r="AE13" s="145"/>
      <c r="AF13" s="450"/>
      <c r="AG13" s="366"/>
      <c r="AH13" s="450"/>
      <c r="AI13" s="366"/>
      <c r="AJ13" s="450"/>
      <c r="AK13" s="366"/>
      <c r="AL13" s="290"/>
    </row>
    <row r="14" spans="1:38" ht="22.5" customHeight="1" x14ac:dyDescent="0.2">
      <c r="A14" s="15">
        <v>12</v>
      </c>
      <c r="B14" s="60"/>
      <c r="C14" s="389"/>
      <c r="D14" s="365"/>
      <c r="E14" s="365"/>
      <c r="F14" s="366"/>
      <c r="G14" s="142"/>
      <c r="H14" s="142"/>
      <c r="I14" s="142"/>
      <c r="J14" s="142"/>
      <c r="K14" s="142"/>
      <c r="L14" s="449"/>
      <c r="M14" s="365"/>
      <c r="N14" s="365"/>
      <c r="O14" s="365"/>
      <c r="P14" s="365"/>
      <c r="Q14" s="365"/>
      <c r="R14" s="365"/>
      <c r="S14" s="365"/>
      <c r="T14" s="365"/>
      <c r="U14" s="365"/>
      <c r="V14" s="366"/>
      <c r="W14" s="143"/>
      <c r="X14" s="144"/>
      <c r="Y14" s="144"/>
      <c r="Z14" s="144"/>
      <c r="AA14" s="145"/>
      <c r="AB14" s="145"/>
      <c r="AC14" s="145"/>
      <c r="AD14" s="145"/>
      <c r="AE14" s="145"/>
      <c r="AF14" s="450"/>
      <c r="AG14" s="366"/>
      <c r="AH14" s="450"/>
      <c r="AI14" s="366"/>
      <c r="AJ14" s="450"/>
      <c r="AK14" s="366"/>
      <c r="AL14" s="290"/>
    </row>
    <row r="15" spans="1:38" ht="22.5" customHeight="1" x14ac:dyDescent="0.2">
      <c r="A15" s="15">
        <v>13</v>
      </c>
      <c r="B15" s="60"/>
      <c r="C15" s="389"/>
      <c r="D15" s="365"/>
      <c r="E15" s="365"/>
      <c r="F15" s="366"/>
      <c r="G15" s="142"/>
      <c r="H15" s="142"/>
      <c r="I15" s="142"/>
      <c r="J15" s="142"/>
      <c r="K15" s="142"/>
      <c r="L15" s="449"/>
      <c r="M15" s="365"/>
      <c r="N15" s="365"/>
      <c r="O15" s="365"/>
      <c r="P15" s="365"/>
      <c r="Q15" s="365"/>
      <c r="R15" s="365"/>
      <c r="S15" s="365"/>
      <c r="T15" s="365"/>
      <c r="U15" s="365"/>
      <c r="V15" s="366"/>
      <c r="W15" s="143"/>
      <c r="X15" s="144"/>
      <c r="Y15" s="144"/>
      <c r="Z15" s="144"/>
      <c r="AA15" s="145"/>
      <c r="AB15" s="145"/>
      <c r="AC15" s="145"/>
      <c r="AD15" s="145"/>
      <c r="AE15" s="145"/>
      <c r="AF15" s="450"/>
      <c r="AG15" s="366"/>
      <c r="AH15" s="450"/>
      <c r="AI15" s="366"/>
      <c r="AJ15" s="450"/>
      <c r="AK15" s="366"/>
      <c r="AL15" s="290"/>
    </row>
    <row r="16" spans="1:38" ht="22.5" customHeight="1" x14ac:dyDescent="0.2">
      <c r="A16" s="15">
        <v>14</v>
      </c>
      <c r="B16" s="60"/>
      <c r="C16" s="389"/>
      <c r="D16" s="365"/>
      <c r="E16" s="365"/>
      <c r="F16" s="366"/>
      <c r="G16" s="142"/>
      <c r="H16" s="142"/>
      <c r="I16" s="142"/>
      <c r="J16" s="142"/>
      <c r="K16" s="142"/>
      <c r="L16" s="449"/>
      <c r="M16" s="365"/>
      <c r="N16" s="365"/>
      <c r="O16" s="365"/>
      <c r="P16" s="365"/>
      <c r="Q16" s="365"/>
      <c r="R16" s="365"/>
      <c r="S16" s="365"/>
      <c r="T16" s="365"/>
      <c r="U16" s="365"/>
      <c r="V16" s="366"/>
      <c r="W16" s="143"/>
      <c r="X16" s="144"/>
      <c r="Y16" s="144"/>
      <c r="Z16" s="144"/>
      <c r="AA16" s="145"/>
      <c r="AB16" s="145"/>
      <c r="AC16" s="145"/>
      <c r="AD16" s="145"/>
      <c r="AE16" s="145"/>
      <c r="AF16" s="450"/>
      <c r="AG16" s="366"/>
      <c r="AH16" s="450"/>
      <c r="AI16" s="366"/>
      <c r="AJ16" s="450"/>
      <c r="AK16" s="366"/>
      <c r="AL16" s="290"/>
    </row>
    <row r="17" spans="1:38" ht="22.5" customHeight="1" x14ac:dyDescent="0.2">
      <c r="A17" s="15">
        <v>15</v>
      </c>
      <c r="B17" s="60"/>
      <c r="C17" s="389"/>
      <c r="D17" s="365"/>
      <c r="E17" s="365"/>
      <c r="F17" s="366"/>
      <c r="G17" s="142"/>
      <c r="H17" s="142"/>
      <c r="I17" s="142"/>
      <c r="J17" s="142"/>
      <c r="K17" s="142"/>
      <c r="L17" s="449"/>
      <c r="M17" s="365"/>
      <c r="N17" s="365"/>
      <c r="O17" s="365"/>
      <c r="P17" s="365"/>
      <c r="Q17" s="365"/>
      <c r="R17" s="365"/>
      <c r="S17" s="365"/>
      <c r="T17" s="365"/>
      <c r="U17" s="365"/>
      <c r="V17" s="366"/>
      <c r="W17" s="143"/>
      <c r="X17" s="144"/>
      <c r="Y17" s="144"/>
      <c r="Z17" s="144"/>
      <c r="AA17" s="145"/>
      <c r="AB17" s="145"/>
      <c r="AC17" s="145"/>
      <c r="AD17" s="145"/>
      <c r="AE17" s="145"/>
      <c r="AF17" s="450"/>
      <c r="AG17" s="366"/>
      <c r="AH17" s="450"/>
      <c r="AI17" s="366"/>
      <c r="AJ17" s="450"/>
      <c r="AK17" s="366"/>
      <c r="AL17" s="290"/>
    </row>
    <row r="18" spans="1:38" ht="22.5" customHeight="1" x14ac:dyDescent="0.2">
      <c r="A18" s="15">
        <v>16</v>
      </c>
      <c r="B18" s="60"/>
      <c r="C18" s="389"/>
      <c r="D18" s="365"/>
      <c r="E18" s="365"/>
      <c r="F18" s="366"/>
      <c r="G18" s="142">
        <f t="shared" ref="G18:H18" si="0">IFERROR(#REF!,0)</f>
        <v>0</v>
      </c>
      <c r="H18" s="142">
        <f t="shared" si="0"/>
        <v>0</v>
      </c>
      <c r="I18" s="142">
        <f t="shared" ref="I18:K18" si="1">IFERROR(#REF!&amp;"+",0)</f>
        <v>0</v>
      </c>
      <c r="J18" s="142">
        <f t="shared" si="1"/>
        <v>0</v>
      </c>
      <c r="K18" s="142">
        <f t="shared" si="1"/>
        <v>0</v>
      </c>
      <c r="L18" s="449" t="str">
        <f>IFERROR((IF(#REF!="YES",(VLOOKUP(#REF!&amp;C18,Teams!D:M,7,0)&amp;#REF!),#REF!)),"")</f>
        <v/>
      </c>
      <c r="M18" s="365"/>
      <c r="N18" s="365"/>
      <c r="O18" s="365"/>
      <c r="P18" s="365"/>
      <c r="Q18" s="365"/>
      <c r="R18" s="365"/>
      <c r="S18" s="365"/>
      <c r="T18" s="365"/>
      <c r="U18" s="365"/>
      <c r="V18" s="366"/>
      <c r="W18" s="143"/>
      <c r="X18" s="144"/>
      <c r="Y18" s="144"/>
      <c r="Z18" s="144"/>
      <c r="AA18" s="145"/>
      <c r="AB18" s="145"/>
      <c r="AC18" s="145"/>
      <c r="AD18" s="145"/>
      <c r="AE18" s="145"/>
      <c r="AF18" s="450"/>
      <c r="AG18" s="366"/>
      <c r="AH18" s="450"/>
      <c r="AI18" s="366"/>
      <c r="AJ18" s="450"/>
      <c r="AK18" s="366"/>
      <c r="AL18" s="290"/>
    </row>
    <row r="19" spans="1:38" ht="22.5" customHeight="1" x14ac:dyDescent="0.2">
      <c r="A19" s="15">
        <v>17</v>
      </c>
      <c r="B19" s="60"/>
      <c r="C19" s="389"/>
      <c r="D19" s="365"/>
      <c r="E19" s="365"/>
      <c r="F19" s="366"/>
      <c r="G19" s="142">
        <f t="shared" ref="G19:H19" si="2">IFERROR(#REF!,0)</f>
        <v>0</v>
      </c>
      <c r="H19" s="142">
        <f t="shared" si="2"/>
        <v>0</v>
      </c>
      <c r="I19" s="142">
        <f t="shared" ref="I19:K19" si="3">IFERROR(#REF!&amp;"+",0)</f>
        <v>0</v>
      </c>
      <c r="J19" s="142">
        <f t="shared" si="3"/>
        <v>0</v>
      </c>
      <c r="K19" s="142">
        <f t="shared" si="3"/>
        <v>0</v>
      </c>
      <c r="L19" s="449" t="str">
        <f>IFERROR((IF(#REF!="YES",(VLOOKUP(#REF!&amp;C19,Teams!D:M,7,0)&amp;#REF!),#REF!)),"")</f>
        <v/>
      </c>
      <c r="M19" s="365"/>
      <c r="N19" s="365"/>
      <c r="O19" s="365"/>
      <c r="P19" s="365"/>
      <c r="Q19" s="365"/>
      <c r="R19" s="365"/>
      <c r="S19" s="365"/>
      <c r="T19" s="365"/>
      <c r="U19" s="365"/>
      <c r="V19" s="366"/>
      <c r="W19" s="143"/>
      <c r="X19" s="144"/>
      <c r="Y19" s="144"/>
      <c r="Z19" s="144"/>
      <c r="AA19" s="145"/>
      <c r="AB19" s="145"/>
      <c r="AC19" s="145"/>
      <c r="AD19" s="145"/>
      <c r="AE19" s="145"/>
      <c r="AF19" s="450"/>
      <c r="AG19" s="366"/>
      <c r="AH19" s="450"/>
      <c r="AI19" s="366"/>
      <c r="AJ19" s="450"/>
      <c r="AK19" s="366"/>
      <c r="AL19" s="290"/>
    </row>
    <row r="20" spans="1:38" ht="22.5" customHeight="1" x14ac:dyDescent="0.2">
      <c r="A20" s="15">
        <v>18</v>
      </c>
      <c r="B20" s="60"/>
      <c r="C20" s="389"/>
      <c r="D20" s="365"/>
      <c r="E20" s="365"/>
      <c r="F20" s="366"/>
      <c r="G20" s="142">
        <f t="shared" ref="G20:H20" si="4">IFERROR(#REF!,0)</f>
        <v>0</v>
      </c>
      <c r="H20" s="142">
        <f t="shared" si="4"/>
        <v>0</v>
      </c>
      <c r="I20" s="142">
        <f t="shared" ref="I20:K20" si="5">IFERROR(#REF!&amp;"+",0)</f>
        <v>0</v>
      </c>
      <c r="J20" s="142">
        <f t="shared" si="5"/>
        <v>0</v>
      </c>
      <c r="K20" s="142">
        <f t="shared" si="5"/>
        <v>0</v>
      </c>
      <c r="L20" s="449" t="str">
        <f>IFERROR((IF(#REF!="YES",(VLOOKUP(#REF!&amp;C20,Teams!D:M,7,0)&amp;#REF!),#REF!)),"")</f>
        <v/>
      </c>
      <c r="M20" s="365"/>
      <c r="N20" s="365"/>
      <c r="O20" s="365"/>
      <c r="P20" s="365"/>
      <c r="Q20" s="365"/>
      <c r="R20" s="365"/>
      <c r="S20" s="365"/>
      <c r="T20" s="365"/>
      <c r="U20" s="365"/>
      <c r="V20" s="366"/>
      <c r="W20" s="143"/>
      <c r="X20" s="144"/>
      <c r="Y20" s="144"/>
      <c r="Z20" s="144"/>
      <c r="AA20" s="145"/>
      <c r="AB20" s="145"/>
      <c r="AC20" s="145"/>
      <c r="AD20" s="145"/>
      <c r="AE20" s="145"/>
      <c r="AF20" s="450"/>
      <c r="AG20" s="366"/>
      <c r="AH20" s="450"/>
      <c r="AI20" s="366"/>
      <c r="AJ20" s="450"/>
      <c r="AK20" s="366"/>
      <c r="AL20" s="290"/>
    </row>
    <row r="21" spans="1:38" ht="22.5" customHeight="1" x14ac:dyDescent="0.2">
      <c r="A21" s="15">
        <v>19</v>
      </c>
      <c r="B21" s="60"/>
      <c r="C21" s="389"/>
      <c r="D21" s="365"/>
      <c r="E21" s="365"/>
      <c r="F21" s="366"/>
      <c r="G21" s="142">
        <f t="shared" ref="G21:H21" si="6">IFERROR(#REF!,0)</f>
        <v>0</v>
      </c>
      <c r="H21" s="142">
        <f t="shared" si="6"/>
        <v>0</v>
      </c>
      <c r="I21" s="142">
        <f t="shared" ref="I21:K21" si="7">IFERROR(#REF!&amp;"+",0)</f>
        <v>0</v>
      </c>
      <c r="J21" s="142">
        <f t="shared" si="7"/>
        <v>0</v>
      </c>
      <c r="K21" s="142">
        <f t="shared" si="7"/>
        <v>0</v>
      </c>
      <c r="L21" s="449" t="str">
        <f>IFERROR((IF(#REF!="YES",(VLOOKUP(#REF!&amp;C21,Teams!D:M,7,0)&amp;#REF!),#REF!)),"")</f>
        <v/>
      </c>
      <c r="M21" s="365"/>
      <c r="N21" s="365"/>
      <c r="O21" s="365"/>
      <c r="P21" s="365"/>
      <c r="Q21" s="365"/>
      <c r="R21" s="365"/>
      <c r="S21" s="365"/>
      <c r="T21" s="365"/>
      <c r="U21" s="365"/>
      <c r="V21" s="366"/>
      <c r="W21" s="143"/>
      <c r="X21" s="144"/>
      <c r="Y21" s="144"/>
      <c r="Z21" s="144"/>
      <c r="AA21" s="145"/>
      <c r="AB21" s="145"/>
      <c r="AC21" s="145"/>
      <c r="AD21" s="145"/>
      <c r="AE21" s="145"/>
      <c r="AF21" s="450"/>
      <c r="AG21" s="366"/>
      <c r="AH21" s="450"/>
      <c r="AI21" s="366"/>
      <c r="AJ21" s="450"/>
      <c r="AK21" s="366"/>
      <c r="AL21" s="290"/>
    </row>
    <row r="22" spans="1:38" ht="22.5" customHeight="1" x14ac:dyDescent="0.2">
      <c r="A22" s="15">
        <v>20</v>
      </c>
      <c r="B22" s="60"/>
      <c r="C22" s="389"/>
      <c r="D22" s="365"/>
      <c r="E22" s="365"/>
      <c r="F22" s="366"/>
      <c r="G22" s="142">
        <f t="shared" ref="G22:H22" si="8">IFERROR(#REF!,0)</f>
        <v>0</v>
      </c>
      <c r="H22" s="142">
        <f t="shared" si="8"/>
        <v>0</v>
      </c>
      <c r="I22" s="142">
        <f t="shared" ref="I22:K22" si="9">IFERROR(#REF!&amp;"+",0)</f>
        <v>0</v>
      </c>
      <c r="J22" s="142">
        <f t="shared" si="9"/>
        <v>0</v>
      </c>
      <c r="K22" s="142">
        <f t="shared" si="9"/>
        <v>0</v>
      </c>
      <c r="L22" s="449" t="str">
        <f>IFERROR((IF(#REF!="YES",(VLOOKUP(#REF!&amp;C22,Teams!D:M,7,0)&amp;#REF!),#REF!)),"")</f>
        <v/>
      </c>
      <c r="M22" s="365"/>
      <c r="N22" s="365"/>
      <c r="O22" s="365"/>
      <c r="P22" s="365"/>
      <c r="Q22" s="365"/>
      <c r="R22" s="365"/>
      <c r="S22" s="365"/>
      <c r="T22" s="365"/>
      <c r="U22" s="365"/>
      <c r="V22" s="366"/>
      <c r="W22" s="143"/>
      <c r="X22" s="144"/>
      <c r="Y22" s="144"/>
      <c r="Z22" s="144"/>
      <c r="AA22" s="145"/>
      <c r="AB22" s="145"/>
      <c r="AC22" s="145"/>
      <c r="AD22" s="145"/>
      <c r="AE22" s="145"/>
      <c r="AF22" s="450"/>
      <c r="AG22" s="366"/>
      <c r="AH22" s="450"/>
      <c r="AI22" s="366"/>
      <c r="AJ22" s="450"/>
      <c r="AK22" s="366"/>
      <c r="AL22" s="290"/>
    </row>
    <row r="23" spans="1:38" ht="22.5" customHeight="1" x14ac:dyDescent="0.2">
      <c r="A23" s="15">
        <v>21</v>
      </c>
      <c r="B23" s="60"/>
      <c r="C23" s="389"/>
      <c r="D23" s="365"/>
      <c r="E23" s="365"/>
      <c r="F23" s="366"/>
      <c r="G23" s="142">
        <f t="shared" ref="G23:H23" si="10">IFERROR(#REF!,0)</f>
        <v>0</v>
      </c>
      <c r="H23" s="142">
        <f t="shared" si="10"/>
        <v>0</v>
      </c>
      <c r="I23" s="142">
        <f t="shared" ref="I23:K23" si="11">IFERROR(#REF!&amp;"+",0)</f>
        <v>0</v>
      </c>
      <c r="J23" s="142">
        <f t="shared" si="11"/>
        <v>0</v>
      </c>
      <c r="K23" s="142">
        <f t="shared" si="11"/>
        <v>0</v>
      </c>
      <c r="L23" s="449" t="str">
        <f>IFERROR((IF(#REF!="YES",(VLOOKUP(#REF!&amp;C23,Teams!D:M,7,0)&amp;#REF!),#REF!)),"")</f>
        <v/>
      </c>
      <c r="M23" s="365"/>
      <c r="N23" s="365"/>
      <c r="O23" s="365"/>
      <c r="P23" s="365"/>
      <c r="Q23" s="365"/>
      <c r="R23" s="365"/>
      <c r="S23" s="365"/>
      <c r="T23" s="365"/>
      <c r="U23" s="365"/>
      <c r="V23" s="366"/>
      <c r="W23" s="143"/>
      <c r="X23" s="144"/>
      <c r="Y23" s="144"/>
      <c r="Z23" s="144"/>
      <c r="AA23" s="145"/>
      <c r="AB23" s="145"/>
      <c r="AC23" s="145"/>
      <c r="AD23" s="145"/>
      <c r="AE23" s="145"/>
      <c r="AF23" s="450"/>
      <c r="AG23" s="366"/>
      <c r="AH23" s="450"/>
      <c r="AI23" s="366"/>
      <c r="AJ23" s="450"/>
      <c r="AK23" s="366"/>
      <c r="AL23" s="290"/>
    </row>
    <row r="24" spans="1:38" ht="22.5" customHeight="1" x14ac:dyDescent="0.2">
      <c r="A24" s="15">
        <v>22</v>
      </c>
      <c r="B24" s="60"/>
      <c r="C24" s="389"/>
      <c r="D24" s="365"/>
      <c r="E24" s="365"/>
      <c r="F24" s="366"/>
      <c r="G24" s="142">
        <f t="shared" ref="G24:H24" si="12">IFERROR(#REF!,0)</f>
        <v>0</v>
      </c>
      <c r="H24" s="142">
        <f t="shared" si="12"/>
        <v>0</v>
      </c>
      <c r="I24" s="142">
        <f t="shared" ref="I24:K24" si="13">IFERROR(#REF!&amp;"+",0)</f>
        <v>0</v>
      </c>
      <c r="J24" s="142">
        <f t="shared" si="13"/>
        <v>0</v>
      </c>
      <c r="K24" s="142">
        <f t="shared" si="13"/>
        <v>0</v>
      </c>
      <c r="L24" s="449" t="str">
        <f>IFERROR((IF(#REF!="YES",(VLOOKUP(#REF!&amp;C24,Teams!D:M,7,0)&amp;#REF!),#REF!)),"")</f>
        <v/>
      </c>
      <c r="M24" s="365"/>
      <c r="N24" s="365"/>
      <c r="O24" s="365"/>
      <c r="P24" s="365"/>
      <c r="Q24" s="365"/>
      <c r="R24" s="365"/>
      <c r="S24" s="365"/>
      <c r="T24" s="365"/>
      <c r="U24" s="365"/>
      <c r="V24" s="366"/>
      <c r="W24" s="143"/>
      <c r="X24" s="144"/>
      <c r="Y24" s="144"/>
      <c r="Z24" s="144"/>
      <c r="AA24" s="145"/>
      <c r="AB24" s="145"/>
      <c r="AC24" s="145"/>
      <c r="AD24" s="145"/>
      <c r="AE24" s="145"/>
      <c r="AF24" s="450"/>
      <c r="AG24" s="366"/>
      <c r="AH24" s="450"/>
      <c r="AI24" s="366"/>
      <c r="AJ24" s="450"/>
      <c r="AK24" s="366"/>
      <c r="AL24" s="290"/>
    </row>
    <row r="25" spans="1:38" ht="22.5" customHeight="1" x14ac:dyDescent="0.2">
      <c r="A25" s="15">
        <v>23</v>
      </c>
      <c r="B25" s="60"/>
      <c r="C25" s="389"/>
      <c r="D25" s="365"/>
      <c r="E25" s="365"/>
      <c r="F25" s="366"/>
      <c r="G25" s="142">
        <f t="shared" ref="G25:H25" si="14">IFERROR(#REF!,0)</f>
        <v>0</v>
      </c>
      <c r="H25" s="142">
        <f t="shared" si="14"/>
        <v>0</v>
      </c>
      <c r="I25" s="142">
        <f t="shared" ref="I25:K25" si="15">IFERROR(#REF!&amp;"+",0)</f>
        <v>0</v>
      </c>
      <c r="J25" s="142">
        <f t="shared" si="15"/>
        <v>0</v>
      </c>
      <c r="K25" s="142">
        <f t="shared" si="15"/>
        <v>0</v>
      </c>
      <c r="L25" s="449" t="str">
        <f>IFERROR((IF(#REF!="YES",(VLOOKUP(#REF!&amp;C25,Teams!D:M,7,0)&amp;#REF!),#REF!)),"")</f>
        <v/>
      </c>
      <c r="M25" s="365"/>
      <c r="N25" s="365"/>
      <c r="O25" s="365"/>
      <c r="P25" s="365"/>
      <c r="Q25" s="365"/>
      <c r="R25" s="365"/>
      <c r="S25" s="365"/>
      <c r="T25" s="365"/>
      <c r="U25" s="365"/>
      <c r="V25" s="366"/>
      <c r="W25" s="143"/>
      <c r="X25" s="144"/>
      <c r="Y25" s="144"/>
      <c r="Z25" s="144"/>
      <c r="AA25" s="145"/>
      <c r="AB25" s="145"/>
      <c r="AC25" s="145"/>
      <c r="AD25" s="145"/>
      <c r="AE25" s="145"/>
      <c r="AF25" s="450"/>
      <c r="AG25" s="366"/>
      <c r="AH25" s="450"/>
      <c r="AI25" s="366"/>
      <c r="AJ25" s="450"/>
      <c r="AK25" s="366"/>
      <c r="AL25" s="290"/>
    </row>
    <row r="26" spans="1:38" ht="22.5" customHeight="1" x14ac:dyDescent="0.2">
      <c r="A26" s="15">
        <v>24</v>
      </c>
      <c r="B26" s="60"/>
      <c r="C26" s="389"/>
      <c r="D26" s="365"/>
      <c r="E26" s="365"/>
      <c r="F26" s="366"/>
      <c r="G26" s="142">
        <f t="shared" ref="G26:H26" si="16">IFERROR(#REF!,0)</f>
        <v>0</v>
      </c>
      <c r="H26" s="142">
        <f t="shared" si="16"/>
        <v>0</v>
      </c>
      <c r="I26" s="142">
        <f t="shared" ref="I26:K26" si="17">IFERROR(#REF!&amp;"+",0)</f>
        <v>0</v>
      </c>
      <c r="J26" s="142">
        <f t="shared" si="17"/>
        <v>0</v>
      </c>
      <c r="K26" s="142">
        <f t="shared" si="17"/>
        <v>0</v>
      </c>
      <c r="L26" s="449" t="str">
        <f>IFERROR((IF(#REF!="YES",(VLOOKUP(#REF!&amp;C26,Teams!D:M,7,0)&amp;#REF!),#REF!)),"")</f>
        <v/>
      </c>
      <c r="M26" s="365"/>
      <c r="N26" s="365"/>
      <c r="O26" s="365"/>
      <c r="P26" s="365"/>
      <c r="Q26" s="365"/>
      <c r="R26" s="365"/>
      <c r="S26" s="365"/>
      <c r="T26" s="365"/>
      <c r="U26" s="365"/>
      <c r="V26" s="366"/>
      <c r="W26" s="143"/>
      <c r="X26" s="144"/>
      <c r="Y26" s="144"/>
      <c r="Z26" s="144"/>
      <c r="AA26" s="145"/>
      <c r="AB26" s="145"/>
      <c r="AC26" s="145"/>
      <c r="AD26" s="145"/>
      <c r="AE26" s="145"/>
      <c r="AF26" s="450"/>
      <c r="AG26" s="366"/>
      <c r="AH26" s="450"/>
      <c r="AI26" s="366"/>
      <c r="AJ26" s="450"/>
      <c r="AK26" s="366"/>
      <c r="AL26" s="290"/>
    </row>
    <row r="27" spans="1:38" ht="22.5" customHeight="1" x14ac:dyDescent="0.2">
      <c r="A27" s="15">
        <v>25</v>
      </c>
      <c r="B27" s="60"/>
      <c r="C27" s="389"/>
      <c r="D27" s="365"/>
      <c r="E27" s="365"/>
      <c r="F27" s="366"/>
      <c r="G27" s="142">
        <f t="shared" ref="G27:H27" si="18">IFERROR(#REF!,0)</f>
        <v>0</v>
      </c>
      <c r="H27" s="142">
        <f t="shared" si="18"/>
        <v>0</v>
      </c>
      <c r="I27" s="142">
        <f t="shared" ref="I27:K27" si="19">IFERROR(#REF!&amp;"+",0)</f>
        <v>0</v>
      </c>
      <c r="J27" s="142">
        <f t="shared" si="19"/>
        <v>0</v>
      </c>
      <c r="K27" s="142">
        <f t="shared" si="19"/>
        <v>0</v>
      </c>
      <c r="L27" s="449" t="str">
        <f>IFERROR((IF(#REF!="YES",(VLOOKUP(#REF!&amp;C27,Teams!D:M,7,0)&amp;#REF!),#REF!)),"")</f>
        <v/>
      </c>
      <c r="M27" s="365"/>
      <c r="N27" s="365"/>
      <c r="O27" s="365"/>
      <c r="P27" s="365"/>
      <c r="Q27" s="365"/>
      <c r="R27" s="365"/>
      <c r="S27" s="365"/>
      <c r="T27" s="365"/>
      <c r="U27" s="365"/>
      <c r="V27" s="366"/>
      <c r="W27" s="143"/>
      <c r="X27" s="144"/>
      <c r="Y27" s="144"/>
      <c r="Z27" s="144"/>
      <c r="AA27" s="145"/>
      <c r="AB27" s="145"/>
      <c r="AC27" s="145"/>
      <c r="AD27" s="145"/>
      <c r="AE27" s="145"/>
      <c r="AF27" s="450"/>
      <c r="AG27" s="366"/>
      <c r="AH27" s="450"/>
      <c r="AI27" s="366"/>
      <c r="AJ27" s="450"/>
      <c r="AK27" s="366"/>
      <c r="AL27" s="290"/>
    </row>
    <row r="28" spans="1:38" ht="22.5" customHeight="1" x14ac:dyDescent="0.2">
      <c r="A28" s="15">
        <v>26</v>
      </c>
      <c r="B28" s="60"/>
      <c r="C28" s="389"/>
      <c r="D28" s="365"/>
      <c r="E28" s="365"/>
      <c r="F28" s="366"/>
      <c r="G28" s="142">
        <f t="shared" ref="G28:H28" si="20">IFERROR(#REF!,0)</f>
        <v>0</v>
      </c>
      <c r="H28" s="142">
        <f t="shared" si="20"/>
        <v>0</v>
      </c>
      <c r="I28" s="142">
        <f t="shared" ref="I28:K28" si="21">IFERROR(#REF!&amp;"+",0)</f>
        <v>0</v>
      </c>
      <c r="J28" s="142">
        <f t="shared" si="21"/>
        <v>0</v>
      </c>
      <c r="K28" s="142">
        <f t="shared" si="21"/>
        <v>0</v>
      </c>
      <c r="L28" s="449" t="str">
        <f>IFERROR((IF(#REF!="YES",(VLOOKUP(#REF!&amp;C28,Teams!D:M,7,0)&amp;#REF!),#REF!)),"")</f>
        <v/>
      </c>
      <c r="M28" s="365"/>
      <c r="N28" s="365"/>
      <c r="O28" s="365"/>
      <c r="P28" s="365"/>
      <c r="Q28" s="365"/>
      <c r="R28" s="365"/>
      <c r="S28" s="365"/>
      <c r="T28" s="365"/>
      <c r="U28" s="365"/>
      <c r="V28" s="366"/>
      <c r="W28" s="143"/>
      <c r="X28" s="144"/>
      <c r="Y28" s="144"/>
      <c r="Z28" s="144"/>
      <c r="AA28" s="145"/>
      <c r="AB28" s="145"/>
      <c r="AC28" s="145"/>
      <c r="AD28" s="145"/>
      <c r="AE28" s="145"/>
      <c r="AF28" s="450"/>
      <c r="AG28" s="366"/>
      <c r="AH28" s="450"/>
      <c r="AI28" s="366"/>
      <c r="AJ28" s="450"/>
      <c r="AK28" s="366"/>
      <c r="AL28" s="290"/>
    </row>
    <row r="29" spans="1:38" ht="22.5" customHeight="1" x14ac:dyDescent="0.2">
      <c r="A29" s="15">
        <v>27</v>
      </c>
      <c r="B29" s="60"/>
      <c r="C29" s="389"/>
      <c r="D29" s="365"/>
      <c r="E29" s="365"/>
      <c r="F29" s="366"/>
      <c r="G29" s="142">
        <f t="shared" ref="G29:H29" si="22">IFERROR(#REF!,0)</f>
        <v>0</v>
      </c>
      <c r="H29" s="142">
        <f t="shared" si="22"/>
        <v>0</v>
      </c>
      <c r="I29" s="142">
        <f t="shared" ref="I29:K29" si="23">IFERROR(#REF!&amp;"+",0)</f>
        <v>0</v>
      </c>
      <c r="J29" s="142">
        <f t="shared" si="23"/>
        <v>0</v>
      </c>
      <c r="K29" s="142">
        <f t="shared" si="23"/>
        <v>0</v>
      </c>
      <c r="L29" s="449" t="str">
        <f>IFERROR((IF(#REF!="YES",(VLOOKUP(#REF!&amp;C29,Teams!D:M,7,0)&amp;#REF!),#REF!)),"")</f>
        <v/>
      </c>
      <c r="M29" s="365"/>
      <c r="N29" s="365"/>
      <c r="O29" s="365"/>
      <c r="P29" s="365"/>
      <c r="Q29" s="365"/>
      <c r="R29" s="365"/>
      <c r="S29" s="365"/>
      <c r="T29" s="365"/>
      <c r="U29" s="365"/>
      <c r="V29" s="366"/>
      <c r="W29" s="143"/>
      <c r="X29" s="144"/>
      <c r="Y29" s="144"/>
      <c r="Z29" s="144"/>
      <c r="AA29" s="145"/>
      <c r="AB29" s="145"/>
      <c r="AC29" s="145"/>
      <c r="AD29" s="145"/>
      <c r="AE29" s="145"/>
      <c r="AF29" s="450"/>
      <c r="AG29" s="366"/>
      <c r="AH29" s="450"/>
      <c r="AI29" s="366"/>
      <c r="AJ29" s="450"/>
      <c r="AK29" s="366"/>
      <c r="AL29" s="290"/>
    </row>
    <row r="30" spans="1:38" ht="22.5" customHeight="1" x14ac:dyDescent="0.2">
      <c r="A30" s="15">
        <v>28</v>
      </c>
      <c r="B30" s="60"/>
      <c r="C30" s="389"/>
      <c r="D30" s="365"/>
      <c r="E30" s="365"/>
      <c r="F30" s="366"/>
      <c r="G30" s="142">
        <f t="shared" ref="G30:H30" si="24">IFERROR(#REF!,0)</f>
        <v>0</v>
      </c>
      <c r="H30" s="142">
        <f t="shared" si="24"/>
        <v>0</v>
      </c>
      <c r="I30" s="142">
        <f t="shared" ref="I30:K30" si="25">IFERROR(#REF!&amp;"+",0)</f>
        <v>0</v>
      </c>
      <c r="J30" s="142">
        <f t="shared" si="25"/>
        <v>0</v>
      </c>
      <c r="K30" s="142">
        <f t="shared" si="25"/>
        <v>0</v>
      </c>
      <c r="L30" s="449" t="str">
        <f>IFERROR((IF(#REF!="YES",(VLOOKUP(#REF!&amp;C30,Teams!D:M,7,0)&amp;#REF!),#REF!)),"")</f>
        <v/>
      </c>
      <c r="M30" s="365"/>
      <c r="N30" s="365"/>
      <c r="O30" s="365"/>
      <c r="P30" s="365"/>
      <c r="Q30" s="365"/>
      <c r="R30" s="365"/>
      <c r="S30" s="365"/>
      <c r="T30" s="365"/>
      <c r="U30" s="365"/>
      <c r="V30" s="366"/>
      <c r="W30" s="143"/>
      <c r="X30" s="144"/>
      <c r="Y30" s="144"/>
      <c r="Z30" s="144"/>
      <c r="AA30" s="145"/>
      <c r="AB30" s="145"/>
      <c r="AC30" s="145"/>
      <c r="AD30" s="145"/>
      <c r="AE30" s="145"/>
      <c r="AF30" s="450"/>
      <c r="AG30" s="366"/>
      <c r="AH30" s="450"/>
      <c r="AI30" s="366"/>
      <c r="AJ30" s="450"/>
      <c r="AK30" s="366"/>
      <c r="AL30" s="290"/>
    </row>
    <row r="31" spans="1:38" ht="22.5" customHeight="1" x14ac:dyDescent="0.2">
      <c r="A31" s="15">
        <v>29</v>
      </c>
      <c r="B31" s="60"/>
      <c r="C31" s="389"/>
      <c r="D31" s="365"/>
      <c r="E31" s="365"/>
      <c r="F31" s="366"/>
      <c r="G31" s="142">
        <f t="shared" ref="G31:H31" si="26">IFERROR(#REF!,0)</f>
        <v>0</v>
      </c>
      <c r="H31" s="142">
        <f t="shared" si="26"/>
        <v>0</v>
      </c>
      <c r="I31" s="142">
        <f t="shared" ref="I31:K31" si="27">IFERROR(#REF!&amp;"+",0)</f>
        <v>0</v>
      </c>
      <c r="J31" s="142">
        <f t="shared" si="27"/>
        <v>0</v>
      </c>
      <c r="K31" s="142">
        <f t="shared" si="27"/>
        <v>0</v>
      </c>
      <c r="L31" s="449" t="str">
        <f>IFERROR((IF(#REF!="YES",(VLOOKUP(#REF!&amp;C31,Teams!D:M,7,0)&amp;#REF!),#REF!)),"")</f>
        <v/>
      </c>
      <c r="M31" s="365"/>
      <c r="N31" s="365"/>
      <c r="O31" s="365"/>
      <c r="P31" s="365"/>
      <c r="Q31" s="365"/>
      <c r="R31" s="365"/>
      <c r="S31" s="365"/>
      <c r="T31" s="365"/>
      <c r="U31" s="365"/>
      <c r="V31" s="366"/>
      <c r="W31" s="143"/>
      <c r="X31" s="144"/>
      <c r="Y31" s="144"/>
      <c r="Z31" s="144"/>
      <c r="AA31" s="145"/>
      <c r="AB31" s="145"/>
      <c r="AC31" s="145"/>
      <c r="AD31" s="145"/>
      <c r="AE31" s="145"/>
      <c r="AF31" s="450"/>
      <c r="AG31" s="366"/>
      <c r="AH31" s="450"/>
      <c r="AI31" s="366"/>
      <c r="AJ31" s="450"/>
      <c r="AK31" s="366"/>
      <c r="AL31" s="290"/>
    </row>
    <row r="32" spans="1:38" ht="22.5" customHeight="1" x14ac:dyDescent="0.2">
      <c r="A32" s="15">
        <v>30</v>
      </c>
      <c r="B32" s="60"/>
      <c r="C32" s="389"/>
      <c r="D32" s="365"/>
      <c r="E32" s="365"/>
      <c r="F32" s="366"/>
      <c r="G32" s="142">
        <f t="shared" ref="G32:H32" si="28">IFERROR(#REF!,0)</f>
        <v>0</v>
      </c>
      <c r="H32" s="142">
        <f t="shared" si="28"/>
        <v>0</v>
      </c>
      <c r="I32" s="142">
        <f t="shared" ref="I32:K32" si="29">IFERROR(#REF!&amp;"+",0)</f>
        <v>0</v>
      </c>
      <c r="J32" s="142">
        <f t="shared" si="29"/>
        <v>0</v>
      </c>
      <c r="K32" s="142">
        <f t="shared" si="29"/>
        <v>0</v>
      </c>
      <c r="L32" s="449" t="str">
        <f>IFERROR((IF(#REF!="YES",(VLOOKUP(#REF!&amp;C32,Teams!D:M,7,0)&amp;#REF!),#REF!)),"")</f>
        <v/>
      </c>
      <c r="M32" s="365"/>
      <c r="N32" s="365"/>
      <c r="O32" s="365"/>
      <c r="P32" s="365"/>
      <c r="Q32" s="365"/>
      <c r="R32" s="365"/>
      <c r="S32" s="365"/>
      <c r="T32" s="365"/>
      <c r="U32" s="365"/>
      <c r="V32" s="366"/>
      <c r="W32" s="143"/>
      <c r="X32" s="144"/>
      <c r="Y32" s="144"/>
      <c r="Z32" s="144"/>
      <c r="AA32" s="145"/>
      <c r="AB32" s="145"/>
      <c r="AC32" s="145"/>
      <c r="AD32" s="145"/>
      <c r="AE32" s="145"/>
      <c r="AF32" s="450"/>
      <c r="AG32" s="366"/>
      <c r="AH32" s="450"/>
      <c r="AI32" s="366"/>
      <c r="AJ32" s="450"/>
      <c r="AK32" s="366"/>
      <c r="AL32" s="452"/>
    </row>
    <row r="33" spans="1:38" ht="15" customHeight="1" x14ac:dyDescent="0.2">
      <c r="A33" s="454"/>
      <c r="B33" s="303"/>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1:38" ht="15.75" hidden="1" customHeight="1" x14ac:dyDescent="0.2">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1:38" ht="15.75" hidden="1" customHeight="1" x14ac:dyDescent="0.2">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row>
    <row r="36" spans="1:38" ht="15.75" hidden="1" customHeight="1" x14ac:dyDescent="0.2">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row>
    <row r="37" spans="1:38" ht="15.75" hidden="1" customHeight="1" x14ac:dyDescent="0.2">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row>
    <row r="38" spans="1:38" ht="15.75" hidden="1" customHeight="1" x14ac:dyDescent="0.2">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row>
    <row r="39" spans="1:38" ht="15.75" hidden="1" customHeight="1" x14ac:dyDescent="0.2">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row>
    <row r="40" spans="1:38" ht="15.75" hidden="1" customHeight="1" x14ac:dyDescent="0.2">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row>
    <row r="41" spans="1:38" ht="15.75" hidden="1" customHeight="1" x14ac:dyDescent="0.2">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row>
    <row r="42" spans="1:38" ht="15.75" hidden="1" customHeight="1" x14ac:dyDescent="0.2">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row>
    <row r="43" spans="1:38" ht="15.75" hidden="1" customHeight="1" x14ac:dyDescent="0.2">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1:38" ht="15.75" hidden="1" customHeight="1" x14ac:dyDescent="0.2">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row>
    <row r="45" spans="1:38" ht="15.75" hidden="1" customHeight="1" x14ac:dyDescent="0.2">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row>
    <row r="46" spans="1:38" ht="15.75" hidden="1" customHeight="1" x14ac:dyDescent="0.2">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row>
    <row r="47" spans="1:38" ht="15.75" hidden="1" customHeight="1" x14ac:dyDescent="0.2">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row>
    <row r="48" spans="1:38" ht="15.75" hidden="1" customHeight="1" x14ac:dyDescent="0.2">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row>
    <row r="49" spans="1:38" ht="15.75" hidden="1" customHeight="1" x14ac:dyDescent="0.2">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row>
    <row r="50" spans="1:38" ht="15.75" hidden="1" customHeight="1" x14ac:dyDescent="0.2">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row>
    <row r="51" spans="1:38" ht="15.75" hidden="1" customHeight="1" x14ac:dyDescent="0.2">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row>
    <row r="52" spans="1:38" ht="15.75" hidden="1" customHeight="1" x14ac:dyDescent="0.2">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row>
    <row r="53" spans="1:38" ht="15.75" hidden="1" customHeight="1" x14ac:dyDescent="0.2">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row>
    <row r="54" spans="1:38" ht="15.75" hidden="1" customHeight="1" x14ac:dyDescent="0.2">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row>
    <row r="55" spans="1:38" ht="15.75" hidden="1" customHeight="1" x14ac:dyDescent="0.2">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row>
    <row r="56" spans="1:38" ht="15.75" hidden="1" customHeight="1" x14ac:dyDescent="0.2">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row>
    <row r="57" spans="1:38" ht="15.75" hidden="1" customHeight="1" x14ac:dyDescent="0.2">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row>
    <row r="58" spans="1:38" ht="15.75" hidden="1" customHeight="1" x14ac:dyDescent="0.2">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row>
    <row r="59" spans="1:38" ht="15.75" hidden="1" customHeight="1" x14ac:dyDescent="0.2">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row>
    <row r="60" spans="1:38" ht="15.75" hidden="1" customHeight="1" x14ac:dyDescent="0.2">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row>
    <row r="61" spans="1:38" ht="15.75" hidden="1" customHeight="1" x14ac:dyDescent="0.2">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row>
    <row r="62" spans="1:38" ht="15.75" hidden="1" customHeight="1" x14ac:dyDescent="0.2">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row>
    <row r="63" spans="1:38" ht="15.75" hidden="1" customHeight="1" x14ac:dyDescent="0.2">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row>
    <row r="64" spans="1:38" ht="15.75" hidden="1" customHeight="1" x14ac:dyDescent="0.2">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row>
    <row r="65" spans="1:38" ht="15.75" hidden="1" customHeight="1" x14ac:dyDescent="0.2">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row>
    <row r="66" spans="1:38" ht="15.75" hidden="1" customHeight="1" x14ac:dyDescent="0.2">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row>
    <row r="67" spans="1:38" ht="15.75" hidden="1" customHeight="1" x14ac:dyDescent="0.2">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row>
    <row r="68" spans="1:38" ht="15.75" hidden="1" customHeight="1" x14ac:dyDescent="0.2">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row>
    <row r="69" spans="1:38" ht="15.75" hidden="1" customHeight="1" x14ac:dyDescent="0.2">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row>
    <row r="70" spans="1:38" ht="15.75" hidden="1" customHeight="1" x14ac:dyDescent="0.2">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row>
    <row r="71" spans="1:38" ht="15.75" hidden="1" customHeight="1" x14ac:dyDescent="0.2">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row>
    <row r="72" spans="1:38" ht="15.75" hidden="1" customHeight="1" x14ac:dyDescent="0.2">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row>
    <row r="73" spans="1:38" ht="15.75" hidden="1" customHeight="1" x14ac:dyDescent="0.2">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row>
    <row r="74" spans="1:38" ht="15.75" hidden="1" customHeight="1" x14ac:dyDescent="0.2">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row>
    <row r="75" spans="1:38" ht="15.75" hidden="1" customHeight="1" x14ac:dyDescent="0.2">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row>
    <row r="76" spans="1:38" ht="15.75" hidden="1" customHeight="1" x14ac:dyDescent="0.2">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row>
    <row r="77" spans="1:38" ht="15.75" hidden="1" customHeight="1" x14ac:dyDescent="0.2">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row>
    <row r="78" spans="1:38" ht="15.75" hidden="1" customHeigh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row>
    <row r="79" spans="1:38" ht="15.75" hidden="1"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row>
    <row r="80" spans="1:38" ht="15.75" hidden="1" customHeight="1" x14ac:dyDescent="0.2">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row>
    <row r="81" spans="1:38" ht="15.75" hidden="1"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row>
    <row r="82" spans="1:38" ht="15.75" hidden="1"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row>
    <row r="83" spans="1:38" ht="15.75" hidden="1"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row>
    <row r="84" spans="1:38" ht="15.75" hidden="1" customHeight="1" x14ac:dyDescent="0.2">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row>
    <row r="85" spans="1:38" ht="15.75" hidden="1"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row>
    <row r="86" spans="1:38" ht="15.75" hidden="1"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row>
    <row r="87" spans="1:38" ht="15.75" hidden="1"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row>
    <row r="88" spans="1:38" ht="15.75" hidden="1"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row>
    <row r="89" spans="1:38" ht="15.75" hidden="1"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row>
    <row r="90" spans="1:38" ht="15.75" hidden="1"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row>
    <row r="91" spans="1:38" ht="15.75" hidden="1"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row>
    <row r="92" spans="1:38" ht="15.75" hidden="1"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row>
    <row r="93" spans="1:38" ht="15.75" hidden="1"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row>
    <row r="94" spans="1:38" ht="15.75" hidden="1"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row>
    <row r="95" spans="1:38" ht="15.75" hidden="1"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row>
    <row r="96" spans="1:38" ht="15.75" hidden="1"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row>
    <row r="97" spans="1:38" ht="15.75" hidden="1"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row>
    <row r="98" spans="1:38" ht="15.75" hidden="1"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row>
    <row r="99" spans="1:38" ht="15.75" hidden="1"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row>
    <row r="100" spans="1:38" ht="15.75" hidden="1"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row>
    <row r="101" spans="1:38" ht="15.75" hidden="1"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row>
    <row r="102" spans="1:38" ht="15.75" hidden="1"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row>
    <row r="103" spans="1:38" ht="15.75" hidden="1"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row>
    <row r="104" spans="1:38" ht="15.75" hidden="1"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row>
    <row r="105" spans="1:38" ht="15.75" hidden="1"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row>
    <row r="106" spans="1:38" ht="15.75" hidden="1"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row>
    <row r="107" spans="1:38" ht="15.75" hidden="1"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row>
    <row r="108" spans="1:38" ht="15.75" hidden="1"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row>
    <row r="109" spans="1:38" ht="15.75" hidden="1"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row>
    <row r="110" spans="1:38" ht="15.75" hidden="1"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row>
    <row r="111" spans="1:38" ht="15.75" hidden="1"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row>
    <row r="112" spans="1:38" ht="15.75" hidden="1"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row>
    <row r="113" spans="1:38" ht="15.75" hidden="1"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row>
    <row r="114" spans="1:38" ht="15.75" hidden="1"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row>
    <row r="115" spans="1:38" ht="15.75" hidden="1"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row>
    <row r="116" spans="1:38" ht="15.75" hidden="1"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row>
    <row r="117" spans="1:38" ht="15.75" hidden="1"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1:38" ht="15.75" hidden="1"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row>
    <row r="119" spans="1:38" ht="15.75" hidden="1"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row>
    <row r="120" spans="1:38" ht="15.75" hidden="1"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row>
    <row r="121" spans="1:38" ht="15.75" hidden="1"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row>
    <row r="122" spans="1:38" ht="15.75" hidden="1"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row>
    <row r="123" spans="1:38" ht="15.75" hidden="1"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row>
    <row r="124" spans="1:38" ht="15.75" hidden="1"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row>
    <row r="125" spans="1:38" ht="15.75" hidden="1"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row>
    <row r="126" spans="1:38" ht="15.75" hidden="1"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row>
    <row r="127" spans="1:38" ht="15.75" hidden="1"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row>
    <row r="128" spans="1:38" ht="15.75" hidden="1"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row>
    <row r="129" spans="1:38" ht="15.75" hidden="1"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row>
    <row r="130" spans="1:38" ht="15.75" hidden="1"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row>
    <row r="131" spans="1:38" ht="15.75" hidden="1"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row>
    <row r="132" spans="1:38" ht="15.75" hidden="1"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row>
    <row r="133" spans="1:38" ht="15.75" hidden="1"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row>
    <row r="134" spans="1:38" ht="15.75" hidden="1"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row>
    <row r="135" spans="1:38" ht="15.75" hidden="1"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row>
    <row r="136" spans="1:38" ht="15.75" hidden="1"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row>
    <row r="137" spans="1:38" ht="15.75" hidden="1"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row>
    <row r="138" spans="1:38" ht="15.75" hidden="1"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row>
    <row r="139" spans="1:38" ht="15.75" hidden="1"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row>
    <row r="140" spans="1:38" ht="15.75" hidden="1"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row>
    <row r="141" spans="1:38" ht="15.75" hidden="1"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row>
    <row r="142" spans="1:38" ht="15.75" hidden="1"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row>
    <row r="143" spans="1:38" ht="15.75" hidden="1"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row>
    <row r="144" spans="1:38" ht="15.75" hidden="1"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row>
    <row r="145" spans="1:38" ht="15.75" hidden="1"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row>
    <row r="146" spans="1:38" ht="15.75" hidden="1"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row>
    <row r="147" spans="1:38" ht="15.75" hidden="1"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row>
    <row r="148" spans="1:38" ht="15.75" hidden="1"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row>
    <row r="149" spans="1:38" ht="15.75" hidden="1"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row>
    <row r="150" spans="1:38" ht="15.75" hidden="1"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row>
    <row r="151" spans="1:38" ht="15.75" hidden="1"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row>
    <row r="152" spans="1:38" ht="15.75" hidden="1"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row>
    <row r="153" spans="1:38" ht="15.75" hidden="1"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row>
    <row r="154" spans="1:38" ht="15.75" hidden="1"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row>
    <row r="155" spans="1:38" ht="15.75" hidden="1"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row>
    <row r="156" spans="1:38" ht="15.75" hidden="1"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row>
    <row r="157" spans="1:38" ht="15.75" hidden="1"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row>
    <row r="158" spans="1:38" ht="15.75" hidden="1"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row>
    <row r="159" spans="1:38" ht="15.75" hidden="1"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row>
    <row r="160" spans="1:38" ht="15.75" hidden="1"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row>
    <row r="161" spans="1:38" ht="15.75" hidden="1"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row>
    <row r="162" spans="1:38" ht="15.75" hidden="1"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row>
    <row r="163" spans="1:38" ht="15.75" hidden="1"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row>
    <row r="164" spans="1:38" ht="15.75" hidden="1"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row>
    <row r="165" spans="1:38" ht="15.75" hidden="1"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row>
    <row r="166" spans="1:38" ht="15.75" hidden="1"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row>
    <row r="167" spans="1:38" ht="15.75" hidden="1"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row>
    <row r="168" spans="1:38" ht="15.75" hidden="1"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row>
    <row r="169" spans="1:38" ht="15.75" hidden="1"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row>
    <row r="170" spans="1:38" ht="15.75" hidden="1"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row>
    <row r="171" spans="1:38" ht="15.75" hidden="1"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row>
    <row r="172" spans="1:38" ht="15.75" hidden="1"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row>
    <row r="173" spans="1:38" ht="15.75" hidden="1"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row>
    <row r="174" spans="1:38" ht="15.75" hidden="1"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row>
    <row r="175" spans="1:38" ht="15.75" hidden="1"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row>
    <row r="176" spans="1:38" ht="15.75" hidden="1"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row>
    <row r="177" spans="1:38" ht="15.75" hidden="1"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row>
    <row r="178" spans="1:38" ht="15.75" hidden="1"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row>
    <row r="179" spans="1:38" ht="15.75" hidden="1"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row>
    <row r="180" spans="1:38" ht="15.75" hidden="1"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row>
    <row r="181" spans="1:38" ht="15.75" hidden="1"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row>
    <row r="182" spans="1:38" ht="15.75" hidden="1"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row>
    <row r="183" spans="1:38" ht="15.75" hidden="1"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row>
    <row r="184" spans="1:38" ht="15.75" hidden="1"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row>
    <row r="185" spans="1:38" ht="15.75" hidden="1"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row>
    <row r="186" spans="1:38" ht="15.75" hidden="1"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row>
    <row r="187" spans="1:38" ht="15.75" hidden="1"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row>
    <row r="188" spans="1:38" ht="15.75" hidden="1"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row>
    <row r="189" spans="1:38" ht="15.75" hidden="1"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row>
    <row r="190" spans="1:38" ht="15.75" hidden="1"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row>
    <row r="191" spans="1:38" ht="15.75" hidden="1"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row>
    <row r="192" spans="1:38" ht="15.75" hidden="1"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row>
    <row r="193" spans="1:38" ht="15.75" hidden="1"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row>
    <row r="194" spans="1:38" ht="15.75" hidden="1"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row>
    <row r="195" spans="1:38" ht="15.75" hidden="1"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row>
    <row r="196" spans="1:38" ht="15.75" hidden="1"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row>
    <row r="197" spans="1:38" ht="15.75" hidden="1"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row>
    <row r="198" spans="1:38" ht="15.75" hidden="1"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row>
    <row r="199" spans="1:38" ht="15.75" hidden="1"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row>
    <row r="200" spans="1:38" ht="15.75" hidden="1"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row>
    <row r="201" spans="1:38" ht="15.75" hidden="1"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row>
    <row r="202" spans="1:38" ht="15.75" hidden="1"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row>
    <row r="203" spans="1:38" ht="15.75" hidden="1"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row>
    <row r="204" spans="1:38" ht="15.75" hidden="1"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row>
    <row r="205" spans="1:38" ht="15.75" hidden="1"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row>
    <row r="206" spans="1:38" ht="15.75" hidden="1"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row>
    <row r="207" spans="1:38" ht="15.75" hidden="1"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row>
    <row r="208" spans="1:38" ht="15.75" hidden="1"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row>
    <row r="209" spans="1:38" ht="15.75" hidden="1"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row>
    <row r="210" spans="1:38" ht="15.75" hidden="1"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row>
    <row r="211" spans="1:38" ht="15.75" hidden="1"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row>
    <row r="212" spans="1:38" ht="15.75" hidden="1"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row>
    <row r="213" spans="1:38" ht="15.75" hidden="1"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row>
    <row r="214" spans="1:38" ht="15.75" hidden="1"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row>
    <row r="215" spans="1:38" ht="15.75" hidden="1"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row>
    <row r="216" spans="1:38" ht="15.75" hidden="1"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row>
    <row r="217" spans="1:38" ht="15.75" hidden="1"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row>
    <row r="218" spans="1:38" ht="15.75" hidden="1"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row>
    <row r="219" spans="1:38" ht="15.75" hidden="1"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row>
    <row r="220" spans="1:38" ht="15.75" hidden="1"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row>
    <row r="221" spans="1:38" ht="15.75" hidden="1"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row>
    <row r="222" spans="1:38" ht="15.75" hidden="1"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row>
    <row r="223" spans="1:38" ht="15.75" hidden="1"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row>
    <row r="224" spans="1:38" ht="15.75" hidden="1"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row>
    <row r="225" spans="1:38" ht="15.75" hidden="1"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row>
    <row r="226" spans="1:38" ht="15.75" hidden="1"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row>
    <row r="227" spans="1:38" ht="15.75" hidden="1"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row>
    <row r="228" spans="1:38" ht="15.75" hidden="1"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row>
    <row r="229" spans="1:38" ht="15.75" hidden="1"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row>
    <row r="230" spans="1:38" ht="15.75" hidden="1"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row>
    <row r="231" spans="1:38" ht="15.75" hidden="1"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row>
    <row r="232" spans="1:38" ht="15.75" hidden="1"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row>
    <row r="233" spans="1:38" ht="15.75" hidden="1"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row>
    <row r="234" spans="1:38" ht="15.75" hidden="1"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row>
    <row r="235" spans="1:38" ht="15.75" hidden="1"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row>
    <row r="236" spans="1:38" ht="15.75" hidden="1"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row>
    <row r="237" spans="1:38" ht="15.75" hidden="1"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row>
    <row r="238" spans="1:38" ht="15.75" hidden="1"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row>
    <row r="239" spans="1:38" ht="15.75" hidden="1"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row>
    <row r="240" spans="1:38" ht="15.75" hidden="1"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row>
    <row r="241" spans="1:38" ht="15.75" hidden="1"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row>
    <row r="242" spans="1:38" ht="15.75" hidden="1"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row>
    <row r="243" spans="1:38" ht="15.75" hidden="1"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row>
    <row r="244" spans="1:38" ht="15.75" hidden="1"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row>
    <row r="245" spans="1:38" ht="15.75" hidden="1"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row>
    <row r="246" spans="1:38" ht="15.75" hidden="1"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row>
    <row r="247" spans="1:38" ht="15.75" hidden="1"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row>
    <row r="248" spans="1:38" ht="15.75" hidden="1"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row>
    <row r="249" spans="1:38" ht="15.75" hidden="1"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row>
    <row r="250" spans="1:38" ht="15.75" hidden="1"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row>
    <row r="251" spans="1:38" ht="15.75" hidden="1"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row>
    <row r="252" spans="1:38" ht="15.75" hidden="1"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row>
    <row r="253" spans="1:38" ht="15.75" hidden="1"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row>
    <row r="254" spans="1:38" ht="15.75" hidden="1"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row>
    <row r="255" spans="1:38" ht="15.75" hidden="1"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row>
    <row r="256" spans="1:38" ht="15.75" hidden="1"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row>
    <row r="257" spans="1:38" ht="15.75" hidden="1"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row>
    <row r="258" spans="1:38" ht="15.75" hidden="1"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75" hidden="1"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row>
    <row r="260" spans="1:38" ht="15.75" hidden="1"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row>
    <row r="261" spans="1:38" ht="15.75" hidden="1"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row>
    <row r="262" spans="1:38" ht="15.75" hidden="1"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row>
    <row r="263" spans="1:38" ht="15.75" hidden="1"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row>
    <row r="264" spans="1:38" ht="15.75" hidden="1"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row>
    <row r="265" spans="1:38" ht="15.75" hidden="1"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row>
    <row r="266" spans="1:38" ht="15.75" hidden="1"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row>
    <row r="267" spans="1:38" ht="15.75" hidden="1"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row>
    <row r="268" spans="1:38" ht="15.75" hidden="1"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row>
    <row r="269" spans="1:38" ht="15.75" hidden="1"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row>
    <row r="270" spans="1:38" ht="15.75" hidden="1"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row>
    <row r="271" spans="1:38" ht="15.75" hidden="1"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row>
    <row r="272" spans="1:38" ht="15.75" hidden="1"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row>
    <row r="273" spans="1:38" ht="15.75" hidden="1"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row>
    <row r="274" spans="1:38" ht="15.75" hidden="1"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row>
    <row r="275" spans="1:38" ht="15.75" hidden="1"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row>
    <row r="276" spans="1:38" ht="15.75" hidden="1"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row>
    <row r="277" spans="1:38" ht="15.75" hidden="1"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row>
    <row r="278" spans="1:38" ht="15.75" hidden="1"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row>
    <row r="279" spans="1:38" ht="15.75" hidden="1"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row>
    <row r="280" spans="1:38" ht="15.75" hidden="1"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row>
    <row r="281" spans="1:38" ht="15.75" hidden="1"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ht="15.75" hidden="1"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ht="15.75" hidden="1"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ht="15.75" hidden="1"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ht="15.75" hidden="1"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ht="15.75" hidden="1"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ht="15.75" hidden="1"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ht="15.75" hidden="1"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ht="15.75" hidden="1"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ht="15.75" hidden="1"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ht="15.75" hidden="1"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ht="15.75" hidden="1"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15.75" hidden="1"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ht="15.75" hidden="1"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ht="15.75" hidden="1"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ht="15.75" hidden="1"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ht="15.75" hidden="1"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ht="15.75" hidden="1"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ht="15.75" hidden="1"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ht="15.75" hidden="1"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ht="15.75" hidden="1"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ht="15.75" hidden="1"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ht="15.75" hidden="1"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ht="15.75" hidden="1"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ht="15.75" hidden="1"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ht="15.75" hidden="1"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ht="15.75" hidden="1"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ht="15.75" hidden="1"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ht="15.75" hidden="1"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ht="15.75" hidden="1"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ht="15.75" hidden="1"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75" hidden="1"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ht="15.75" hidden="1"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ht="15.75" hidden="1"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ht="15.75" hidden="1"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ht="15.75" hidden="1"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ht="15.75" hidden="1"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ht="15.75" hidden="1"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ht="15.75" hidden="1"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ht="15.75" hidden="1"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ht="15.75" hidden="1"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ht="15.75" hidden="1"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ht="15.75" hidden="1"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ht="15.75" hidden="1"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ht="15.75" hidden="1"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ht="15.75" hidden="1"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ht="15.75" hidden="1"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ht="15.75" hidden="1"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ht="15.75" hidden="1"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ht="15.75" hidden="1"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row>
    <row r="331" spans="1:38" ht="15.75" hidden="1"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row>
    <row r="332" spans="1:38" ht="15.75" hidden="1"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row>
    <row r="333" spans="1:38" ht="15.75" hidden="1"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row>
    <row r="334" spans="1:38" ht="15.75" hidden="1"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row>
    <row r="335" spans="1:38" ht="15.75" hidden="1"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row>
    <row r="336" spans="1:38" ht="15.75" hidden="1"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row>
    <row r="337" spans="1:38" ht="15.75" hidden="1"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row>
    <row r="338" spans="1:38" ht="15.75" hidden="1"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row>
    <row r="339" spans="1:38" ht="15.75" hidden="1"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row>
    <row r="340" spans="1:38" ht="15.75" hidden="1"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row>
    <row r="341" spans="1:38" ht="15.75" hidden="1"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row>
    <row r="342" spans="1:38" ht="15.75" hidden="1"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row>
    <row r="343" spans="1:38" ht="15.75" hidden="1"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row>
    <row r="344" spans="1:38" ht="15.75" hidden="1"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row>
    <row r="345" spans="1:38" ht="15.75" hidden="1"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row>
    <row r="346" spans="1:38" ht="15.75" hidden="1"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row>
    <row r="347" spans="1:38" ht="15.75" hidden="1"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row>
    <row r="348" spans="1:38" ht="15.75" hidden="1"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row>
    <row r="349" spans="1:38" ht="15.75" hidden="1"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row>
    <row r="350" spans="1:38" ht="15.75" hidden="1"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row>
    <row r="351" spans="1:38" ht="15.75" hidden="1"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row>
    <row r="352" spans="1:38" ht="15.75" hidden="1"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row>
    <row r="353" spans="1:38" ht="15.75" hidden="1"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row>
    <row r="354" spans="1:38" ht="15.75" hidden="1"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row>
    <row r="355" spans="1:38" ht="15.75" hidden="1"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row>
    <row r="356" spans="1:38" ht="15.75" hidden="1"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row>
    <row r="357" spans="1:38" ht="15.75" hidden="1"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row>
    <row r="358" spans="1:38" ht="15.75" hidden="1"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row>
    <row r="359" spans="1:38" ht="15.75" hidden="1"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row>
    <row r="360" spans="1:38" ht="15.75" hidden="1"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row>
    <row r="361" spans="1:38" ht="15.75" hidden="1"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row>
    <row r="362" spans="1:38" ht="15.75" hidden="1"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row>
    <row r="363" spans="1:38" ht="15.75" hidden="1"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row>
    <row r="364" spans="1:38" ht="15.75" hidden="1"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row>
    <row r="365" spans="1:38" ht="15.75" hidden="1"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row>
    <row r="366" spans="1:38" ht="15.75" hidden="1"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row>
    <row r="367" spans="1:38" ht="15.75" hidden="1"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row>
    <row r="368" spans="1:38" ht="15.75" hidden="1"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row>
    <row r="369" spans="1:38" ht="15.75" hidden="1"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row>
    <row r="370" spans="1:38" ht="15.75" hidden="1"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row>
    <row r="371" spans="1:38" ht="15.75" hidden="1"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row>
    <row r="372" spans="1:38" ht="15.75" hidden="1"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row>
    <row r="373" spans="1:38" ht="15.75" hidden="1"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row>
    <row r="374" spans="1:38" ht="15.75" hidden="1"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row>
    <row r="375" spans="1:38" ht="15.75" hidden="1"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row>
    <row r="376" spans="1:38" ht="15.75" hidden="1"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row>
    <row r="377" spans="1:38" ht="15.75" hidden="1"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row>
    <row r="378" spans="1:38" ht="15.75" hidden="1"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row>
    <row r="379" spans="1:38" ht="15.75" hidden="1"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row>
    <row r="380" spans="1:38" ht="15.75" hidden="1"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row>
    <row r="381" spans="1:38" ht="15.75" hidden="1"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row>
    <row r="382" spans="1:38" ht="15.75" hidden="1"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row>
    <row r="383" spans="1:38" ht="15.75" hidden="1"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row>
    <row r="384" spans="1:38" ht="15.75" hidden="1"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row>
    <row r="385" spans="1:38" ht="15.75" hidden="1"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row>
    <row r="386" spans="1:38" ht="15.75" hidden="1"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row>
    <row r="387" spans="1:38" ht="15.75" hidden="1"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row>
    <row r="388" spans="1:38" ht="15.75" hidden="1"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row>
    <row r="389" spans="1:38" ht="15.75" hidden="1"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row>
    <row r="390" spans="1:38" ht="15.75" hidden="1"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row>
    <row r="391" spans="1:38" ht="15.75" hidden="1"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row>
    <row r="392" spans="1:38" ht="15.75" hidden="1"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row>
    <row r="393" spans="1:38" ht="15.75" hidden="1"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row>
    <row r="394" spans="1:38" ht="15.75" hidden="1"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row>
    <row r="395" spans="1:38" ht="15.75" hidden="1"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row>
    <row r="396" spans="1:38" ht="15.75" hidden="1"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row>
    <row r="397" spans="1:38" ht="15.75" hidden="1"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row>
    <row r="398" spans="1:38" ht="15.75" hidden="1"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row>
    <row r="399" spans="1:38" ht="15.75" hidden="1"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row>
    <row r="400" spans="1:38" ht="15.75" hidden="1"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row>
    <row r="401" spans="1:38" ht="15.75" hidden="1"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row>
    <row r="402" spans="1:38" ht="15.75" hidden="1"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row>
    <row r="403" spans="1:38" ht="15.75" hidden="1"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row>
    <row r="404" spans="1:38" ht="15.75" hidden="1"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row>
    <row r="405" spans="1:38" ht="15.75" hidden="1"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row>
    <row r="406" spans="1:38" ht="15.75" hidden="1"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row>
    <row r="407" spans="1:38" ht="15.75" hidden="1"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row>
    <row r="408" spans="1:38" ht="15.75" hidden="1"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row>
    <row r="409" spans="1:38" ht="15.75" hidden="1"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row>
    <row r="410" spans="1:38" ht="15.75" hidden="1"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row>
    <row r="411" spans="1:38" ht="15.75" hidden="1"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row>
    <row r="412" spans="1:38" ht="15.75" hidden="1"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row>
    <row r="413" spans="1:38" ht="15.75" hidden="1"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row>
    <row r="414" spans="1:38" ht="15.75" hidden="1"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row>
    <row r="415" spans="1:38" ht="15.75" hidden="1"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row>
    <row r="416" spans="1:38" ht="15.75" hidden="1"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row>
    <row r="417" spans="1:38" ht="15.75" hidden="1"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row>
    <row r="418" spans="1:38" ht="15.75" hidden="1"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row>
    <row r="419" spans="1:38" ht="15.75" hidden="1"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row>
    <row r="420" spans="1:38" ht="15.75" hidden="1"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row>
    <row r="421" spans="1:38" ht="15.75" hidden="1"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row>
    <row r="422" spans="1:38" ht="15.75" hidden="1"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row>
    <row r="423" spans="1:38" ht="15.75" hidden="1"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row>
    <row r="424" spans="1:38" ht="15.75" hidden="1"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row>
    <row r="425" spans="1:38" ht="15.75" hidden="1"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row>
    <row r="426" spans="1:38" ht="15.75" hidden="1"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L426" s="8"/>
    </row>
    <row r="427" spans="1:38" ht="15.75" hidden="1"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row>
    <row r="428" spans="1:38" ht="15.75" hidden="1"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row>
    <row r="429" spans="1:38" ht="15.75" hidden="1"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row>
    <row r="430" spans="1:38" ht="15.75" hidden="1"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row>
    <row r="431" spans="1:38" ht="15.75" hidden="1"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row>
    <row r="432" spans="1:38" ht="15.75" hidden="1"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row>
    <row r="433" spans="1:38" ht="15.75" hidden="1"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row>
    <row r="434" spans="1:38" ht="15.75" hidden="1"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L434" s="8"/>
    </row>
    <row r="435" spans="1:38" ht="15.75" hidden="1"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row>
    <row r="436" spans="1:38" ht="15.75" hidden="1"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row>
    <row r="437" spans="1:38" ht="15.75" hidden="1"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row>
    <row r="438" spans="1:38" ht="15.75" hidden="1"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row>
    <row r="439" spans="1:38" ht="15.75" hidden="1"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row>
    <row r="440" spans="1:38" ht="15.75" hidden="1"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row>
    <row r="441" spans="1:38" ht="15.75" hidden="1"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row>
    <row r="442" spans="1:38" ht="15.75" hidden="1"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row>
    <row r="443" spans="1:38" ht="15.75" hidden="1"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row>
    <row r="444" spans="1:38" ht="15.75" hidden="1"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row>
    <row r="445" spans="1:38" ht="15.75" hidden="1"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row>
    <row r="446" spans="1:38" ht="15.75" hidden="1"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L446" s="8"/>
    </row>
    <row r="447" spans="1:38" ht="15.75" hidden="1"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L447" s="8"/>
    </row>
    <row r="448" spans="1:38" ht="15.75" hidden="1"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row>
    <row r="449" spans="1:38" ht="15.75" hidden="1"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row>
    <row r="450" spans="1:38" ht="15.75" hidden="1"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row>
    <row r="451" spans="1:38" ht="15.75" hidden="1"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row>
    <row r="452" spans="1:38" ht="15.75" hidden="1"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row>
    <row r="453" spans="1:38" ht="15.75" hidden="1"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row>
    <row r="454" spans="1:38" ht="15.75" hidden="1"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row>
    <row r="455" spans="1:38" ht="15.75" hidden="1"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row>
    <row r="456" spans="1:38" ht="15.75" hidden="1"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row>
    <row r="457" spans="1:38" ht="15.75" hidden="1"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row>
    <row r="458" spans="1:38" ht="15.75" hidden="1"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row>
    <row r="459" spans="1:38" ht="15.75" hidden="1"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row>
    <row r="460" spans="1:38" ht="15.75" hidden="1"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row>
    <row r="461" spans="1:38" ht="15.75" hidden="1"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row>
    <row r="462" spans="1:38" ht="15.75" hidden="1"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row>
    <row r="463" spans="1:38" ht="15.75" hidden="1"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row>
    <row r="464" spans="1:38" ht="15.75" hidden="1"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row>
    <row r="465" spans="1:38" ht="15.75" hidden="1"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row>
    <row r="466" spans="1:38" ht="15.75" hidden="1"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row>
    <row r="467" spans="1:38" ht="15.75" hidden="1"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row>
    <row r="468" spans="1:38" ht="15.75" hidden="1"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row>
    <row r="469" spans="1:38" ht="15.75" hidden="1"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row>
    <row r="470" spans="1:38" ht="15.75" hidden="1"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row>
    <row r="471" spans="1:38" ht="15.75" hidden="1"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row>
    <row r="472" spans="1:38" ht="15.75" hidden="1"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row>
    <row r="473" spans="1:38" ht="15.75" hidden="1"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row>
    <row r="474" spans="1:38" ht="15.75" hidden="1"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row>
    <row r="475" spans="1:38" ht="15.75" hidden="1"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row>
    <row r="476" spans="1:38" ht="15.75" hidden="1"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row>
    <row r="477" spans="1:38" ht="15.75" hidden="1"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row>
    <row r="478" spans="1:38" ht="15.75" hidden="1"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row>
    <row r="479" spans="1:38" ht="15.75" hidden="1"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row>
    <row r="480" spans="1:38" ht="15.75" hidden="1"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row>
    <row r="481" spans="1:38" ht="15.75" hidden="1"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row>
    <row r="482" spans="1:38" ht="15.75" hidden="1"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row>
    <row r="483" spans="1:38" ht="15.75" hidden="1"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row>
    <row r="484" spans="1:38" ht="15.75" hidden="1"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row>
    <row r="485" spans="1:38" ht="15.75" hidden="1"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row>
    <row r="486" spans="1:38" ht="15.75" hidden="1"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row>
    <row r="487" spans="1:38" ht="15.75" hidden="1"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row>
    <row r="488" spans="1:38" ht="15.75" hidden="1"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row>
    <row r="489" spans="1:38" ht="15.75" hidden="1"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row>
    <row r="490" spans="1:38" ht="15.75" hidden="1"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row>
    <row r="491" spans="1:38" ht="15.75" hidden="1"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row>
    <row r="492" spans="1:38" ht="15.75" hidden="1"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row>
    <row r="493" spans="1:38" ht="15.75" hidden="1"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row>
    <row r="494" spans="1:38" ht="15.75" hidden="1"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row>
    <row r="495" spans="1:38" ht="15.75" hidden="1"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row>
    <row r="496" spans="1:38" ht="15.75" hidden="1"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row>
    <row r="497" spans="1:38" ht="15.75" hidden="1"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row>
    <row r="498" spans="1:38" ht="15.75" hidden="1"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row>
    <row r="499" spans="1:38" ht="15.75" hidden="1"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row>
    <row r="500" spans="1:38" ht="15.75" hidden="1"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row>
    <row r="501" spans="1:38" ht="15.75" hidden="1"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row>
    <row r="502" spans="1:38" ht="15.75" hidden="1"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row>
    <row r="503" spans="1:38" ht="15.75" hidden="1"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row>
    <row r="504" spans="1:38" ht="15.75" hidden="1"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row>
    <row r="505" spans="1:38" ht="15.75" hidden="1"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row>
    <row r="506" spans="1:38" ht="15.75" hidden="1"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row>
    <row r="507" spans="1:38" ht="15.75" hidden="1"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row>
    <row r="508" spans="1:38" ht="15.75" hidden="1"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row>
    <row r="509" spans="1:38" ht="15.75" hidden="1"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row>
    <row r="510" spans="1:38" ht="15.75" hidden="1"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row>
    <row r="511" spans="1:38" ht="15.75" hidden="1"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row>
    <row r="512" spans="1:38" ht="15.75" hidden="1"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row>
    <row r="513" spans="1:38" ht="15.75" hidden="1"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row>
    <row r="514" spans="1:38" ht="15.75" hidden="1"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row>
    <row r="515" spans="1:38" ht="15.75" hidden="1"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row>
    <row r="516" spans="1:38" ht="15.75" hidden="1"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row>
    <row r="517" spans="1:38" ht="15.75" hidden="1"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row>
    <row r="518" spans="1:38" ht="15.75" hidden="1"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row>
    <row r="519" spans="1:38" ht="15.75" hidden="1"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row>
    <row r="520" spans="1:38" ht="15.75" hidden="1"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row>
    <row r="521" spans="1:38" ht="15.75" hidden="1"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row>
    <row r="522" spans="1:38" ht="15.75" hidden="1"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row>
    <row r="523" spans="1:38" ht="15.75" hidden="1"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row>
    <row r="524" spans="1:38" ht="15.75" hidden="1"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row>
    <row r="525" spans="1:38" ht="15.75" hidden="1"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row>
    <row r="526" spans="1:38" ht="15.75" hidden="1"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row>
    <row r="527" spans="1:38" ht="15.75" hidden="1"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row>
    <row r="528" spans="1:38" ht="15.75" hidden="1"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row>
    <row r="529" spans="1:38" ht="15.75" hidden="1"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row>
    <row r="530" spans="1:38" ht="15.75" hidden="1"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row>
    <row r="531" spans="1:38" ht="15.75" hidden="1"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row>
    <row r="532" spans="1:38" ht="15.75" hidden="1"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row>
    <row r="533" spans="1:38" ht="15.75" hidden="1"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row>
    <row r="534" spans="1:38" ht="15.75" hidden="1"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row>
    <row r="535" spans="1:38" ht="15.75" hidden="1"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row>
    <row r="536" spans="1:38" ht="15.75" hidden="1"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row>
    <row r="537" spans="1:38" ht="15.75" hidden="1"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row>
    <row r="538" spans="1:38" ht="15.75" hidden="1"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row>
    <row r="539" spans="1:38" ht="15.75" hidden="1"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row>
    <row r="540" spans="1:38" ht="15.75" hidden="1"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row>
    <row r="541" spans="1:38" ht="15.75" hidden="1"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row>
    <row r="542" spans="1:38" ht="15.75" hidden="1"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row>
    <row r="543" spans="1:38" ht="15.75" hidden="1"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row>
    <row r="544" spans="1:38" ht="15.75" hidden="1"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row>
    <row r="545" spans="1:38" ht="15.75" hidden="1"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row>
    <row r="546" spans="1:38" ht="15.75" hidden="1"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row>
    <row r="547" spans="1:38" ht="15.75" hidden="1"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row>
    <row r="548" spans="1:38" ht="15.75" hidden="1"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row>
    <row r="549" spans="1:38" ht="15.75" hidden="1"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row>
    <row r="550" spans="1:38" ht="15.75" hidden="1"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row>
    <row r="551" spans="1:38" ht="15.75" hidden="1"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row>
    <row r="552" spans="1:38" ht="15.75" hidden="1"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row>
    <row r="553" spans="1:38" ht="15.75" hidden="1"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row>
    <row r="554" spans="1:38" ht="15.75" hidden="1"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row>
    <row r="555" spans="1:38" ht="15.75" hidden="1"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row>
    <row r="556" spans="1:38" ht="15.75" hidden="1"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row>
    <row r="557" spans="1:38" ht="15.75" hidden="1"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row>
    <row r="558" spans="1:38" ht="15.75" hidden="1"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row>
    <row r="559" spans="1:38" ht="15.75" hidden="1"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row>
    <row r="560" spans="1:38" ht="15.75" hidden="1"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row>
    <row r="561" spans="1:38" ht="15.75" hidden="1"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row>
    <row r="562" spans="1:38" ht="15.75" hidden="1"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row>
    <row r="563" spans="1:38" ht="15.75" hidden="1"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row>
    <row r="564" spans="1:38" ht="15.75" hidden="1"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row>
    <row r="565" spans="1:38" ht="15.75" hidden="1"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row>
    <row r="566" spans="1:38" ht="15.75" hidden="1"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row>
    <row r="567" spans="1:38" ht="15.75" hidden="1"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row>
    <row r="568" spans="1:38" ht="15.75" hidden="1"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row>
    <row r="569" spans="1:38" ht="15.75" hidden="1"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row>
    <row r="570" spans="1:38" ht="15.75" hidden="1"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row>
    <row r="571" spans="1:38" ht="15.75" hidden="1"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row>
    <row r="572" spans="1:38" ht="15.75" hidden="1"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row>
    <row r="573" spans="1:38" ht="15.75" hidden="1"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row>
    <row r="574" spans="1:38" ht="15.75" hidden="1"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row>
    <row r="575" spans="1:38" ht="15.75" hidden="1"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row>
    <row r="576" spans="1:38" ht="15.75" hidden="1"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row>
    <row r="577" spans="1:38" ht="15.75" hidden="1"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row>
    <row r="578" spans="1:38" ht="15.75" hidden="1"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row>
    <row r="579" spans="1:38" ht="15.75" hidden="1"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row>
    <row r="580" spans="1:38" ht="15.75" hidden="1"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row>
    <row r="581" spans="1:38" ht="15.75" hidden="1"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row>
    <row r="582" spans="1:38" ht="15.75" hidden="1"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row>
    <row r="583" spans="1:38" ht="15.75" hidden="1"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row>
    <row r="584" spans="1:38" ht="15.75" hidden="1"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row>
    <row r="585" spans="1:38" ht="15.75" hidden="1"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row>
    <row r="586" spans="1:38" ht="15.75" hidden="1"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row>
    <row r="587" spans="1:38" ht="15.75" hidden="1"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row>
    <row r="588" spans="1:38" ht="15.75" hidden="1"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row>
    <row r="589" spans="1:38" ht="15.75" hidden="1"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row>
    <row r="590" spans="1:38" ht="15.75" hidden="1"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row>
    <row r="591" spans="1:38" ht="15.75" hidden="1"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row>
    <row r="592" spans="1:38" ht="15.75" hidden="1"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row>
    <row r="593" spans="1:38" ht="15.75" hidden="1"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row>
    <row r="594" spans="1:38" ht="15.75" hidden="1"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row>
    <row r="595" spans="1:38" ht="15.75" hidden="1"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row>
    <row r="596" spans="1:38" ht="15.75" hidden="1"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row>
    <row r="597" spans="1:38" ht="15.75" hidden="1"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row>
    <row r="598" spans="1:38" ht="15.75" hidden="1"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row>
    <row r="599" spans="1:38" ht="15.75" hidden="1"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row>
    <row r="600" spans="1:38" ht="15.75" hidden="1"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row>
    <row r="601" spans="1:38" ht="15.75" hidden="1"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row>
    <row r="602" spans="1:38" ht="15.75" hidden="1"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row>
    <row r="603" spans="1:38" ht="15.75" hidden="1"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row>
    <row r="604" spans="1:38" ht="15.75" hidden="1"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row>
    <row r="605" spans="1:38" ht="15.75" hidden="1"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row>
    <row r="606" spans="1:38" ht="15.75" hidden="1"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row>
    <row r="607" spans="1:38" ht="15.75" hidden="1"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row>
    <row r="608" spans="1:38" ht="15.75" hidden="1"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L608" s="8"/>
    </row>
    <row r="609" spans="1:38" ht="15.75" hidden="1"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row>
    <row r="610" spans="1:38" ht="15.75" hidden="1"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row>
    <row r="611" spans="1:38" ht="15.75" hidden="1"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row>
    <row r="612" spans="1:38" ht="15.75" hidden="1"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row>
    <row r="613" spans="1:38" ht="15.75" hidden="1"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row>
    <row r="614" spans="1:38" ht="15.75" hidden="1"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row>
    <row r="615" spans="1:38" ht="15.75" hidden="1"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row>
    <row r="616" spans="1:38" ht="15.75" hidden="1"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row>
    <row r="617" spans="1:38" ht="15.75" hidden="1"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row>
    <row r="618" spans="1:38" ht="15.75" hidden="1"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row>
    <row r="619" spans="1:38" ht="15.75" hidden="1"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row>
    <row r="620" spans="1:38" ht="15.75" hidden="1"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row>
    <row r="621" spans="1:38" ht="15.75" hidden="1"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row>
    <row r="622" spans="1:38" ht="15.75" hidden="1"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L622" s="8"/>
    </row>
    <row r="623" spans="1:38" ht="15.75" hidden="1"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row>
    <row r="624" spans="1:38" ht="15.75" hidden="1"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L624" s="8"/>
    </row>
    <row r="625" spans="1:38" ht="15.75" hidden="1"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row>
    <row r="626" spans="1:38" ht="15.75" hidden="1"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row>
    <row r="627" spans="1:38" ht="15.75" hidden="1"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L627" s="8"/>
    </row>
    <row r="628" spans="1:38" ht="15.75" hidden="1"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L628" s="8"/>
    </row>
    <row r="629" spans="1:38" ht="15.75" hidden="1"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row>
    <row r="630" spans="1:38" ht="15.75" hidden="1"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L630" s="8"/>
    </row>
    <row r="631" spans="1:38" ht="15.75" hidden="1"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L631" s="8"/>
    </row>
    <row r="632" spans="1:38" ht="15.75" hidden="1"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L632" s="8"/>
    </row>
    <row r="633" spans="1:38" ht="15.75" hidden="1"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row>
    <row r="634" spans="1:38" ht="15.75" hidden="1"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row>
    <row r="635" spans="1:38" ht="15.75" hidden="1"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row>
    <row r="636" spans="1:38" ht="15.75" hidden="1"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row>
    <row r="637" spans="1:38" ht="15.75" hidden="1"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row>
    <row r="638" spans="1:38" ht="15.75" hidden="1"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row>
    <row r="639" spans="1:38" ht="15.75" hidden="1"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row>
    <row r="640" spans="1:38" ht="15.75" hidden="1"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row>
    <row r="641" spans="1:38" ht="15.75" hidden="1"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row>
    <row r="642" spans="1:38" ht="15.75" hidden="1"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row>
    <row r="643" spans="1:38" ht="15.75" hidden="1"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row>
    <row r="644" spans="1:38" ht="15.75" hidden="1"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row>
    <row r="645" spans="1:38" ht="15.75" hidden="1"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row>
    <row r="646" spans="1:38" ht="15.75" hidden="1"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row>
    <row r="647" spans="1:38" ht="15.75" hidden="1"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row>
    <row r="648" spans="1:38" ht="15.75" hidden="1"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L648" s="8"/>
    </row>
    <row r="649" spans="1:38" ht="15.75" hidden="1"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row>
    <row r="650" spans="1:38" ht="15.75" hidden="1"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row>
    <row r="651" spans="1:38" ht="15.75" hidden="1"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row>
    <row r="652" spans="1:38" ht="15.75" hidden="1"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row>
    <row r="653" spans="1:38" ht="15.75" hidden="1"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row>
    <row r="654" spans="1:38" ht="15.75" hidden="1"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row>
    <row r="655" spans="1:38" ht="15.75" hidden="1"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row>
    <row r="656" spans="1:38" ht="15.75" hidden="1"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row>
    <row r="657" spans="1:38" ht="15.75" hidden="1"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row>
    <row r="658" spans="1:38" ht="15.75" hidden="1"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row>
    <row r="659" spans="1:38" ht="15.75" hidden="1"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L659" s="8"/>
    </row>
    <row r="660" spans="1:38" ht="15.75" hidden="1"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row>
    <row r="661" spans="1:38" ht="15.75" hidden="1"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row>
    <row r="662" spans="1:38" ht="15.75" hidden="1"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row>
    <row r="663" spans="1:38" ht="15.75" hidden="1"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row>
    <row r="664" spans="1:38" ht="15.75" hidden="1"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row>
    <row r="665" spans="1:38" ht="15.75" hidden="1"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row>
    <row r="666" spans="1:38" ht="15.75" hidden="1"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row>
    <row r="667" spans="1:38" ht="15.75" hidden="1"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row>
    <row r="668" spans="1:38" ht="15.75" hidden="1"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L668" s="8"/>
    </row>
    <row r="669" spans="1:38" ht="15.75" hidden="1"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row>
    <row r="670" spans="1:38" ht="15.75" hidden="1"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row>
    <row r="671" spans="1:38" ht="15.75" hidden="1"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row>
    <row r="672" spans="1:38" ht="15.75" hidden="1"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row>
    <row r="673" spans="1:38" ht="15.75" hidden="1"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row>
    <row r="674" spans="1:38" ht="15.75" hidden="1"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row>
    <row r="675" spans="1:38" ht="15.75" hidden="1"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row>
    <row r="676" spans="1:38" ht="15.75" hidden="1"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row>
    <row r="677" spans="1:38" ht="15.75" hidden="1"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row>
    <row r="678" spans="1:38" ht="15.75" hidden="1"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row>
    <row r="679" spans="1:38" ht="15.75" hidden="1"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row>
    <row r="680" spans="1:38" ht="15.75" hidden="1"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row>
    <row r="681" spans="1:38" ht="15.75" hidden="1"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row>
    <row r="682" spans="1:38" ht="15.75" hidden="1"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row>
    <row r="683" spans="1:38" ht="15.75" hidden="1"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row>
    <row r="684" spans="1:38" ht="15.75" hidden="1"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row>
    <row r="685" spans="1:38" ht="15.75" hidden="1"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row>
    <row r="686" spans="1:38" ht="15.75" hidden="1"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row>
    <row r="687" spans="1:38" ht="15.75" hidden="1"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row>
    <row r="688" spans="1:38" ht="15.75" hidden="1"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row>
    <row r="689" spans="1:38" ht="15.75" hidden="1"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row>
    <row r="690" spans="1:38" ht="15.75" hidden="1"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row>
    <row r="691" spans="1:38" ht="15.75" hidden="1"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row>
    <row r="692" spans="1:38" ht="15.75" hidden="1"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row>
    <row r="693" spans="1:38" ht="15.75" hidden="1"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row>
    <row r="694" spans="1:38" ht="15.75" hidden="1"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row>
    <row r="695" spans="1:38" ht="15.75" hidden="1"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row>
    <row r="696" spans="1:38" ht="15.75" hidden="1"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row>
    <row r="697" spans="1:38" ht="15.75" hidden="1"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row>
    <row r="698" spans="1:38" ht="15.75" hidden="1"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row>
    <row r="699" spans="1:38" ht="15.75" hidden="1"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row>
    <row r="700" spans="1:38" ht="15.75" hidden="1"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row>
    <row r="701" spans="1:38" ht="15.75" hidden="1"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row>
    <row r="702" spans="1:38" ht="15.75" hidden="1"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row>
    <row r="703" spans="1:38" ht="15.75" hidden="1"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row>
    <row r="704" spans="1:38" ht="15.75" hidden="1"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row>
    <row r="705" spans="1:38" ht="15.75" hidden="1"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row>
    <row r="706" spans="1:38" ht="15.75" hidden="1"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row>
    <row r="707" spans="1:38" ht="15.75" hidden="1"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row>
    <row r="708" spans="1:38" ht="15.75" hidden="1"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row>
    <row r="709" spans="1:38" ht="15.75" hidden="1"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row>
    <row r="710" spans="1:38" ht="15.75" hidden="1"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row>
    <row r="711" spans="1:38" ht="15.75" hidden="1"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row>
    <row r="712" spans="1:38" ht="15.75" hidden="1"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row>
    <row r="713" spans="1:38" ht="15.75" hidden="1"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row>
    <row r="714" spans="1:38" ht="15.75" hidden="1"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row>
    <row r="715" spans="1:38" ht="15.75" hidden="1"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row>
    <row r="716" spans="1:38" ht="15.75" hidden="1"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row>
    <row r="717" spans="1:38" ht="15.75" hidden="1"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row>
    <row r="718" spans="1:38" ht="15.75" hidden="1"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row>
    <row r="719" spans="1:38" ht="15.75" hidden="1"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row>
    <row r="720" spans="1:38" ht="15.75" hidden="1"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row>
    <row r="721" spans="1:38" ht="15.75" hidden="1"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row>
    <row r="722" spans="1:38" ht="15.75" hidden="1"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row>
    <row r="723" spans="1:38" ht="15.75" hidden="1"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row>
    <row r="724" spans="1:38" ht="15.75" hidden="1"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row>
    <row r="725" spans="1:38" ht="15.75" hidden="1"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row>
    <row r="726" spans="1:38" ht="15.75" hidden="1"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row>
    <row r="727" spans="1:38" ht="15.75" hidden="1"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row>
    <row r="728" spans="1:38" ht="15.75" hidden="1"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row>
    <row r="729" spans="1:38" ht="15.75" hidden="1"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row>
    <row r="730" spans="1:38" ht="15.75" hidden="1"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row>
    <row r="731" spans="1:38" ht="15.75" hidden="1"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row>
    <row r="732" spans="1:38" ht="15.75" hidden="1"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row>
    <row r="733" spans="1:38" ht="15.75" hidden="1"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row>
    <row r="734" spans="1:38" ht="15.75" hidden="1"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row>
    <row r="735" spans="1:38" ht="15.75" hidden="1"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row>
    <row r="736" spans="1:38" ht="15.75" hidden="1"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row>
    <row r="737" spans="1:38" ht="15.75" hidden="1"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row>
    <row r="738" spans="1:38" ht="15.75" hidden="1"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row>
    <row r="739" spans="1:38" ht="15.75" hidden="1"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row>
    <row r="740" spans="1:38" ht="15.75" hidden="1"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row>
    <row r="741" spans="1:38" ht="15.75" hidden="1"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row>
    <row r="742" spans="1:38" ht="15.75" hidden="1"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row>
    <row r="743" spans="1:38" ht="15.75" hidden="1"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L743" s="8"/>
    </row>
    <row r="744" spans="1:38" ht="15.75" hidden="1"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row>
    <row r="745" spans="1:38" ht="15.75" hidden="1"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row>
    <row r="746" spans="1:38" ht="15.75" hidden="1"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L746" s="8"/>
    </row>
    <row r="747" spans="1:38" ht="15.75" hidden="1"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row>
    <row r="748" spans="1:38" ht="15.75" hidden="1"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L748" s="8"/>
    </row>
    <row r="749" spans="1:38" ht="15.75" hidden="1"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row>
    <row r="750" spans="1:38" ht="15.75" hidden="1"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L750" s="8"/>
    </row>
    <row r="751" spans="1:38" ht="15.75" hidden="1"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row>
    <row r="752" spans="1:38" ht="15.75" hidden="1"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L752" s="8"/>
    </row>
    <row r="753" spans="1:38" ht="15.75" hidden="1"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row>
    <row r="754" spans="1:38" ht="15.75" hidden="1"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L754" s="8"/>
    </row>
    <row r="755" spans="1:38" ht="15.75" hidden="1"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row>
    <row r="756" spans="1:38" ht="15.75" hidden="1"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L756" s="8"/>
    </row>
    <row r="757" spans="1:38" ht="15.75" hidden="1"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row>
    <row r="758" spans="1:38" ht="15.75" hidden="1"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row>
    <row r="759" spans="1:38" ht="15.75" hidden="1"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L759" s="8"/>
    </row>
    <row r="760" spans="1:38" ht="15.75" hidden="1"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row>
    <row r="761" spans="1:38" ht="15.75" hidden="1"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row>
    <row r="762" spans="1:38" ht="15.75" hidden="1"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row>
    <row r="763" spans="1:38" ht="15.75" hidden="1"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row>
    <row r="764" spans="1:38" ht="15.75" hidden="1"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row>
    <row r="765" spans="1:38" ht="15.75" hidden="1"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row>
    <row r="766" spans="1:38" ht="15.75" hidden="1"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row>
    <row r="767" spans="1:38" ht="15.75" hidden="1"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L767" s="8"/>
    </row>
    <row r="768" spans="1:38" ht="15.75" hidden="1"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L768" s="8"/>
    </row>
    <row r="769" spans="1:38" ht="15.75" hidden="1"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row>
    <row r="770" spans="1:38" ht="15.75" hidden="1"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L770" s="8"/>
    </row>
    <row r="771" spans="1:38" ht="15.75" hidden="1"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L771" s="8"/>
    </row>
    <row r="772" spans="1:38" ht="15.75" hidden="1"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L772" s="8"/>
    </row>
    <row r="773" spans="1:38" ht="15.75" hidden="1"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row>
    <row r="774" spans="1:38" ht="15.75" hidden="1"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row>
    <row r="775" spans="1:38" ht="15.75" hidden="1"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L775" s="8"/>
    </row>
    <row r="776" spans="1:38" ht="15.75" hidden="1"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L776" s="8"/>
    </row>
    <row r="777" spans="1:38" ht="15.75" hidden="1"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row>
    <row r="778" spans="1:38" ht="15.75" hidden="1"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row>
    <row r="779" spans="1:38" ht="15.75" hidden="1"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L779" s="8"/>
    </row>
    <row r="780" spans="1:38" ht="15.75" hidden="1"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L780" s="8"/>
    </row>
    <row r="781" spans="1:38" ht="15.75" hidden="1"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row>
    <row r="782" spans="1:38" ht="15.75" hidden="1"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row>
    <row r="783" spans="1:38" ht="15.75" hidden="1"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row>
    <row r="784" spans="1:38" ht="15.75" hidden="1"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L784" s="8"/>
    </row>
    <row r="785" spans="1:38" ht="15.75" hidden="1"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row>
    <row r="786" spans="1:38" ht="15.75" hidden="1"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L786" s="8"/>
    </row>
    <row r="787" spans="1:38" ht="15.75" hidden="1"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L787" s="8"/>
    </row>
    <row r="788" spans="1:38" ht="15.75" hidden="1"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L788" s="8"/>
    </row>
    <row r="789" spans="1:38" ht="15.75" hidden="1"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row>
    <row r="790" spans="1:38" ht="15.75" hidden="1"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L790" s="8"/>
    </row>
    <row r="791" spans="1:38" ht="15.75" hidden="1"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L791" s="8"/>
    </row>
    <row r="792" spans="1:38" ht="15.75" hidden="1"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row>
    <row r="793" spans="1:38" ht="15.75" hidden="1"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row>
    <row r="794" spans="1:38" ht="15.75" hidden="1"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L794" s="8"/>
    </row>
    <row r="795" spans="1:38" ht="15.75" hidden="1"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row>
    <row r="796" spans="1:38" ht="15.75" hidden="1"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row>
    <row r="797" spans="1:38" ht="15.75" hidden="1"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row>
    <row r="798" spans="1:38" ht="15.75" hidden="1"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L798" s="8"/>
    </row>
    <row r="799" spans="1:38" ht="15.75" hidden="1"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row>
    <row r="800" spans="1:38" ht="15.75" hidden="1"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row>
    <row r="801" spans="1:38" ht="15.75" hidden="1"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row>
    <row r="802" spans="1:38" ht="15.75" hidden="1"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L802" s="8"/>
    </row>
    <row r="803" spans="1:38" ht="15.75" hidden="1"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row>
    <row r="804" spans="1:38" ht="15.75" hidden="1"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row>
    <row r="805" spans="1:38" ht="15.75" hidden="1"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row>
    <row r="806" spans="1:38" ht="15.75" hidden="1"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row>
    <row r="807" spans="1:38" ht="15.75" hidden="1"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row>
    <row r="808" spans="1:38" ht="15.75" hidden="1"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row>
    <row r="809" spans="1:38" ht="15.75" hidden="1"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row>
    <row r="810" spans="1:38" ht="15.75" hidden="1"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row>
    <row r="811" spans="1:38" ht="15.75" hidden="1"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row>
    <row r="812" spans="1:38" ht="15.75" hidden="1"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row>
    <row r="813" spans="1:38" ht="15.75" hidden="1"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row>
    <row r="814" spans="1:38" ht="15.75" hidden="1"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L814" s="8"/>
    </row>
    <row r="815" spans="1:38" ht="15.75" hidden="1"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L815" s="8"/>
    </row>
    <row r="816" spans="1:38" ht="15.75" hidden="1"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row>
    <row r="817" spans="1:38" ht="15.75" hidden="1"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row>
    <row r="818" spans="1:38" ht="15.75" hidden="1"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row>
    <row r="819" spans="1:38" ht="15.75" hidden="1"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row>
    <row r="820" spans="1:38" ht="15.75" hidden="1"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row>
    <row r="821" spans="1:38" ht="15.75" hidden="1"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row>
    <row r="822" spans="1:38" ht="15.75" hidden="1"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row>
    <row r="823" spans="1:38" ht="15.75" hidden="1"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row>
    <row r="824" spans="1:38" ht="15.75" hidden="1"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L824" s="8"/>
    </row>
    <row r="825" spans="1:38" ht="15.75" hidden="1"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row>
    <row r="826" spans="1:38" ht="15.75" hidden="1"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row>
    <row r="827" spans="1:38" ht="15.75" hidden="1"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L827" s="8"/>
    </row>
    <row r="828" spans="1:38" ht="15.75" hidden="1"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row>
    <row r="829" spans="1:38" ht="15.75" hidden="1"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row>
    <row r="830" spans="1:38" ht="15.75" hidden="1"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row>
    <row r="831" spans="1:38" ht="15.75" hidden="1"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row>
    <row r="832" spans="1:38" ht="15.75" hidden="1"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L832" s="8"/>
    </row>
    <row r="833" spans="1:38" ht="15.75" hidden="1"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row>
    <row r="834" spans="1:38" ht="15.75" hidden="1"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L834" s="8"/>
    </row>
    <row r="835" spans="1:38" ht="15.75" hidden="1"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row>
    <row r="836" spans="1:38" ht="15.75" hidden="1"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L836" s="8"/>
    </row>
    <row r="837" spans="1:38" ht="15.75" hidden="1"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row>
    <row r="838" spans="1:38" ht="15.75" hidden="1"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row>
    <row r="839" spans="1:38" ht="15.75" hidden="1"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L839" s="8"/>
    </row>
    <row r="840" spans="1:38" ht="15.75" hidden="1"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row>
    <row r="841" spans="1:38" ht="15.75" hidden="1"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row>
    <row r="842" spans="1:38" ht="15.75" hidden="1"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row>
    <row r="843" spans="1:38" ht="15.75" hidden="1"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row>
    <row r="844" spans="1:38" ht="15.75" hidden="1"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L844" s="8"/>
    </row>
    <row r="845" spans="1:38" ht="15.75" hidden="1"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row>
    <row r="846" spans="1:38" ht="15.75" hidden="1"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L846" s="8"/>
    </row>
    <row r="847" spans="1:38" ht="15.75" hidden="1"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row>
    <row r="848" spans="1:38" ht="15.75" hidden="1"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row>
    <row r="849" spans="1:38" ht="15.75" hidden="1"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row>
    <row r="850" spans="1:38" ht="15.75" hidden="1"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row>
    <row r="851" spans="1:38" ht="15.75" hidden="1"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L851" s="8"/>
    </row>
    <row r="852" spans="1:38" ht="15.75" hidden="1"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L852" s="8"/>
    </row>
    <row r="853" spans="1:38" ht="15.75" hidden="1"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row>
    <row r="854" spans="1:38" ht="15.75" hidden="1"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row>
    <row r="855" spans="1:38" ht="15.75" hidden="1"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L855" s="8"/>
    </row>
    <row r="856" spans="1:38" ht="15.75" hidden="1"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row>
    <row r="857" spans="1:38" ht="15.75" hidden="1"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row>
    <row r="858" spans="1:38" ht="15.75" hidden="1"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row>
    <row r="859" spans="1:38" ht="15.75" hidden="1"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row>
    <row r="860" spans="1:38" ht="15.75" hidden="1"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L860" s="8"/>
    </row>
    <row r="861" spans="1:38" ht="15.75" hidden="1"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row>
    <row r="862" spans="1:38" ht="15.75" hidden="1"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L862" s="8"/>
    </row>
    <row r="863" spans="1:38" ht="15.75" hidden="1"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row>
    <row r="864" spans="1:38" ht="15.75" hidden="1"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row>
    <row r="865" spans="1:38" ht="15.75" hidden="1"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row>
    <row r="866" spans="1:38" ht="15.75" hidden="1"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row>
    <row r="867" spans="1:38" ht="15.75" hidden="1"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row>
    <row r="868" spans="1:38" ht="15.75" hidden="1"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row>
    <row r="869" spans="1:38" ht="15.75" hidden="1"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row>
    <row r="870" spans="1:38" ht="15.75" hidden="1"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row>
    <row r="871" spans="1:38" ht="15.75" hidden="1"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L871" s="8"/>
    </row>
    <row r="872" spans="1:38" ht="15.75" hidden="1"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row>
    <row r="873" spans="1:38" ht="15.75" hidden="1"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row>
    <row r="874" spans="1:38" ht="15.75" hidden="1"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L874" s="8"/>
    </row>
    <row r="875" spans="1:38" ht="15.75" hidden="1"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row>
    <row r="876" spans="1:38" ht="15.75" hidden="1"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row>
    <row r="877" spans="1:38" ht="15.75" hidden="1"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L877" s="8"/>
    </row>
    <row r="878" spans="1:38" ht="15.75" hidden="1"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row>
    <row r="879" spans="1:38" ht="15.75" hidden="1"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L879" s="8"/>
    </row>
    <row r="880" spans="1:38" ht="15.75" hidden="1"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row>
    <row r="881" spans="1:38" ht="15.75" hidden="1"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row>
    <row r="882" spans="1:38" ht="15.75" hidden="1"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row>
    <row r="883" spans="1:38" ht="15.75" hidden="1"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L883" s="8"/>
    </row>
    <row r="884" spans="1:38" ht="15.75" hidden="1"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L884" s="8"/>
    </row>
    <row r="885" spans="1:38" ht="15.75" hidden="1"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row>
    <row r="886" spans="1:38" ht="15.75" hidden="1"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row>
    <row r="887" spans="1:38" ht="15.75" hidden="1"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L887" s="8"/>
    </row>
    <row r="888" spans="1:38" ht="15.75" hidden="1"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row>
    <row r="889" spans="1:38" ht="15.75" hidden="1"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L889" s="8"/>
    </row>
    <row r="890" spans="1:38" ht="15.75" hidden="1"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row>
    <row r="891" spans="1:38" ht="15.75" hidden="1"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row>
    <row r="892" spans="1:38" ht="15.75" hidden="1"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L892" s="8"/>
    </row>
    <row r="893" spans="1:38" ht="15.75" hidden="1"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row>
    <row r="894" spans="1:38" ht="15.75" hidden="1"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row>
    <row r="895" spans="1:38" ht="15.75" hidden="1"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row>
    <row r="896" spans="1:38" ht="15.75" hidden="1"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row>
    <row r="897" spans="1:38" ht="15.75" hidden="1"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row>
    <row r="898" spans="1:38" ht="15.75" hidden="1"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L898" s="8"/>
    </row>
    <row r="899" spans="1:38" ht="15.75" hidden="1"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row>
    <row r="900" spans="1:38" ht="15.75" hidden="1"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row>
    <row r="901" spans="1:38" ht="15.75" hidden="1"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L901" s="8"/>
    </row>
    <row r="902" spans="1:38" ht="15.75" hidden="1"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row>
    <row r="903" spans="1:38" ht="15.75" hidden="1"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row>
    <row r="904" spans="1:38" ht="15.75" hidden="1"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row>
    <row r="905" spans="1:38" ht="15.75" hidden="1"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row>
    <row r="906" spans="1:38" ht="15.75" hidden="1"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row>
    <row r="907" spans="1:38" ht="15.75" hidden="1"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row>
    <row r="908" spans="1:38" ht="15.75" hidden="1"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row>
    <row r="909" spans="1:38" ht="15.75" hidden="1"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L909" s="8"/>
    </row>
    <row r="910" spans="1:38" ht="15.75" hidden="1"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row>
    <row r="911" spans="1:38" ht="15.75" hidden="1"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row>
    <row r="912" spans="1:38" ht="15.75" hidden="1"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row>
    <row r="913" spans="1:38" ht="15.75" hidden="1"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row>
    <row r="914" spans="1:38" ht="15.75" hidden="1"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row>
    <row r="915" spans="1:38" ht="15.75" hidden="1"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row>
    <row r="916" spans="1:38" ht="15.75" hidden="1"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row>
    <row r="917" spans="1:38" ht="15.75" hidden="1"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row>
    <row r="918" spans="1:38" ht="15.75" hidden="1"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L918" s="8"/>
    </row>
    <row r="919" spans="1:38" ht="15.75" hidden="1"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row>
    <row r="920" spans="1:38" ht="15.75" hidden="1"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L920" s="8"/>
    </row>
    <row r="921" spans="1:38" ht="15.75" hidden="1"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row>
    <row r="922" spans="1:38" ht="15.75" hidden="1"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row>
    <row r="923" spans="1:38" ht="15.75" hidden="1"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L923" s="8"/>
    </row>
    <row r="924" spans="1:38" ht="15.75" hidden="1"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row>
    <row r="925" spans="1:38" ht="15.75" hidden="1"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row>
    <row r="926" spans="1:38" ht="15.75" hidden="1"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L926" s="8"/>
    </row>
    <row r="927" spans="1:38" ht="15.75" hidden="1"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L927" s="8"/>
    </row>
    <row r="928" spans="1:38" ht="15.75" hidden="1"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row>
    <row r="929" spans="1:38" ht="15.75" hidden="1"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row>
    <row r="930" spans="1:38" ht="15.75" hidden="1"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row>
    <row r="931" spans="1:38" ht="15.75" hidden="1"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row>
    <row r="932" spans="1:38" ht="15.75" hidden="1"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row>
    <row r="933" spans="1:38" ht="15.75" hidden="1"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row>
    <row r="934" spans="1:38" ht="15.75" hidden="1"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L934" s="8"/>
    </row>
    <row r="935" spans="1:38" ht="15.75" hidden="1"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row>
    <row r="936" spans="1:38" ht="15.75" hidden="1"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row>
    <row r="937" spans="1:38" ht="15.75" hidden="1"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row>
    <row r="938" spans="1:38" ht="15.75" hidden="1"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row>
    <row r="939" spans="1:38" ht="15.75" hidden="1"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row>
    <row r="940" spans="1:38" ht="15.75" hidden="1"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row>
    <row r="941" spans="1:38" ht="15.75" hidden="1"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L941" s="8"/>
    </row>
    <row r="942" spans="1:38" ht="15.75" hidden="1"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row>
    <row r="943" spans="1:38" ht="15.75" hidden="1"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L943" s="8"/>
    </row>
    <row r="944" spans="1:38" ht="15.75" hidden="1"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row>
    <row r="945" spans="1:38" ht="15.75" hidden="1"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L945" s="8"/>
    </row>
    <row r="946" spans="1:38" ht="15.75" hidden="1"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row>
    <row r="947" spans="1:38" ht="15.75" hidden="1"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row>
    <row r="948" spans="1:38" ht="15.75" hidden="1"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L948" s="8"/>
    </row>
    <row r="949" spans="1:38" ht="15.75" hidden="1"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row>
    <row r="950" spans="1:38" ht="15.75" hidden="1"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L950" s="8"/>
    </row>
    <row r="951" spans="1:38" ht="15.75" hidden="1"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row>
    <row r="952" spans="1:38" ht="15.75" hidden="1"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row>
    <row r="953" spans="1:38" ht="15.75" hidden="1"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row>
    <row r="954" spans="1:38" ht="15.75" hidden="1"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row>
    <row r="955" spans="1:38" ht="15.75" hidden="1"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row>
    <row r="956" spans="1:38" ht="15.75" hidden="1"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L956" s="8"/>
    </row>
    <row r="957" spans="1:38" ht="15.75" hidden="1"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row>
    <row r="958" spans="1:38" ht="15.75" hidden="1"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L958" s="8"/>
    </row>
    <row r="959" spans="1:38" ht="15.75" hidden="1"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row>
    <row r="960" spans="1:38" ht="15.75" hidden="1"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L960" s="8"/>
    </row>
    <row r="961" spans="1:38" ht="15.75" hidden="1"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row>
    <row r="962" spans="1:38" ht="15.75" hidden="1"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L962" s="8"/>
    </row>
    <row r="963" spans="1:38" ht="15.75" hidden="1"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row>
    <row r="964" spans="1:38" ht="15.75" hidden="1"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row>
    <row r="965" spans="1:38" ht="15.75" hidden="1"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L965" s="8"/>
    </row>
    <row r="966" spans="1:38" ht="15.75" hidden="1"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row>
    <row r="967" spans="1:38" ht="15.75" hidden="1"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row>
    <row r="968" spans="1:38" ht="15.75" hidden="1"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row>
    <row r="969" spans="1:38" ht="15.75" hidden="1"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row>
    <row r="970" spans="1:38" ht="15.75" hidden="1"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row>
    <row r="971" spans="1:38" ht="15.75" hidden="1"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row>
    <row r="972" spans="1:38" ht="15.75" hidden="1"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row>
    <row r="973" spans="1:38" ht="15.75" hidden="1"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row>
    <row r="974" spans="1:38" ht="15.75" hidden="1"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row>
    <row r="975" spans="1:38" ht="15.75" hidden="1"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row>
    <row r="976" spans="1:38" ht="15.75" hidden="1"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L976" s="8"/>
    </row>
    <row r="977" spans="1:38" ht="15.75" hidden="1"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row>
    <row r="978" spans="1:38" ht="15.75" hidden="1"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row>
    <row r="979" spans="1:38" ht="15.75" hidden="1"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row>
    <row r="980" spans="1:38" ht="15.75" hidden="1"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L980" s="8"/>
    </row>
    <row r="981" spans="1:38" ht="15.75" hidden="1"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row>
    <row r="982" spans="1:38" ht="15.75" hidden="1"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row>
    <row r="983" spans="1:38" ht="15.75" hidden="1"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row>
    <row r="984" spans="1:38" ht="15.75" hidden="1"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row>
    <row r="985" spans="1:38" ht="15.75" hidden="1"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L985" s="8"/>
    </row>
    <row r="986" spans="1:38" ht="15.75" hidden="1"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row>
    <row r="987" spans="1:38" ht="15.75" hidden="1"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row>
    <row r="988" spans="1:38" ht="15.75" hidden="1"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row>
    <row r="989" spans="1:38" ht="15.75" hidden="1"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row>
    <row r="990" spans="1:38" ht="15.75" hidden="1"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row>
    <row r="991" spans="1:38" ht="15.75" hidden="1"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L991" s="8"/>
    </row>
    <row r="992" spans="1:38" ht="15.75" hidden="1"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row>
    <row r="993" spans="1:38" ht="15.75" hidden="1"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L993" s="8"/>
    </row>
    <row r="994" spans="1:38" ht="15.75" hidden="1"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L994" s="8"/>
    </row>
    <row r="995" spans="1:38" ht="15.75" hidden="1"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L995" s="8"/>
    </row>
    <row r="996" spans="1:38" ht="15.75" hidden="1"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L996" s="8"/>
    </row>
    <row r="997" spans="1:38" ht="15.75" hidden="1"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L997" s="8"/>
    </row>
    <row r="998" spans="1:38" ht="15.75" hidden="1"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L998" s="8"/>
    </row>
    <row r="999" spans="1:38" ht="15.75" hidden="1"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L999" s="8"/>
    </row>
    <row r="1000" spans="1:38" ht="15.75" hidden="1"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8"/>
      <c r="AJ1000" s="8"/>
      <c r="AK1000" s="8"/>
      <c r="AL1000" s="8"/>
    </row>
  </sheetData>
  <sheetProtection algorithmName="SHA-512" hashValue="Z7lYdjQK/WlC07VxTsEU5RrQ+IZxJ7AXMOVlRXFUSyPfM5hZtb5TlMiayRL+Z5divKaiQNoMD2f90XAlOKdRag==" saltValue="H08p2vQVitypsZ/WD90qMQ==" spinCount="100000" sheet="1" objects="1" scenarios="1"/>
  <mergeCells count="158">
    <mergeCell ref="AF25:AG25"/>
    <mergeCell ref="AH25:AI25"/>
    <mergeCell ref="C25:F25"/>
    <mergeCell ref="C26:F26"/>
    <mergeCell ref="AJ25:AK25"/>
    <mergeCell ref="AF26:AG26"/>
    <mergeCell ref="L23:V23"/>
    <mergeCell ref="AF23:AG23"/>
    <mergeCell ref="AH23:AI23"/>
    <mergeCell ref="C23:F23"/>
    <mergeCell ref="C24:F24"/>
    <mergeCell ref="AJ23:AK23"/>
    <mergeCell ref="AF24:AG24"/>
    <mergeCell ref="AH24:AI24"/>
    <mergeCell ref="AJ24:AK24"/>
    <mergeCell ref="L21:V21"/>
    <mergeCell ref="AF21:AG21"/>
    <mergeCell ref="AH21:AI21"/>
    <mergeCell ref="C21:F21"/>
    <mergeCell ref="C22:F22"/>
    <mergeCell ref="AJ21:AK21"/>
    <mergeCell ref="AF22:AG22"/>
    <mergeCell ref="AH22:AI22"/>
    <mergeCell ref="AJ22:AK22"/>
    <mergeCell ref="L22:V22"/>
    <mergeCell ref="AF19:AG19"/>
    <mergeCell ref="AH19:AI19"/>
    <mergeCell ref="L18:V18"/>
    <mergeCell ref="L19:V19"/>
    <mergeCell ref="C19:F19"/>
    <mergeCell ref="C20:F20"/>
    <mergeCell ref="AJ19:AK19"/>
    <mergeCell ref="AF20:AG20"/>
    <mergeCell ref="AH20:AI20"/>
    <mergeCell ref="AJ20:AK20"/>
    <mergeCell ref="L20:V20"/>
    <mergeCell ref="L17:V17"/>
    <mergeCell ref="AF17:AG17"/>
    <mergeCell ref="AH17:AI17"/>
    <mergeCell ref="C17:F17"/>
    <mergeCell ref="C18:F18"/>
    <mergeCell ref="AJ17:AK17"/>
    <mergeCell ref="AF18:AG18"/>
    <mergeCell ref="AH18:AI18"/>
    <mergeCell ref="AJ18:AK18"/>
    <mergeCell ref="AF15:AG15"/>
    <mergeCell ref="AH15:AI15"/>
    <mergeCell ref="C15:F15"/>
    <mergeCell ref="C16:F16"/>
    <mergeCell ref="AJ15:AK15"/>
    <mergeCell ref="AF16:AG16"/>
    <mergeCell ref="L14:V14"/>
    <mergeCell ref="L15:V15"/>
    <mergeCell ref="AH16:AI16"/>
    <mergeCell ref="AJ16:AK16"/>
    <mergeCell ref="L16:V16"/>
    <mergeCell ref="L13:V13"/>
    <mergeCell ref="AF13:AG13"/>
    <mergeCell ref="AH13:AI13"/>
    <mergeCell ref="C13:F13"/>
    <mergeCell ref="C14:F14"/>
    <mergeCell ref="AJ13:AK13"/>
    <mergeCell ref="AF14:AG14"/>
    <mergeCell ref="AH14:AI14"/>
    <mergeCell ref="AJ14:AK14"/>
    <mergeCell ref="L11:V11"/>
    <mergeCell ref="AF11:AG11"/>
    <mergeCell ref="AH11:AI11"/>
    <mergeCell ref="C11:F11"/>
    <mergeCell ref="C12:F12"/>
    <mergeCell ref="AJ11:AK11"/>
    <mergeCell ref="AF12:AG12"/>
    <mergeCell ref="AH12:AI12"/>
    <mergeCell ref="AJ12:AK12"/>
    <mergeCell ref="L12:V12"/>
    <mergeCell ref="AF9:AG9"/>
    <mergeCell ref="AH9:AI9"/>
    <mergeCell ref="L8:V8"/>
    <mergeCell ref="L9:V9"/>
    <mergeCell ref="C9:F9"/>
    <mergeCell ref="C10:F10"/>
    <mergeCell ref="AJ9:AK9"/>
    <mergeCell ref="AF10:AG10"/>
    <mergeCell ref="AH10:AI10"/>
    <mergeCell ref="AJ10:AK10"/>
    <mergeCell ref="L10:V10"/>
    <mergeCell ref="L7:V7"/>
    <mergeCell ref="AF7:AG7"/>
    <mergeCell ref="AH7:AI7"/>
    <mergeCell ref="C7:F7"/>
    <mergeCell ref="C8:F8"/>
    <mergeCell ref="AJ7:AK7"/>
    <mergeCell ref="AF8:AG8"/>
    <mergeCell ref="AH8:AI8"/>
    <mergeCell ref="AJ8:AK8"/>
    <mergeCell ref="AJ4:AK4"/>
    <mergeCell ref="AF5:AG5"/>
    <mergeCell ref="AH5:AI5"/>
    <mergeCell ref="C5:F5"/>
    <mergeCell ref="C6:F6"/>
    <mergeCell ref="L4:V4"/>
    <mergeCell ref="L5:V5"/>
    <mergeCell ref="AJ5:AK5"/>
    <mergeCell ref="AF6:AG6"/>
    <mergeCell ref="AH6:AI6"/>
    <mergeCell ref="AJ6:AK6"/>
    <mergeCell ref="L6:V6"/>
    <mergeCell ref="L2:V2"/>
    <mergeCell ref="L3:V3"/>
    <mergeCell ref="AF3:AG3"/>
    <mergeCell ref="AH3:AI3"/>
    <mergeCell ref="C3:F3"/>
    <mergeCell ref="C4:F4"/>
    <mergeCell ref="AF2:AG2"/>
    <mergeCell ref="AF4:AG4"/>
    <mergeCell ref="AH4:AI4"/>
    <mergeCell ref="A1:AK1"/>
    <mergeCell ref="C2:F2"/>
    <mergeCell ref="AH2:AI2"/>
    <mergeCell ref="AJ2:AK2"/>
    <mergeCell ref="AL2:AL32"/>
    <mergeCell ref="AJ3:AK3"/>
    <mergeCell ref="L32:V32"/>
    <mergeCell ref="A33:AL33"/>
    <mergeCell ref="L24:V24"/>
    <mergeCell ref="L25:V25"/>
    <mergeCell ref="AH26:AI26"/>
    <mergeCell ref="AJ26:AK26"/>
    <mergeCell ref="L26:V26"/>
    <mergeCell ref="L27:V27"/>
    <mergeCell ref="AF27:AG27"/>
    <mergeCell ref="AH27:AI27"/>
    <mergeCell ref="C27:F27"/>
    <mergeCell ref="C28:F28"/>
    <mergeCell ref="AJ27:AK27"/>
    <mergeCell ref="AF28:AG28"/>
    <mergeCell ref="AH28:AI28"/>
    <mergeCell ref="AJ28:AK28"/>
    <mergeCell ref="AF29:AG29"/>
    <mergeCell ref="AH29:AI29"/>
    <mergeCell ref="L31:V31"/>
    <mergeCell ref="AF31:AG31"/>
    <mergeCell ref="AH31:AI31"/>
    <mergeCell ref="C31:F31"/>
    <mergeCell ref="C32:F32"/>
    <mergeCell ref="AJ31:AK31"/>
    <mergeCell ref="AF32:AG32"/>
    <mergeCell ref="AH32:AI32"/>
    <mergeCell ref="AJ32:AK32"/>
    <mergeCell ref="L28:V28"/>
    <mergeCell ref="L29:V29"/>
    <mergeCell ref="C29:F29"/>
    <mergeCell ref="C30:F30"/>
    <mergeCell ref="AJ29:AK29"/>
    <mergeCell ref="AF30:AG30"/>
    <mergeCell ref="AH30:AI30"/>
    <mergeCell ref="AJ30:AK30"/>
    <mergeCell ref="L30:V30"/>
  </mergeCells>
  <conditionalFormatting sqref="B18:B29">
    <cfRule type="expression" dxfId="13" priority="3">
      <formula>#REF!="MNG"</formula>
    </cfRule>
    <cfRule type="cellIs" dxfId="12" priority="4" operator="equal">
      <formula>0</formula>
    </cfRule>
  </conditionalFormatting>
  <conditionalFormatting sqref="G3:H32">
    <cfRule type="cellIs" dxfId="11" priority="46" operator="lessThan">
      <formula>#REF!</formula>
    </cfRule>
    <cfRule type="cellIs" dxfId="10" priority="47" operator="greaterThan">
      <formula>#REF!</formula>
    </cfRule>
  </conditionalFormatting>
  <conditionalFormatting sqref="G3:K32">
    <cfRule type="cellIs" dxfId="9" priority="1" operator="equal">
      <formula>0</formula>
    </cfRule>
  </conditionalFormatting>
  <conditionalFormatting sqref="G3:AK32 B3:C32">
    <cfRule type="expression" dxfId="8" priority="54">
      <formula>#REF!&lt;&gt;""</formula>
    </cfRule>
  </conditionalFormatting>
  <conditionalFormatting sqref="I3:J32">
    <cfRule type="expression" dxfId="7" priority="50">
      <formula>#REF!&gt;#REF!</formula>
    </cfRule>
    <cfRule type="expression" dxfId="6" priority="51">
      <formula>#REF!&lt;#REF!</formula>
    </cfRule>
  </conditionalFormatting>
  <conditionalFormatting sqref="I3:K32">
    <cfRule type="cellIs" dxfId="5" priority="2" operator="equal">
      <formula>"0+"</formula>
    </cfRule>
  </conditionalFormatting>
  <conditionalFormatting sqref="K3:K32">
    <cfRule type="expression" dxfId="4" priority="48">
      <formula>#REF!&lt;#REF!</formula>
    </cfRule>
    <cfRule type="expression" dxfId="3" priority="49">
      <formula>#REF!&gt;#REF!</formula>
    </cfRule>
  </conditionalFormatting>
  <conditionalFormatting sqref="L3:V32">
    <cfRule type="cellIs" dxfId="2" priority="44" operator="equal">
      <formula>0&amp;#REF!</formula>
    </cfRule>
    <cfRule type="expression" dxfId="1" priority="45">
      <formula>#REF!&lt;&gt;""</formula>
    </cfRule>
  </conditionalFormatting>
  <conditionalFormatting sqref="L4:V32">
    <cfRule type="expression" dxfId="0" priority="68">
      <formula>#REF!&lt;&gt;""</formula>
    </cfRule>
  </conditionalFormatting>
  <pageMargins left="0.23622047244094502" right="0.23622047244094502" top="0.74803149606299202" bottom="0.74803149606299202" header="0" footer="0"/>
  <pageSetup paperSize="9"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70"/>
  <sheetViews>
    <sheetView zoomScaleNormal="100" workbookViewId="0">
      <selection sqref="A1:S1"/>
    </sheetView>
  </sheetViews>
  <sheetFormatPr defaultColWidth="0" defaultRowHeight="12.75" zeroHeight="1" x14ac:dyDescent="0.2"/>
  <cols>
    <col min="1" max="1" width="25.85546875" customWidth="1"/>
    <col min="2" max="2" width="17.140625" customWidth="1"/>
    <col min="3" max="19" width="8.5703125" customWidth="1"/>
    <col min="20" max="20" width="2.85546875" customWidth="1"/>
    <col min="21" max="21" width="11.42578125" hidden="1" customWidth="1"/>
    <col min="22" max="22" width="8.5703125" hidden="1" customWidth="1"/>
    <col min="23" max="25" width="8.5703125" style="14" hidden="1" customWidth="1"/>
    <col min="26" max="35" width="8.5703125" hidden="1" customWidth="1"/>
    <col min="36" max="36" width="9.140625" hidden="1" customWidth="1"/>
    <col min="37" max="46" width="7.140625" hidden="1" customWidth="1"/>
    <col min="47" max="16384" width="9.140625" hidden="1"/>
  </cols>
  <sheetData>
    <row r="1" spans="1:57" ht="21.75" customHeight="1" x14ac:dyDescent="0.2">
      <c r="A1" s="462" t="str">
        <f>IF(Roster!$K$25="Italiano","MERCENARIO 1",(IF(Roster!$K$25="Español","MERCENARIO 1",(IF(Roster!$K$25="Français","MERCENAIRE 1","MERCENARY 1")))))</f>
        <v>MERCENARY 1</v>
      </c>
      <c r="B1" s="462"/>
      <c r="C1" s="462"/>
      <c r="D1" s="462"/>
      <c r="E1" s="462"/>
      <c r="F1" s="462"/>
      <c r="G1" s="462"/>
      <c r="H1" s="462"/>
      <c r="I1" s="462"/>
      <c r="J1" s="462"/>
      <c r="K1" s="462"/>
      <c r="L1" s="462"/>
      <c r="M1" s="462"/>
      <c r="N1" s="462"/>
      <c r="O1" s="462"/>
      <c r="P1" s="462"/>
      <c r="Q1" s="462"/>
      <c r="R1" s="462"/>
      <c r="S1" s="462"/>
      <c r="T1" s="455"/>
    </row>
    <row r="2" spans="1:57" s="13" customFormat="1" ht="22.5" customHeight="1" x14ac:dyDescent="0.2">
      <c r="A2" s="278" t="str">
        <f>IF(Roster!$K$25="Italiano","MERCENARIO 1",(IF(Roster!$K$25="Español","MERCENARIO 1",(IF(Roster!$K$25="Français","MERCENAIRE 1","MERCENARY 1")))))</f>
        <v>MERCENARY 1</v>
      </c>
      <c r="B2" s="278" t="str">
        <f>IF(Roster!$K$25="Italiano","TIPO",(IF(Roster!$K$25="Español","TIPO",(IF(Roster!$K$25="Deutsch","POSITION",(IF(Roster!$K$25="Français","POSTE","TYPE")))))))</f>
        <v>TYPE</v>
      </c>
      <c r="C2" s="278" t="str">
        <f>IF(Roster!$K$25="Español","MO",(IF(Roster!$K$25="Deutsch","BE",(IF(Roster!$K$25="Français","M","MA")))))</f>
        <v>MA</v>
      </c>
      <c r="D2" s="278" t="str">
        <f>IF(Roster!$K$25="Español","FU",(IF(Roster!$K$25="Français","F","ST")))</f>
        <v>ST</v>
      </c>
      <c r="E2" s="278" t="str">
        <f>IF(Roster!$K$25="Deutsch","GE","AG")</f>
        <v>AG</v>
      </c>
      <c r="F2" s="278" t="str">
        <f>IF(Roster!$K$25="Deutsch","WG",(IF(Roster!$K$25="Français","CP","PA")))</f>
        <v>PA</v>
      </c>
      <c r="G2" s="278" t="str">
        <f>IF(Roster!$K$25="Español","AR",(IF(Roster!$K$25="Deutsch","RW",(IF(Roster!$K$25="Français","AR","AV")))))</f>
        <v>AV</v>
      </c>
      <c r="H2" s="465" t="str">
        <f>IF(Roster!$K$25="Italiano","ABILITÀ",(IF(Roster!$K$25="Español","HABILIDADES",(IF(Roster!$K$25="Deutsch","FERTIGKEITEN",(IF(Roster!$K$25="Français","COMPÉTENCES","SKILLS")))))))</f>
        <v>SKILLS</v>
      </c>
      <c r="I2" s="466"/>
      <c r="J2" s="466"/>
      <c r="K2" s="466"/>
      <c r="L2" s="466"/>
      <c r="M2" s="466"/>
      <c r="N2" s="466"/>
      <c r="O2" s="466"/>
      <c r="P2" s="466"/>
      <c r="Q2" s="466"/>
      <c r="R2" s="467"/>
      <c r="S2" s="278" t="str">
        <f>IF(Roster!$K$25="Italiano","COSTO",(IF(Roster!$K$25="Español","PRECIO",(IF(Roster!$K$25="Deutsch","WERT",(IF(Roster!$K$25="Français","VALEUR","COST")))))))</f>
        <v>COST</v>
      </c>
      <c r="T2" s="455"/>
      <c r="V2" s="228" t="s">
        <v>261</v>
      </c>
      <c r="W2" s="229" t="s">
        <v>206</v>
      </c>
      <c r="X2" s="230"/>
      <c r="Y2" s="228" t="s">
        <v>1266</v>
      </c>
      <c r="Z2" s="231"/>
      <c r="AA2" s="231"/>
      <c r="AB2" s="229"/>
      <c r="AC2" s="230"/>
      <c r="AD2" s="230"/>
      <c r="AE2" s="230"/>
      <c r="AF2" s="228" t="s">
        <v>1271</v>
      </c>
      <c r="AG2" s="231"/>
      <c r="AH2" s="231"/>
      <c r="AI2" s="229"/>
      <c r="AK2" s="457" t="s">
        <v>1311</v>
      </c>
      <c r="AL2" s="458"/>
      <c r="AM2" s="458"/>
      <c r="AN2" s="458"/>
      <c r="AO2" s="459"/>
      <c r="AP2" s="457" t="s">
        <v>1312</v>
      </c>
      <c r="AQ2" s="458"/>
      <c r="AR2" s="458"/>
      <c r="AS2" s="458"/>
      <c r="AT2" s="459"/>
      <c r="AV2" s="8" t="str">
        <f>IF(B3="Stunty Superstar",(IF($K$40="Español","Agallas",(IF($K$40="Deutsch","Abwehren",(IF($K$40="Français","Arracher le ballon","Block")))))),IF($J$24="Español","Agallas",(IF($J$24="Deutsch","Abwehren",(IF($J$24="Français","Arracher le ballon","Block"))))))</f>
        <v>Block</v>
      </c>
      <c r="AW2" s="8" t="s">
        <v>196</v>
      </c>
      <c r="AX2" s="12" t="str">
        <f>IF($K$40="Español","Atrapar",(IF($K$40="Deutsch","Aufspringen",(IF($K$40="Français","Défenseur ","Catch")))))</f>
        <v>Catch</v>
      </c>
      <c r="AY2" s="8" t="s">
        <v>197</v>
      </c>
      <c r="AZ2" s="8" t="str">
        <f>IF($K$40="Español","Atento al Balón",(IF($K$40="Deutsch","Abspiel",(IF($K$40="Français","Canonnier","Accurate")))))</f>
        <v>Accurate</v>
      </c>
      <c r="BA2" s="8" t="s">
        <v>199</v>
      </c>
      <c r="BB2" s="12" t="str">
        <f>IF($K$40="Español","Abrirse Paso",(IF($K$40="Deutsch","Armhebel",(IF($K$40="Français","Bagarre","Arm Bar")))))</f>
        <v>Arm Bar</v>
      </c>
      <c r="BC2" s="8" t="s">
        <v>198</v>
      </c>
      <c r="BD2" s="12" t="str">
        <f>IF($K$40="Español","Apariencia Asquerosa",(IF($K$40="Deutsch","Abstoßendes Aussehen",(IF($K$40="Français","Bras supplémentaire","Big Hand")))))</f>
        <v>Big Hand</v>
      </c>
      <c r="BE2" s="8" t="s">
        <v>200</v>
      </c>
    </row>
    <row r="3" spans="1:57" s="13" customFormat="1" ht="30" customHeight="1" x14ac:dyDescent="0.2">
      <c r="A3" s="252"/>
      <c r="B3" s="252" t="s">
        <v>1265</v>
      </c>
      <c r="C3" s="279" t="str">
        <f>IF((VLOOKUP(B3,Y5:AD10,2,FALSE))+J6+(IF(AE3="G",-2,0))+(IF(OR(AE3="O",AE3="N"),-1,0))=0,"",(VLOOKUP(B3,Y5:AD10,2,FALSE))+J6+(IF(AE3="G",-2,0))+(IF(OR(AE3="O",AE3="N"),-1,0)))</f>
        <v/>
      </c>
      <c r="D3" s="279" t="str">
        <f>IF((VLOOKUP(B3,Y5:AD10,3,FALSE))+L6+(IF(AE3="G",3,0))+(IF(OR(AE3="O",AE3="N"),2,0))=0,"",(VLOOKUP(B3,Y5:AD10,3,FALSE))+L6+(IF(AE3="G",3,0))+(IF(OR(AE3="O",AE3="N"),2,0)))</f>
        <v/>
      </c>
      <c r="E3" s="279" t="str">
        <f>IF((VLOOKUP(B3,Y5:AD10,4,FALSE)+N6+(IF(AE3="J",1,0)))=0,"",(VLOOKUP(B3,Y5:AD10,4,FALSE)+N6+(IF(AE3="J",1,0))&amp;"+"))</f>
        <v/>
      </c>
      <c r="F3" s="279" t="str">
        <f>IF((VLOOKUP(B3,Y5:AD10,5,FALSE)+P6)=0,"",(VLOOKUP(B3,Y5:AD10,5,FALSE)+P6&amp;"+"))</f>
        <v/>
      </c>
      <c r="G3" s="279" t="str">
        <f>IF((VLOOKUP(B3,Y5:AD10,6,FALSE)+R6)=0,"",(VLOOKUP(B3,Y5:AD10,6,FALSE)+R6&amp;"+"))</f>
        <v/>
      </c>
      <c r="H3" s="292" t="str">
        <f>Y3&amp;(IF(Z3&lt;&gt;"",", ",""))&amp;Z3&amp;(IF(AA3&lt;&gt;"",", ",""))&amp;AA3&amp;(IF(AB3&lt;&gt;"",", ",""))&amp;AB3&amp;(IF(AF3&lt;&gt;"",", ",""))&amp;AF3&amp;(IF(AG3&lt;&gt;"",", ",""))&amp;AG3&amp;(IF(AH3&lt;&gt;"",", ",""))&amp;AH3&amp;(IF(AI3&lt;&gt;"",", ",""))&amp;AI3&amp;AK8</f>
        <v/>
      </c>
      <c r="I3" s="293"/>
      <c r="J3" s="293"/>
      <c r="K3" s="293"/>
      <c r="L3" s="293"/>
      <c r="M3" s="293"/>
      <c r="N3" s="293"/>
      <c r="O3" s="293"/>
      <c r="P3" s="293"/>
      <c r="Q3" s="293"/>
      <c r="R3" s="294"/>
      <c r="S3" s="279">
        <f>(VLOOKUP(B3,Y5:AI10,11,FALSE))+W12</f>
        <v>0</v>
      </c>
      <c r="T3" s="455"/>
      <c r="V3" s="232"/>
      <c r="W3" s="233">
        <v>0</v>
      </c>
      <c r="X3" s="225"/>
      <c r="Y3" s="234" t="str">
        <f>VLOOKUP(B3,Y5:AH10,7,FALSE)</f>
        <v/>
      </c>
      <c r="Z3" s="235" t="str">
        <f>VLOOKUP(B3,Y5:AH10,8,FALSE)</f>
        <v/>
      </c>
      <c r="AA3" s="235" t="str">
        <f>VLOOKUP(B3,Y5:AH10,9,FALSE)</f>
        <v/>
      </c>
      <c r="AB3" s="236" t="str">
        <f>VLOOKUP(B3,Y5:AH10,10,FALSE)</f>
        <v/>
      </c>
      <c r="AC3" s="230"/>
      <c r="AD3" s="230"/>
      <c r="AE3" s="230" t="str">
        <f>IFERROR((VLOOKUP(A6,R41:W55,2,FALSE)),"")</f>
        <v/>
      </c>
      <c r="AF3" s="234" t="str">
        <f>IFERROR((VLOOKUP(A6,R41:W55,3,FALSE)),"")</f>
        <v/>
      </c>
      <c r="AG3" s="235" t="str">
        <f>IFERROR((VLOOKUP(A6,R41:W55,4,FALSE)),"")</f>
        <v/>
      </c>
      <c r="AH3" s="235" t="str">
        <f>IFERROR((VLOOKUP(A6,R41:W55,5,FALSE)),"")</f>
        <v/>
      </c>
      <c r="AI3" s="236" t="str">
        <f>IFERROR((VLOOKUP(A6,R41:W55,6,FALSE)),"")</f>
        <v/>
      </c>
      <c r="AK3" s="237">
        <v>0</v>
      </c>
      <c r="AL3" s="238">
        <v>0</v>
      </c>
      <c r="AM3" s="238">
        <v>0</v>
      </c>
      <c r="AN3" s="238">
        <v>0</v>
      </c>
      <c r="AO3" s="233">
        <v>0</v>
      </c>
      <c r="AP3" s="237">
        <v>0</v>
      </c>
      <c r="AQ3" s="238">
        <v>0</v>
      </c>
      <c r="AR3" s="238">
        <v>0</v>
      </c>
      <c r="AS3" s="238">
        <v>0</v>
      </c>
      <c r="AT3" s="233">
        <v>0</v>
      </c>
      <c r="AV3" s="12" t="str">
        <f>IF(B3="Stunty Superstar",(IF($K$40="Español","Forcejear",(IF($K$40="Deutsch","Ball entreißen",(IF($K$40="Français","Blocage","Dauntless")))))),(IF($J$24="Español","Forcejear",(IF($J$24="Deutsch","Ball entreißen",(IF($J$24="Français","Blocage","Dauntless")))))))</f>
        <v>Dauntless</v>
      </c>
      <c r="AW3" s="8" t="s">
        <v>196</v>
      </c>
      <c r="AX3" s="12" t="str">
        <f>IF($K$40="Español","Echarse a un Lado",(IF($K$40="Deutsch","Ausweichen",(IF($K$40="Français","Équilibre","Diving Catch")))))</f>
        <v>Diving Catch</v>
      </c>
      <c r="AY3" s="8" t="s">
        <v>197</v>
      </c>
      <c r="AZ3" s="8" t="str">
        <f>IF($K$40="Español","Cañonero",(IF($K$40="Deutsch","Hau wech das Leder",(IF($K$40="Français","Chef","Cannoneer")))))</f>
        <v>Cannoneer</v>
      </c>
      <c r="BA3" s="8" t="s">
        <v>199</v>
      </c>
      <c r="BB3" s="12" t="str">
        <f>IF($K$40="Español","Apartar",(IF($K$40="Deutsch","Greifer",(IF($K$40="Français","Blocage multiple","Brawler")))))</f>
        <v>Brawler</v>
      </c>
      <c r="BC3" s="8" t="s">
        <v>198</v>
      </c>
      <c r="BD3" s="12" t="str">
        <f>IF($K$40="Español","Boca Monstruosa",(IF($K$40="Deutsch","Eisenharte Haut",(IF($K$40="Français","Cornes","Claw / Claws")))))</f>
        <v>Claw / Claws</v>
      </c>
      <c r="BE3" s="8" t="s">
        <v>200</v>
      </c>
    </row>
    <row r="4" spans="1:57" s="13" customFormat="1" ht="22.5" customHeight="1" x14ac:dyDescent="0.2">
      <c r="A4" s="456" t="str">
        <f>IF(J40="Italiano","AVANZAMIENTO GIOCATORI",(IF(J40="Español","MEJORAS DEL JUGADORE",(IF(J40="Deutsch","SPIELERVERBESSERUNGEN",(IF(J40="Français","AMÉLIORATIONS DE JOUEUR","PLAYER UPGRADES")))))))</f>
        <v>PLAYER UPGRADES</v>
      </c>
      <c r="B4" s="456"/>
      <c r="C4" s="456"/>
      <c r="D4" s="456"/>
      <c r="E4" s="456"/>
      <c r="F4" s="456"/>
      <c r="G4" s="456"/>
      <c r="H4" s="456"/>
      <c r="I4" s="456"/>
      <c r="J4" s="456"/>
      <c r="K4" s="456"/>
      <c r="L4" s="456"/>
      <c r="M4" s="456"/>
      <c r="N4" s="456"/>
      <c r="O4" s="456"/>
      <c r="P4" s="456"/>
      <c r="Q4" s="456"/>
      <c r="R4" s="456"/>
      <c r="S4" s="456"/>
      <c r="T4" s="455"/>
      <c r="U4" s="9"/>
      <c r="V4" s="232" t="str">
        <f>IF($B$3="Stunty Superstar",C43,(IF($B$3="Legendary Linemen",F43,(IF($B$3="Brutal Blockers",I43,(IF($B$3="Reliable Ringers",L43,(IF($B$3="Bona Fide Big Guy",O43,"")))))))))</f>
        <v/>
      </c>
      <c r="W4" s="233" t="str">
        <f>IF($B$3="Stunty Superstar",D43,(IF($B$3="Legendary Linemen",G43,(IF($B$3="Brutal Blockers",J43,(IF($B$3="Reliable Ringers",M43,(IF($B$3="Bona Fide Big Guy",P43,"")))))))))</f>
        <v/>
      </c>
      <c r="X4" s="230"/>
      <c r="Y4" s="230"/>
      <c r="Z4" s="230"/>
      <c r="AA4" s="230"/>
      <c r="AB4" s="230"/>
      <c r="AC4" s="230"/>
      <c r="AD4" s="230"/>
      <c r="AE4" s="230"/>
      <c r="AF4" s="230"/>
      <c r="AG4" s="230"/>
      <c r="AH4" s="230"/>
      <c r="AI4" s="230"/>
      <c r="AK4" s="237">
        <v>1</v>
      </c>
      <c r="AL4" s="238">
        <v>0</v>
      </c>
      <c r="AM4" s="238">
        <f>IF(B3="Legendary Linemen",0,-1)</f>
        <v>-1</v>
      </c>
      <c r="AN4" s="238">
        <f>IF(B3="Brutal Blockers",0,-1)</f>
        <v>-1</v>
      </c>
      <c r="AO4" s="233">
        <v>1</v>
      </c>
      <c r="AP4" s="237">
        <f>IF(OR(B3="Legendary Linemen",B3="Bona Fide Big Guy"),20000,30000)</f>
        <v>30000</v>
      </c>
      <c r="AQ4" s="238">
        <v>0</v>
      </c>
      <c r="AR4" s="238">
        <f>IF(OR(B3="Stunty Superstar",B3="Bona Fide Big Guy"),40000,(IF(B3="Legendary Linemen",0,50000)))</f>
        <v>50000</v>
      </c>
      <c r="AS4" s="238">
        <f>IF(B3="Brutal Blockers",0,30000)</f>
        <v>30000</v>
      </c>
      <c r="AT4" s="233">
        <f>IF(B3="Stunty Superstar",30000,(IF(B3="Reliable Ringers",40000,20000)))</f>
        <v>20000</v>
      </c>
      <c r="AV4" s="12" t="str">
        <f>IF(B3="Stunty Superstar",(IF($K$40="Español","Furia",(IF($K$40="Deutsch","Ballgefühl",(IF($K$40="Français","Frappe précise","Fend")))))),(IF($J$24="Español","Furia",(IF($J$24="Deutsch","Ballgefühl",(IF($J$24="Français","Frappe précise","Dirty Player (+1)")))))))</f>
        <v>Dirty Player (+1)</v>
      </c>
      <c r="AW4" s="8" t="s">
        <v>196</v>
      </c>
      <c r="AX4" s="12" t="str">
        <f>IF($K$40="Español","En Pie de un Salto",(IF($K$40="Deutsch","Fangsicher",(IF($K$40="Français","Esquive","Diving Tackle")))))</f>
        <v>Diving Tackle</v>
      </c>
      <c r="AY4" s="8" t="s">
        <v>197</v>
      </c>
      <c r="AZ4" s="12" t="str">
        <f>IF($K$40="Español","Dejada",(IF($K$40="Deutsch","Im Laufen passen",(IF($K$40="Français","Délestage","Cloud Burster")))))</f>
        <v>Cloud Burster</v>
      </c>
      <c r="BA4" s="8" t="s">
        <v>199</v>
      </c>
      <c r="BB4" s="12" t="str">
        <f>IF($K$40="Español","Brazo Fuerte",(IF($K$40="Deutsch","Knochenbrecher (+1)",(IF($K$40="Français","Bras musclé","Break Tackle")))))</f>
        <v>Break Tackle</v>
      </c>
      <c r="BC4" s="8" t="s">
        <v>198</v>
      </c>
      <c r="BD4" s="12" t="str">
        <f>IF($K$40="Español","Brazos Adicionales",(IF($K$40="Deutsch","Große Hand",(IF($K$40="Français","Deux tête","Disturbing Presence")))))</f>
        <v>Disturbing Presence</v>
      </c>
      <c r="BE4" s="8" t="s">
        <v>200</v>
      </c>
    </row>
    <row r="5" spans="1:57" s="13" customFormat="1" ht="22.5" customHeight="1" x14ac:dyDescent="0.2">
      <c r="A5" s="465" t="s">
        <v>1263</v>
      </c>
      <c r="B5" s="466"/>
      <c r="C5" s="466"/>
      <c r="D5" s="466"/>
      <c r="E5" s="466"/>
      <c r="F5" s="466"/>
      <c r="G5" s="466"/>
      <c r="H5" s="467"/>
      <c r="I5" s="278" t="str">
        <f>IF(Roster!$K$25="Italiano","COSTO",(IF(Roster!$K$25="Español","PRECIO",(IF(Roster!$K$25="Deutsch","WERT",(IF(Roster!$K$25="Français","VALEUR","COST")))))))</f>
        <v>COST</v>
      </c>
      <c r="J5" s="278" t="str">
        <f>IF(Roster!$K$25="Español","MO",(IF(Roster!$K$25="Deutsch","BE",(IF(Roster!$K$25="Français","M","MA")))))</f>
        <v>MA</v>
      </c>
      <c r="K5" s="278" t="str">
        <f>IF(Roster!$K$25="Italiano","COSTO",(IF(Roster!$K$25="Español","PRECIO",(IF(Roster!$K$25="Deutsch","WERT",(IF(Roster!$K$25="Français","VALEUR","COST")))))))</f>
        <v>COST</v>
      </c>
      <c r="L5" s="278" t="str">
        <f>IF(Roster!$K$25="Español","FU",(IF(Roster!$K$25="Français","F","ST")))</f>
        <v>ST</v>
      </c>
      <c r="M5" s="278" t="str">
        <f>IF(Roster!$K$25="Italiano","COSTO",(IF(Roster!$K$25="Español","PRECIO",(IF(Roster!$K$25="Deutsch","WERT",(IF(Roster!$K$25="Français","VALEUR","COST")))))))</f>
        <v>COST</v>
      </c>
      <c r="N5" s="278" t="str">
        <f>IF(Roster!$K$25="Deutsch","GE","AG")</f>
        <v>AG</v>
      </c>
      <c r="O5" s="278" t="str">
        <f>IF(Roster!$K$25="Italiano","COSTO",(IF(Roster!$K$25="Español","PRECIO",(IF(Roster!$K$25="Deutsch","WERT",(IF(Roster!$K$25="Français","VALEUR","COST")))))))</f>
        <v>COST</v>
      </c>
      <c r="P5" s="278" t="str">
        <f>IF(Roster!$K$25="Deutsch","WG",(IF(Roster!$K$25="Français","CP","PA")))</f>
        <v>PA</v>
      </c>
      <c r="Q5" s="278" t="str">
        <f>IF(Roster!$K$25="Italiano","COSTO",(IF(Roster!$K$25="Español","PRECIO",(IF(Roster!$K$25="Deutsch","WERT",(IF(Roster!$K$25="Français","VALEUR","COST")))))))</f>
        <v>COST</v>
      </c>
      <c r="R5" s="278" t="str">
        <f>IF(Roster!$K$25="Español","AR",(IF(Roster!$K$25="Deutsch","RW",(IF(Roster!$K$25="Français","AR","AV")))))</f>
        <v>AV</v>
      </c>
      <c r="S5" s="278" t="str">
        <f>IF(Roster!$K$25="Italiano","COSTO",(IF(Roster!$K$25="Español","PRECIO",(IF(Roster!$K$25="Deutsch","WERT",(IF(Roster!$K$25="Français","VALEUR","COST")))))))</f>
        <v>COST</v>
      </c>
      <c r="T5" s="455"/>
      <c r="U5" s="9"/>
      <c r="V5" s="232" t="str">
        <f>IF($B$3="Stunty Superstar",(IF(Roster!BV2="BadlandsBrawl",(IF(Roster!BV2="FavouredofWorldsEdgeSuperleagueBadlandsBrawl",(IF(Roster!BV2="BadlandsBrawlUnderworldChallenge",(IF(Roster!BV2="HalflingThimbleCupOldWorldClassic",(IF(Roster!BV2="BadlandsBrawlOldWorldClassic",(IF(Roster!BV2="BadlandsBrawlOldWorldClassic",C44,(IF($B$3="Legendary Linemen",F44,(IF($B$3="Brutal Blockers",I44,(IF($B$3="Reliable Ringers",L44,(IF($B$3="Bona Fide Big Guy",O44,"")))))))))))))))))),"")),"")</f>
        <v/>
      </c>
      <c r="W5" s="233" t="str">
        <f t="shared" ref="W5:W10" si="0">IF($B$3="Stunty Superstar",D44,(IF($B$3="Legendary Linemen",G44,(IF($B$3="Brutal Blockers",J44,(IF($B$3="Reliable Ringers",M44,(IF($B$3="Bona Fide Big Guy",P44,"")))))))))</f>
        <v/>
      </c>
      <c r="X5" s="230"/>
      <c r="Y5" s="228" t="s">
        <v>1265</v>
      </c>
      <c r="Z5" s="239">
        <v>0</v>
      </c>
      <c r="AA5" s="239">
        <v>0</v>
      </c>
      <c r="AB5" s="239">
        <v>0</v>
      </c>
      <c r="AC5" s="239">
        <v>0</v>
      </c>
      <c r="AD5" s="239">
        <v>0</v>
      </c>
      <c r="AE5" s="231" t="str">
        <f>""</f>
        <v/>
      </c>
      <c r="AF5" s="231" t="str">
        <f>""</f>
        <v/>
      </c>
      <c r="AG5" s="231" t="str">
        <f>""</f>
        <v/>
      </c>
      <c r="AH5" s="231" t="str">
        <f>""</f>
        <v/>
      </c>
      <c r="AI5" s="259">
        <v>0</v>
      </c>
      <c r="AK5" s="237">
        <v>2</v>
      </c>
      <c r="AL5" s="238">
        <v>0</v>
      </c>
      <c r="AM5" s="238">
        <f>IF(B3="Legendary Linemen",0,-2)</f>
        <v>-2</v>
      </c>
      <c r="AN5" s="238">
        <f>IF(B3="Brutal Blockers",0,-2)</f>
        <v>-2</v>
      </c>
      <c r="AO5" s="233">
        <v>2</v>
      </c>
      <c r="AP5" s="237">
        <f>IF(OR(B3="Stunty Superstar",B3="Reliable Ringers"),70000,(IF(B3="Legendary Linemen",40000,50000)))</f>
        <v>50000</v>
      </c>
      <c r="AQ5" s="238">
        <v>0</v>
      </c>
      <c r="AR5" s="238">
        <f>IF(OR(B3="Stunty Superstar",B3="Bona Fide Big Guy"),80000,(IF(B3="Legendary Linemen",0,100000)))</f>
        <v>100000</v>
      </c>
      <c r="AS5" s="238">
        <f>IF(B3="Brutal Blockers",0,70000)</f>
        <v>70000</v>
      </c>
      <c r="AT5" s="233">
        <f>IF(B3="Stunty Superstar",70000,(IF(B3="Reliable Ringers",80000,40000)))</f>
        <v>40000</v>
      </c>
      <c r="AV5" s="12" t="str">
        <f>IF(B3="Stunty Superstar",(IF($K$40="Español","Manos Seguras",(IF($K$40="Deutsch","Block",(IF($K$40="Français","Frénésie ","Frenzy")))))),(IF($J$24="Español","Juego Sucio (+1)",(IF($J$24="Deutsch","Block",(IF($J$24="Français","Frénésie ","Fend")))))))</f>
        <v>Fend</v>
      </c>
      <c r="AW5" s="8" t="s">
        <v>196</v>
      </c>
      <c r="AX5" s="12" t="str">
        <f>IF($K$40="Español","Esprintar",(IF($K$40="Deutsch","Fliegender Tackle",(IF($K$40="Français","Glissade contrôlée","Dodge")))))</f>
        <v>Dodge</v>
      </c>
      <c r="AY5" s="8" t="s">
        <v>197</v>
      </c>
      <c r="AZ5" s="12" t="str">
        <f>IF($K$40="Español","Líder",(IF($K$40="Deutsch","In die Wolken",(IF($K$40="Français","Fumblerooskie","Dump-Off")))))</f>
        <v>Dump-Off</v>
      </c>
      <c r="BA5" s="8" t="s">
        <v>199</v>
      </c>
      <c r="BB5" s="12" t="str">
        <f>IF($K$40="Español","Cabeza Dura",(IF($K$40="Deutsch","Mehrfachblock",(IF($K$40="Français","Châtaigne (+1)","Grab")))))</f>
        <v>Grab</v>
      </c>
      <c r="BC5" s="8" t="s">
        <v>198</v>
      </c>
      <c r="BD5" s="12" t="str">
        <f>IF($K$40="Español","Cola Prensil",(IF($K$40="Deutsch","Hörner",(IF($K$40="Français","Grande gueule","Extra Arms")))))</f>
        <v>Extra Arms</v>
      </c>
      <c r="BE5" s="8" t="s">
        <v>200</v>
      </c>
    </row>
    <row r="6" spans="1:57" s="13" customFormat="1" ht="22.5" customHeight="1" x14ac:dyDescent="0.2">
      <c r="A6" s="468"/>
      <c r="B6" s="469"/>
      <c r="C6" s="469"/>
      <c r="D6" s="469"/>
      <c r="E6" s="469"/>
      <c r="F6" s="469"/>
      <c r="G6" s="469"/>
      <c r="H6" s="470"/>
      <c r="I6" s="280">
        <f>IFERROR((VLOOKUP(A6,V4:W10,2,FALSE)),0)</f>
        <v>0</v>
      </c>
      <c r="J6" s="279">
        <v>0</v>
      </c>
      <c r="K6" s="280">
        <f>IFERROR((VLOOKUP(J6,AK3:AT7,6,FALSE)),"ILEGAL")</f>
        <v>0</v>
      </c>
      <c r="L6" s="279">
        <v>0</v>
      </c>
      <c r="M6" s="280">
        <f>IFERROR((VLOOKUP(L6,AL3:AT7,6,FALSE)),"ILEGAL")</f>
        <v>0</v>
      </c>
      <c r="N6" s="279">
        <v>0</v>
      </c>
      <c r="O6" s="280">
        <f>IFERROR((VLOOKUP(N6,AM3:AT7,6,FALSE)),"ILEGAL")</f>
        <v>0</v>
      </c>
      <c r="P6" s="279">
        <v>0</v>
      </c>
      <c r="Q6" s="280">
        <f>IFERROR((VLOOKUP(P6,AN3:AT7,6,FALSE)),"ILEGAL")</f>
        <v>0</v>
      </c>
      <c r="R6" s="279">
        <v>0</v>
      </c>
      <c r="S6" s="280">
        <f>IFERROR((VLOOKUP(R6,AO3:AT7,6,FALSE)),"ILEGAL")</f>
        <v>0</v>
      </c>
      <c r="T6" s="455"/>
      <c r="U6" s="9"/>
      <c r="V6" s="232" t="str">
        <f>IF($B$3="Stunty Superstar",C45,(IF($B$3="Legendary Linemen",F45,(IF($B$3="Brutal Blockers",I45,(IF($B$3="Reliable Ringers",L45,(IF($B$3="Bona Fide Big Guy",O45,"")))))))))</f>
        <v/>
      </c>
      <c r="W6" s="233" t="str">
        <f t="shared" si="0"/>
        <v/>
      </c>
      <c r="X6" s="230"/>
      <c r="Y6" s="232" t="s">
        <v>1267</v>
      </c>
      <c r="Z6" s="238">
        <v>5</v>
      </c>
      <c r="AA6" s="238">
        <v>2</v>
      </c>
      <c r="AB6" s="238">
        <v>3</v>
      </c>
      <c r="AC6" s="238">
        <v>4</v>
      </c>
      <c r="AD6" s="238">
        <v>6</v>
      </c>
      <c r="AE6" s="240" t="str">
        <f>IF(((COUNTIF(AE3,"A"))+(COUNTIF(AE3,"B"))+(COUNTIF(AE3,"H"))+(COUNTIF(AE3,"I"))+(COUNTIF(AE3,"M")))=1,"Loner (5+)","Loner (4+)")</f>
        <v>Loner (4+)</v>
      </c>
      <c r="AF6" s="240" t="s">
        <v>272</v>
      </c>
      <c r="AG6" s="240" t="s">
        <v>1268</v>
      </c>
      <c r="AH6" s="240" t="s">
        <v>1269</v>
      </c>
      <c r="AI6" s="233">
        <v>30000</v>
      </c>
      <c r="AK6" s="237">
        <v>-1</v>
      </c>
      <c r="AL6" s="238">
        <v>-1</v>
      </c>
      <c r="AM6" s="238">
        <v>1</v>
      </c>
      <c r="AN6" s="238">
        <v>1</v>
      </c>
      <c r="AO6" s="233">
        <v>-1</v>
      </c>
      <c r="AP6" s="237">
        <v>-10000</v>
      </c>
      <c r="AQ6" s="238">
        <v>-10000</v>
      </c>
      <c r="AR6" s="238">
        <v>-10000</v>
      </c>
      <c r="AS6" s="238">
        <v>-10000</v>
      </c>
      <c r="AT6" s="233">
        <v>-10000</v>
      </c>
      <c r="AV6" s="12" t="str">
        <f>IF(B3="Stunty Superstar",(IF($K$40="Español","Patada",(IF($K$40="Deutsch","Kicken",(IF($K$40="Français","Intrépide","Kick")))))),(IF($J$24="Español","Manos Seguras",(IF($J$24="Deutsch","Brutal (+1)",(IF($J$24="Français","Intrépide","Frenzy")))))))</f>
        <v>Frenzy</v>
      </c>
      <c r="AW6" s="8" t="s">
        <v>196</v>
      </c>
      <c r="AX6" s="12" t="str">
        <f>IF($K$40="Español","Esquivar",(IF($K$40="Deutsch","Gewandt",(IF($K$40="Français","Libération contrôlée","Defensive")))))</f>
        <v>Defensive</v>
      </c>
      <c r="AY6" s="8" t="s">
        <v>197</v>
      </c>
      <c r="AZ6" s="12" t="str">
        <f>IF($K$40="Español","Nervios de Acero",(IF($K$40="Deutsch","Immer am Ball",(IF($K$40="Français","Nerfs d’acier","Fumblerooskie")))))</f>
        <v>Fumblerooskie</v>
      </c>
      <c r="BA6" s="8" t="s">
        <v>199</v>
      </c>
      <c r="BB6" s="12" t="str">
        <f>IF($K$40="Español","Crujir",(IF($K$40="Deutsch","Ramme",(IF($K$40="Français","Clé de bras","Guard")))))</f>
        <v>Guard</v>
      </c>
      <c r="BC6" s="8" t="s">
        <v>198</v>
      </c>
      <c r="BD6" s="12" t="str">
        <f>IF($K$40="Español","Cuernos",(IF($K$40="Deutsch","Klammerschwanz",(IF($K$40="Français","Griffes","Foul Appearance")))))</f>
        <v>Foul Appearance</v>
      </c>
      <c r="BE6" s="8" t="s">
        <v>200</v>
      </c>
    </row>
    <row r="7" spans="1:57" s="13" customFormat="1" ht="22.5" customHeight="1" x14ac:dyDescent="0.2">
      <c r="A7" s="281" t="str">
        <f>IF(Roster!$K$25="Italiano","TIPO",(IF(Roster!$K$25="Español","TIPO",(IF(Roster!$K$25="Deutsch","POSITION",(IF(Roster!$K$25="Français","POSTE","TYPE")))))))</f>
        <v>TYPE</v>
      </c>
      <c r="B7" s="282" t="str">
        <f>IF($J$40="Italiano","AVANZAMENTO 1",(IF($J$40="Español","MEJORA 1",(IF($J$40="Deutsch","VERBES-SERUNG 1",(IF($J$40="Français","AMÉLIORATION 1","UPGRADE 1")))))))</f>
        <v>UPGRADE 1</v>
      </c>
      <c r="C7" s="283" t="str">
        <f>IF(Roster!$K$25="Italiano","COSTO",(IF(Roster!$K$25="Español","PRECIO",(IF(Roster!$K$25="Deutsch","WERT",(IF(Roster!$K$25="Français","VALEUR","COST")))))))</f>
        <v>COST</v>
      </c>
      <c r="D7" s="463" t="str">
        <f>IF($J$40="Italiano","AVANZAMENTO 2",(IF($J$40="Español","MEJORA 2",(IF($J$40="Deutsch","VERBES-SERUNG 2",(IF($J$40="Français","AMÉLIORATION 2","UPGRADE 2")))))))</f>
        <v>UPGRADE 2</v>
      </c>
      <c r="E7" s="464"/>
      <c r="F7" s="283" t="str">
        <f>IF(Roster!$K$25="Italiano","COSTO",(IF(Roster!$K$25="Español","PRECIO",(IF(Roster!$K$25="Deutsch","WERT",(IF(Roster!$K$25="Français","VALEUR","COST")))))))</f>
        <v>COST</v>
      </c>
      <c r="G7" s="463" t="str">
        <f>IF($J$40="Italiano","AVANZAMENTO 3",(IF($J$40="Español","MEJORA 3",(IF($J$40="Deutsch","VERBES-SERUNG 3",(IF($J$40="Français","AMÉLIORATION 3","UPGRADE 3")))))))</f>
        <v>UPGRADE 3</v>
      </c>
      <c r="H7" s="464"/>
      <c r="I7" s="278" t="str">
        <f>IF(Roster!$K$25="Italiano","COSTO",(IF(Roster!$K$25="Español","PRECIO",(IF(Roster!$K$25="Deutsch","WERT",(IF(Roster!$K$25="Français","VALEUR","COST")))))))</f>
        <v>COST</v>
      </c>
      <c r="J7" s="463" t="str">
        <f>IF($J$40="Italiano","AVANZAMENTO 4",(IF($J$40="Español","MEJORA 4",(IF($J$40="Deutsch","VERBES-SERUNG 4",(IF($J$40="Français","AMÉLIORATION 4","UPGRADE 4")))))))</f>
        <v>UPGRADE 4</v>
      </c>
      <c r="K7" s="464"/>
      <c r="L7" s="278" t="str">
        <f>IF(Roster!$K$25="Italiano","COSTO",(IF(Roster!$K$25="Español","PRECIO",(IF(Roster!$K$25="Deutsch","WERT",(IF(Roster!$K$25="Français","VALEUR","COST")))))))</f>
        <v>COST</v>
      </c>
      <c r="M7" s="463" t="str">
        <f>IF($J$40="Italiano","AVANZAMENTO 5",(IF($J$40="Español","MEJORA 5",(IF($J$40="Deutsch","VERBES-SERUNG 5",(IF($J$40="Français","AMÉLIORATION 5","UPGRADE 5")))))))</f>
        <v>UPGRADE 5</v>
      </c>
      <c r="N7" s="464"/>
      <c r="O7" s="278" t="str">
        <f>IF(Roster!$K$25="Italiano","COSTO",(IF(Roster!$K$25="Español","PRECIO",(IF(Roster!$K$25="Deutsch","WERT",(IF(Roster!$K$25="Français","VALEUR","COST")))))))</f>
        <v>COST</v>
      </c>
      <c r="P7" s="463" t="str">
        <f>IF($J$40="Italiano","AVANZAMENTO 6",(IF($J$40="Español","MEJORA 6",(IF($J$40="Deutsch","VERBES-SERUNG 6",(IF($J$40="Français","AMÉLIORATION 6","UPGRADE 6")))))))</f>
        <v>UPGRADE 6</v>
      </c>
      <c r="Q7" s="464"/>
      <c r="R7" s="278" t="str">
        <f>IF(Roster!$K$25="Italiano","COSTO",(IF(Roster!$K$25="Español","PRECIO",(IF(Roster!$K$25="Deutsch","WERT",(IF(Roster!$K$25="Français","VALEUR","COST")))))))</f>
        <v>COST</v>
      </c>
      <c r="S7" s="278" t="s">
        <v>1264</v>
      </c>
      <c r="T7" s="455"/>
      <c r="U7" s="9"/>
      <c r="V7" s="232" t="str">
        <f>IF($B$3="Stunty Superstar",C46,(IF($B$3="Legendary Linemen",F46,(IF($B$3="Brutal Blockers",I46,(IF($B$3="Reliable Ringers",L46,(IF($B$3="Bona Fide Big Guy",O46,"")))))))))</f>
        <v/>
      </c>
      <c r="W7" s="233" t="str">
        <f t="shared" si="0"/>
        <v/>
      </c>
      <c r="X7" s="230"/>
      <c r="Y7" s="232" t="s">
        <v>1270</v>
      </c>
      <c r="Z7" s="238">
        <v>6</v>
      </c>
      <c r="AA7" s="238">
        <v>3</v>
      </c>
      <c r="AB7" s="238">
        <v>3</v>
      </c>
      <c r="AC7" s="238">
        <v>4</v>
      </c>
      <c r="AD7" s="238">
        <v>9</v>
      </c>
      <c r="AE7" s="240" t="str">
        <f>IF(((COUNTIF(AE3,"A"))+(COUNTIF(AE3,"B"))+(COUNTIF(AE3,"H"))+(COUNTIF(AE3,"I"))+(COUNTIF(AE3,"M")))=1,"Loner (5+)","Loner (4+)")</f>
        <v>Loner (4+)</v>
      </c>
      <c r="AF7" s="240" t="str">
        <f>""</f>
        <v/>
      </c>
      <c r="AG7" s="240" t="str">
        <f>""</f>
        <v/>
      </c>
      <c r="AH7" s="240" t="str">
        <f>""</f>
        <v/>
      </c>
      <c r="AI7" s="233">
        <v>50000</v>
      </c>
      <c r="AK7" s="241">
        <v>-2</v>
      </c>
      <c r="AL7" s="242">
        <f>IF(B3="Stunty Superstar",0,-2)</f>
        <v>-2</v>
      </c>
      <c r="AM7" s="242">
        <v>2</v>
      </c>
      <c r="AN7" s="242">
        <v>2</v>
      </c>
      <c r="AO7" s="243">
        <v>-2</v>
      </c>
      <c r="AP7" s="241">
        <v>-20000</v>
      </c>
      <c r="AQ7" s="242">
        <v>-20000</v>
      </c>
      <c r="AR7" s="242">
        <v>-20000</v>
      </c>
      <c r="AS7" s="242">
        <v>-20000</v>
      </c>
      <c r="AT7" s="243">
        <v>-20000</v>
      </c>
      <c r="AV7" s="12" t="str">
        <f>IF(B3="Stunty Superstar",(IF($K$40="Español","Perseguir",(IF($K$40="Deutsch","Manndeckung",(IF($K$40="Français","Lutte","Pro")))))),(IF($J$24="Español","Patada",(IF($J$24="Deutsch","Kicken",(IF($J$24="Français","Joueur Déloyal (+1)","Kick")))))))</f>
        <v>Kick</v>
      </c>
      <c r="AW7" s="8" t="s">
        <v>196</v>
      </c>
      <c r="AX7" s="12" t="str">
        <f>IF($K$40="Español","Furtivo",(IF($K$40="Deutsch","Hechtsprung",(IF($K$40="Français","Réception ","Jump Up")))))</f>
        <v>Jump Up</v>
      </c>
      <c r="AY7" s="8" t="s">
        <v>197</v>
      </c>
      <c r="AZ7" s="12" t="str">
        <f>IF($K$40="Español","Partenubes",(IF($K$40="Deutsch","Kanonier",(IF($K$40="Français","Passe","Hail Mary Pass")))))</f>
        <v>Hail Mary Pass</v>
      </c>
      <c r="BA7" s="8" t="s">
        <v>199</v>
      </c>
      <c r="BB7" s="8" t="str">
        <f>IF($K$40="Español","Defensa",(IF($K$40="Deutsch","Raufbold",(IF($K$40="Français","Crâne épais","Juggernaut")))))</f>
        <v>Juggernaut</v>
      </c>
      <c r="BC7" s="8" t="s">
        <v>198</v>
      </c>
      <c r="BD7" s="12" t="str">
        <f>IF($K$40="Español","Dos Cabezas",(IF($K$40="Deutsch","Klauen",(IF($K$40="Français","Main démesurée","Horns")))))</f>
        <v>Horns</v>
      </c>
      <c r="BE7" s="8" t="s">
        <v>200</v>
      </c>
    </row>
    <row r="8" spans="1:57" s="13" customFormat="1" ht="22.5" customHeight="1" x14ac:dyDescent="0.2">
      <c r="A8" s="284" t="str">
        <f>IF($J$40="Italiano","GENERALE:",(IF($J$40="Français","GÉNÉRALE:","GENERAL:")))</f>
        <v>GENERAL:</v>
      </c>
      <c r="B8" s="252"/>
      <c r="C8" s="280">
        <f>IF(B8&lt;&gt;"",(IF(B3="Legendary Linemen",20000,(IF(B3="Reliable Ringers",30000,(IF(B3="Mercenaries",0,40000)))))),0)</f>
        <v>0</v>
      </c>
      <c r="D8" s="460"/>
      <c r="E8" s="461"/>
      <c r="F8" s="280" t="str">
        <f>IF(B3&lt;&gt;"Legendary Linemen","ILEGAL",(IF(D8&lt;&gt;"",50000,0)))</f>
        <v>ILEGAL</v>
      </c>
      <c r="G8" s="460"/>
      <c r="H8" s="461"/>
      <c r="I8" s="280" t="str">
        <f>IF(B3&lt;&gt;"Legendary Linemen","ILEGAL",(IF(G8&lt;&gt;"",80000,0)))</f>
        <v>ILEGAL</v>
      </c>
      <c r="J8" s="460"/>
      <c r="K8" s="461"/>
      <c r="L8" s="280" t="str">
        <f>IF(B3&lt;&gt;"Legendary Linemen","ILEGAL",(IF(J8&lt;&gt;"",110000,0)))</f>
        <v>ILEGAL</v>
      </c>
      <c r="M8" s="460"/>
      <c r="N8" s="461"/>
      <c r="O8" s="280" t="str">
        <f>IF(B3&lt;&gt;"Legendary Linemen","ILEGAL",(IF(M8&lt;&gt;"",140000,0)))</f>
        <v>ILEGAL</v>
      </c>
      <c r="P8" s="460"/>
      <c r="Q8" s="461"/>
      <c r="R8" s="280" t="str">
        <f>IF(B3&lt;&gt;"Legendary Linemen","ILEGAL",(IF(P8&lt;&gt;"",170000,0)))</f>
        <v>ILEGAL</v>
      </c>
      <c r="S8" s="280">
        <f>SUM(C8,F8,I8,L8,O8,R8)</f>
        <v>0</v>
      </c>
      <c r="T8" s="455"/>
      <c r="U8" s="9"/>
      <c r="V8" s="232" t="str">
        <f>IF($B$3="Stunty Superstar",C47,(IF($B$3="Legendary Linemen",F47,(IF($B$3="Brutal Blockers",I47,(IF($B$3="Reliable Ringers",L47,(IF($B$3="Bona Fide Big Guy",O47,"")))))))))</f>
        <v/>
      </c>
      <c r="W8" s="233" t="str">
        <f t="shared" si="0"/>
        <v/>
      </c>
      <c r="X8" s="230"/>
      <c r="Y8" s="232" t="s">
        <v>1272</v>
      </c>
      <c r="Z8" s="238">
        <v>4</v>
      </c>
      <c r="AA8" s="238">
        <v>4</v>
      </c>
      <c r="AB8" s="238">
        <v>4</v>
      </c>
      <c r="AC8" s="238">
        <v>6</v>
      </c>
      <c r="AD8" s="238">
        <v>9</v>
      </c>
      <c r="AE8" s="240" t="str">
        <f>IF(((COUNTIF(AE3,"A"))+(COUNTIF(AE3,"B"))+(COUNTIF(AE3,"H"))+(COUNTIF(AE3,"I"))+(COUNTIF(AE3,"M")))=1,"Loner (5+)","Loner (4+)")</f>
        <v>Loner (4+)</v>
      </c>
      <c r="AF8" s="240" t="str">
        <f>IF(OR(AE3="H",AE3="M"),"Mighty Blow (+2)","")</f>
        <v/>
      </c>
      <c r="AG8" s="240" t="str">
        <f>""</f>
        <v/>
      </c>
      <c r="AH8" s="240" t="str">
        <f>""</f>
        <v/>
      </c>
      <c r="AI8" s="233">
        <v>70000</v>
      </c>
      <c r="AK8" s="230" t="str">
        <f>B8&amp;(IF(D8&lt;&gt;"",", ",""))&amp;D8&amp;(IF(G8&lt;&gt;"",", ",""))&amp;G8&amp;(IF(J8&lt;&gt;"",", ",""))&amp;J8&amp;(IF(M8&lt;&gt;"",", ",""))&amp;M8&amp;(IF(P8&lt;&gt;"",", ",""))&amp;P8&amp;(IF(B9&lt;&gt;"",", ",""))&amp;B9&amp;(IF(D9&lt;&gt;"",", ",""))&amp;D9&amp;(IF(G9&lt;&gt;"",", ",""))&amp;G9&amp;(IF(J9&lt;&gt;"",", ",""))&amp;J9&amp;(IF(M9&lt;&gt;"",", ",""))&amp;M9&amp;(IF(P9&lt;&gt;"",", ",""))&amp;P9&amp;(IF(B10&lt;&gt;"",", ",""))&amp;B10&amp;(IF(D10&lt;&gt;"",", ",""))&amp;D10&amp;(IF(G10&lt;&gt;"",", ",""))&amp;G10&amp;(IF(J10&lt;&gt;"",", ",""))&amp;J10&amp;(IF(M10&lt;&gt;"",", ",""))&amp;M10&amp;(IF(P10&lt;&gt;"",", ",""))&amp;P10&amp;(IF(B11&lt;&gt;"",", ",""))&amp;B11&amp;(IF(D11&lt;&gt;"",", ",""))&amp;D11&amp;(IF(G11&lt;&gt;"",", ",""))&amp;G11&amp;(IF(J11&lt;&gt;"",", ",""))&amp;J11&amp;(IF(M11&lt;&gt;"",", ",""))&amp;M11&amp;(IF(P11&lt;&gt;"",", ",""))&amp;P11&amp;(IF(B12&lt;&gt;"",", ",""))&amp;B12&amp;(IF(D12&lt;&gt;"",", ",""))&amp;D12&amp;(IF(G12&lt;&gt;"",", ",""))&amp;G12&amp;(IF(J12&lt;&gt;"",", ",""))&amp;J12&amp;(IF(M12&lt;&gt;"",", ",""))&amp;M12&amp;(IF(P12&lt;&gt;"",", ",""))&amp;P12</f>
        <v/>
      </c>
      <c r="AV8" s="12" t="str">
        <f>IF(B3="Stunty Superstar",(IF($K$40="Español","Placaje Defensivo",(IF($K$40="Deutsch","Profi",(IF($K$40="Français","Parade","Shadowing")))))),(IF($J$24="Español","Perseguir",(IF($J$24="Deutsch","Manndeckung",(IF($J$24="Français","Lutte","Pro")))))))</f>
        <v>Pro</v>
      </c>
      <c r="AW8" s="8" t="s">
        <v>196</v>
      </c>
      <c r="AX8" s="12" t="str">
        <f>IF($K$40="Español","Pies Firmes",(IF($K$40="Deutsch","Heimtückisch",(IF($K$40="Français","Réception plongeante ","Leap")))))</f>
        <v>Leap</v>
      </c>
      <c r="AY8" s="8" t="s">
        <v>197</v>
      </c>
      <c r="AZ8" s="12" t="str">
        <f>IF($K$40="Español","Pasar",(IF($K$40="Deutsch","Nerven aus Stahl",(IF($K$40="Français","Passe assurée","Leader")))))</f>
        <v>Leader</v>
      </c>
      <c r="BA8" s="8" t="s">
        <v>199</v>
      </c>
      <c r="BB8" s="8" t="str">
        <f>IF($K$40="Español","Golpe Mortífero (+1)",(IF($K$40="Deutsch","Schweres Gerät",(IF($K$40="Français","Esquive en force","Mighty Blow (+1)")))))</f>
        <v>Mighty Blow (+1)</v>
      </c>
      <c r="BC8" s="8" t="s">
        <v>198</v>
      </c>
      <c r="BD8" s="8" t="str">
        <f>IF($K$40="Español","Garra / Garras",(IF($K$40="Deutsch","Monströses Maul",(IF($K$40="Français","Queue préhensile","Iron Hard Skin")))))</f>
        <v>Iron Hard Skin</v>
      </c>
      <c r="BE8" s="8" t="s">
        <v>200</v>
      </c>
    </row>
    <row r="9" spans="1:57" s="13" customFormat="1" ht="22.5" customHeight="1" x14ac:dyDescent="0.2">
      <c r="A9" s="284" t="str">
        <f>IF($J$40="Italiano","FORZA:",(IF($J$40="Español","FUERZA:",(IF($J$40="Français","FORCE:","STRENGTH:")))))</f>
        <v>STRENGTH:</v>
      </c>
      <c r="B9" s="252"/>
      <c r="C9" s="280">
        <f>IF(B9&lt;&gt;"",(IF(B3="Stunty Superstar","ILEGAL",(IF(B3="Reliable Ringers",50000,(IF(B3="Mercenaries",0,30000)))))),0)</f>
        <v>0</v>
      </c>
      <c r="D9" s="460"/>
      <c r="E9" s="461"/>
      <c r="F9" s="280" t="str">
        <f>IF($B$3&lt;&gt;"Brutal Blockers",(IF($B$3&lt;&gt;"Bona Fide Big Guy","ILEGAL",(IF(D9&lt;&gt;"",70000,0)))),(IF(D9&lt;&gt;"",70000,0)))</f>
        <v>ILEGAL</v>
      </c>
      <c r="G9" s="460"/>
      <c r="H9" s="461"/>
      <c r="I9" s="280" t="str">
        <f>IF($B$3&lt;&gt;"Brutal Blockers",(IF($B$3&lt;&gt;"Bona Fide Big Guy","ILEGAL",(IF(G9&lt;&gt;"",110000,0)))),(IF(G9&lt;&gt;"",110000,0)))</f>
        <v>ILEGAL</v>
      </c>
      <c r="J9" s="460"/>
      <c r="K9" s="461"/>
      <c r="L9" s="280" t="str">
        <f>IF($B$3&lt;&gt;"Brutal Blockers",(IF($B$3&lt;&gt;"Bona Fide Big Guy","ILEGAL",(IF(J9&lt;&gt;"",150000,0)))),(IF(J9&lt;&gt;"",150000,0)))</f>
        <v>ILEGAL</v>
      </c>
      <c r="M9" s="460"/>
      <c r="N9" s="461"/>
      <c r="O9" s="280" t="str">
        <f>IF($B$3&lt;&gt;"Brutal Blockers",(IF($B$3&lt;&gt;"Bona Fide Big Guy","ILEGAL",(IF(M9&lt;&gt;"",190000,0)))),(IF(M9&lt;&gt;"",190000,0)))</f>
        <v>ILEGAL</v>
      </c>
      <c r="P9" s="460"/>
      <c r="Q9" s="461"/>
      <c r="R9" s="280" t="str">
        <f>IF($B$3&lt;&gt;"Brutal Blockers",(IF($B$3&lt;&gt;"Bona Fide Big Guy","ILEGAL",(IF(P9&lt;&gt;"",230000,0)))),(IF(P9&lt;&gt;"",230000,0)))</f>
        <v>ILEGAL</v>
      </c>
      <c r="S9" s="280">
        <f>SUM(C9,F9,I9,L9,O9,R9)</f>
        <v>0</v>
      </c>
      <c r="T9" s="455"/>
      <c r="V9" s="232" t="str">
        <f>IF($B$3="Stunty Superstar",C48,(IF($B$3="Legendary Linemen",F48,(IF($B$3="Brutal Blockers",I48,(IF($B$3="Reliable Ringers",L48,(IF($B$3="Bona Fide Big Guy",O48,"")))))))))</f>
        <v/>
      </c>
      <c r="W9" s="233" t="str">
        <f t="shared" si="0"/>
        <v/>
      </c>
      <c r="X9" s="230"/>
      <c r="Y9" s="232" t="s">
        <v>1261</v>
      </c>
      <c r="Z9" s="238">
        <v>6</v>
      </c>
      <c r="AA9" s="238">
        <v>3</v>
      </c>
      <c r="AB9" s="238">
        <v>2</v>
      </c>
      <c r="AC9" s="238">
        <v>3</v>
      </c>
      <c r="AD9" s="238">
        <v>8</v>
      </c>
      <c r="AE9" s="240" t="str">
        <f>IF(((COUNTIF(AE3,"A"))+(COUNTIF(AE3,"B"))+(COUNTIF(AE3,"H"))+(COUNTIF(AE3,"I"))+(COUNTIF(AE3,"M")))=1,"Loner (5+)","Loner (4+)")</f>
        <v>Loner (4+)</v>
      </c>
      <c r="AF9" s="240" t="str">
        <f>""</f>
        <v/>
      </c>
      <c r="AG9" s="240" t="str">
        <f>""</f>
        <v/>
      </c>
      <c r="AH9" s="240" t="str">
        <f>""</f>
        <v/>
      </c>
      <c r="AI9" s="233">
        <v>70000</v>
      </c>
      <c r="AV9" s="12" t="str">
        <f>IF(B3="Stunty Superstar",(IF($K$40="Español","Placar",(IF($K$40="Deutsch","Rasend",(IF($K$40="Français","Poursuite","Strip Ball")))))),(IF($J$24="Español","Placaje Defensivo",(IF($J$24="Deutsch","Profi",(IF($J$24="Français","Parade","Shadowing")))))))</f>
        <v>Shadowing</v>
      </c>
      <c r="AW9" s="8" t="s">
        <v>196</v>
      </c>
      <c r="AX9" s="12" t="str">
        <f>IF($K$40="Español","Placaje Heroico",(IF($K$40="Deutsch","Sichere Hände",(IF($K$40="Français","Rétablissement","Safe Pair of Hands")))))</f>
        <v>Safe Pair of Hands</v>
      </c>
      <c r="AY9" s="8" t="s">
        <v>197</v>
      </c>
      <c r="AZ9" s="12" t="str">
        <f>IF($K$40="Español","Pase a la Carrera",(IF($K$40="Deutsch","Scheinpatzer",(IF($K$40="Français","Passe dans la course","Nerves of Steel")))))</f>
        <v>Nerves of Steel</v>
      </c>
      <c r="BA9" s="8" t="s">
        <v>199</v>
      </c>
      <c r="BB9" s="8" t="str">
        <f>IF($K$40="Español","Imparable",(IF($K$40="Deutsch","Standfest",(IF($K$40="Français","Garde","Multiple Blocks")))))</f>
        <v>Multiple Blocks</v>
      </c>
      <c r="BC9" s="8" t="s">
        <v>198</v>
      </c>
      <c r="BD9" s="8" t="str">
        <f>IF($K$40="Español","Mano Grande",(IF($K$40="Deutsch","Sehr lange Beine",(IF($K$40="Français","Peau de fer","Monstrous Mouth")))))</f>
        <v>Monstrous Mouth</v>
      </c>
      <c r="BE9" s="8" t="s">
        <v>200</v>
      </c>
    </row>
    <row r="10" spans="1:57" s="13" customFormat="1" ht="22.5" customHeight="1" x14ac:dyDescent="0.2">
      <c r="A10" s="284" t="str">
        <f>IF($J$40="Italiano","AGILITÀ:",(IF($J$40="Español","AGILIDAD:",(IF($J$40="Deutsch","AGILITÄT:",(IF($J$40="Français","AGILITÉ:","AGILITY:")))))))</f>
        <v>AGILITY:</v>
      </c>
      <c r="B10" s="252"/>
      <c r="C10" s="280">
        <f>IF(B3="Bona Fide Big Guy","ILEGAL",IF(B10&lt;&gt;"",(IF(B3="Stunty Superstar",10000,(IF(B3="Brutal Blockers",40000,(IF(B3="Mercenaries",0,30000)))))),0))</f>
        <v>0</v>
      </c>
      <c r="D10" s="460"/>
      <c r="E10" s="461"/>
      <c r="F10" s="280" t="str">
        <f>IF($B$3&lt;&gt;"Stunty Superstar",(IF($B$3&lt;&gt;"Reliable Ringers","ILEGAL",(IF(D10&lt;&gt;"",70000,0)))),(IF(D10&lt;&gt;"",30000,0)))</f>
        <v>ILEGAL</v>
      </c>
      <c r="G10" s="460"/>
      <c r="H10" s="461"/>
      <c r="I10" s="280" t="str">
        <f>IF($B$3&lt;&gt;"Stunty Superstar",(IF($B$3&lt;&gt;"Reliable Ringers","ILEGAL",(IF(G10&lt;&gt;"",110000,0)))),(IF(G10&lt;&gt;"",50000,0)))</f>
        <v>ILEGAL</v>
      </c>
      <c r="J10" s="460"/>
      <c r="K10" s="461"/>
      <c r="L10" s="280" t="str">
        <f>IF($B$3&lt;&gt;"Stunty Superstar",(IF($B$3&lt;&gt;"Reliable Ringers","ILEGAL",(IF(J10&lt;&gt;"",150000,0)))),(IF(J10&lt;&gt;"",70000,0)))</f>
        <v>ILEGAL</v>
      </c>
      <c r="M10" s="460"/>
      <c r="N10" s="461"/>
      <c r="O10" s="280" t="str">
        <f>IF($B$3&lt;&gt;"Stunty Superstar",(IF($B$3&lt;&gt;"Reliable Ringers","ILEGAL",(IF(M10&lt;&gt;"",190000,0)))),(IF(M10&lt;&gt;"",90000,0)))</f>
        <v>ILEGAL</v>
      </c>
      <c r="P10" s="460"/>
      <c r="Q10" s="461"/>
      <c r="R10" s="280" t="str">
        <f>IF($B$3&lt;&gt;"Stunty Superstar",(IF($B$3&lt;&gt;"Reliable Ringers","ILEGAL",(IF(P10&lt;&gt;"",230000,0)))),(IF(P10&lt;&gt;"",110000,0)))</f>
        <v>ILEGAL</v>
      </c>
      <c r="S10" s="280">
        <f>SUM(C10,F10,I10,L10,O10,R10)</f>
        <v>0</v>
      </c>
      <c r="T10" s="455"/>
      <c r="V10" s="234" t="str">
        <f>IF($B$3="Stunty Superstar",C49,(IF($B$3="Legendary Linemen",F49,(IF($B$3="Brutal Blockers",I49,(IF($B$3="Reliable Ringers",L49,(IF($B$3="Bona Fide Big Guy",O49,"")))))))))</f>
        <v/>
      </c>
      <c r="W10" s="243" t="str">
        <f t="shared" si="0"/>
        <v/>
      </c>
      <c r="X10" s="230"/>
      <c r="Y10" s="234" t="s">
        <v>1273</v>
      </c>
      <c r="Z10" s="242">
        <v>4</v>
      </c>
      <c r="AA10" s="242">
        <v>5</v>
      </c>
      <c r="AB10" s="242">
        <v>4</v>
      </c>
      <c r="AC10" s="242">
        <v>5</v>
      </c>
      <c r="AD10" s="242">
        <v>9</v>
      </c>
      <c r="AE10" s="235" t="str">
        <f>IF(((COUNTIF(AE3,"A"))+(COUNTIF(AE3,"B"))+(COUNTIF(AE3,"H"))+(COUNTIF(AE3,"I"))+(COUNTIF(AE3,"M")))=1,"Loner (5+)","Loner (4+)")</f>
        <v>Loner (4+)</v>
      </c>
      <c r="AF10" s="235" t="str">
        <f>IF(OR(AE3="J",AE3="K",AE3="L",AE3="M",AE3="N"),"","Bone Head")</f>
        <v>Bone Head</v>
      </c>
      <c r="AG10" s="235" t="str">
        <f>IF(OR(AE3="H",AE3="M"),"Mighty Blow (+2)","Mighty Blow (+1)")</f>
        <v>Mighty Blow (+1)</v>
      </c>
      <c r="AH10" s="235" t="str">
        <f>IF(OR(AE3="K",AE3="L"),"","Throw Team Mate")</f>
        <v>Throw Team Mate</v>
      </c>
      <c r="AI10" s="243">
        <v>130000</v>
      </c>
      <c r="AV10" s="12" t="str">
        <f>IF(B3="Stunty Superstar",(IF($K$40="Español","Profesional",(IF($K$40="Deutsch","Tackle",(IF($K$40="Français","Prise sûre","Sure Hands")))))),(IF($J$24="Español","Placar",(IF($J$24="Deutsch","Rasend",(IF($J$24="Français","Poursuite","Strip Ball")))))))</f>
        <v>Strip Ball</v>
      </c>
      <c r="AW10" s="8" t="s">
        <v>196</v>
      </c>
      <c r="AX10" s="12" t="str">
        <f>IF($K$40="Español","Proteger el Cuero",(IF($K$40="Deutsch","Springen",(IF($K$40="Français","Saut","Sidestep")))))</f>
        <v>Sidestep</v>
      </c>
      <c r="AY10" s="8" t="s">
        <v>197</v>
      </c>
      <c r="AZ10" s="12" t="str">
        <f>IF($K$40="Español","Pase a lo Loco",(IF($K$40="Deutsch","Sicherer Pass",(IF($K$40="Français","Passe désespérée","On the Ball")))))</f>
        <v>On the Ball</v>
      </c>
      <c r="BA10" s="8" t="s">
        <v>199</v>
      </c>
      <c r="BB10" s="8" t="str">
        <f>IF($K$40="Español","Llave de Brazo",(IF($K$40="Deutsch","Starker Wurfarm",(IF($K$40="Français","Juggernaut","Pile Diver")))))</f>
        <v>Pile Diver</v>
      </c>
      <c r="BC10" s="8" t="s">
        <v>198</v>
      </c>
      <c r="BD10" s="12" t="str">
        <f>IF($K$40="Español","Piel Ferrea",(IF($K$40="Deutsch","Tentakel",(IF($K$40="Français","Présence perturbante","Prehensile Tail")))))</f>
        <v>Prehensile Tail</v>
      </c>
      <c r="BE10" s="8" t="s">
        <v>200</v>
      </c>
    </row>
    <row r="11" spans="1:57" s="13" customFormat="1" ht="22.5" customHeight="1" x14ac:dyDescent="0.2">
      <c r="A11" s="284" t="str">
        <f>IF($J$40="Español","PASE:",(IF($J$40="Français","PASSER:","PASS:")))</f>
        <v>PASS:</v>
      </c>
      <c r="B11" s="252"/>
      <c r="C11" s="280">
        <f>IF(B11&lt;&gt;"",(IF(B3="Mercenaries",0,(IF(OR(B3="Reliable Ringers",B3="Bona Fide Big Guy"),30000,20000)))),0)</f>
        <v>0</v>
      </c>
      <c r="D11" s="460"/>
      <c r="E11" s="461"/>
      <c r="F11" s="280" t="s">
        <v>1262</v>
      </c>
      <c r="G11" s="460"/>
      <c r="H11" s="461"/>
      <c r="I11" s="280" t="s">
        <v>1262</v>
      </c>
      <c r="J11" s="460"/>
      <c r="K11" s="461"/>
      <c r="L11" s="280" t="s">
        <v>1262</v>
      </c>
      <c r="M11" s="460"/>
      <c r="N11" s="461"/>
      <c r="O11" s="280" t="s">
        <v>1262</v>
      </c>
      <c r="P11" s="460"/>
      <c r="Q11" s="461"/>
      <c r="R11" s="280" t="s">
        <v>1262</v>
      </c>
      <c r="S11" s="280">
        <f>SUM(C11,F11,I11,L11,O11,R11)</f>
        <v>0</v>
      </c>
      <c r="T11" s="455"/>
      <c r="V11" s="230"/>
      <c r="W11" s="230"/>
      <c r="X11" s="230"/>
      <c r="Y11" s="230"/>
      <c r="Z11" s="230"/>
      <c r="AA11" s="230"/>
      <c r="AB11" s="230"/>
      <c r="AC11" s="230"/>
      <c r="AD11" s="230"/>
      <c r="AE11" s="230"/>
      <c r="AF11" s="230"/>
      <c r="AG11" s="230"/>
      <c r="AH11" s="230"/>
      <c r="AI11" s="230"/>
      <c r="AV11" s="12" t="str">
        <f>IF(B3="Stunty Superstar",(IF($K$40="Español","Robar Balón",(IF($K$40="Deutsch","Unerschrocken",(IF($K$40="Français","Pro","Tackle")))))),(IF($J$24="Español","Profesional",(IF($J$24="Deutsch","Tackle",(IF($J$24="Français","Prise sûre","Sure Hands")))))))</f>
        <v>Sure Hands</v>
      </c>
      <c r="AW11" s="8" t="s">
        <v>196</v>
      </c>
      <c r="AX11" s="12" t="str">
        <f>IF($K$40="Español","Recepción Heroica",(IF($K$40="Deutsch","Sprinten",(IF($K$40="Français","Sprint","Sneaky Git")))))</f>
        <v>Sneaky Git</v>
      </c>
      <c r="AY11" s="8" t="s">
        <v>197</v>
      </c>
      <c r="AZ11" s="12" t="str">
        <f>IF($K$40="Español","Pase Precipitado",(IF($K$40="Deutsch","Teamkapitän",(IF($K$40="Français","Perce-nuage","Pass")))))</f>
        <v>Pass</v>
      </c>
      <c r="BA11" s="8" t="s">
        <v>199</v>
      </c>
      <c r="BB11" s="8" t="str">
        <f>IF($K$40="Español","Luchador",(IF($K$40="Deutsch","Tackle durchbrechen",(IF($K$40="Français","Mateau-pilon","Stand Firm")))))</f>
        <v>Stand Firm</v>
      </c>
      <c r="BC11" s="8" t="s">
        <v>198</v>
      </c>
      <c r="BD11" s="12" t="str">
        <f>IF($K$40="Español","Piernas muy Largas",(IF($K$40="Deutsch","Verstörende Präsenz",(IF($K$40="Français","Répulsion","Tentacles")))))</f>
        <v>Tentacles</v>
      </c>
      <c r="BE11" s="8" t="s">
        <v>200</v>
      </c>
    </row>
    <row r="12" spans="1:57" s="13" customFormat="1" ht="22.5" customHeight="1" x14ac:dyDescent="0.2">
      <c r="A12" s="278" t="str">
        <f>IF($J$40="Italiano","MUTAZIONE:",(IF($J$40="Español","MUTACIÓN:","MUTATION:")))</f>
        <v>MUTATION:</v>
      </c>
      <c r="B12" s="252"/>
      <c r="C12" s="280">
        <f>IF(B3="Reliable Ringers","ILEGAL",IF(B12&lt;&gt;"",(IF(B3="Mercenaries",0,(IF(OR(B3="Brutal Blockers",B3="Bona Fide Big Guy"),40000,IF(B3="Stunty Superstar",30000,IF(B3="Legendary Linemen",30000,(IF(B12="Big Hand",30000,(IF(B12="Extra Arms",20000,(IF(B12="Two Heads",30000,(IF(B12="Very Long Legs",30000,0)))))))))))))),0))</f>
        <v>0</v>
      </c>
      <c r="D12" s="460"/>
      <c r="E12" s="461"/>
      <c r="F12" s="280" t="str">
        <f>IF(B3="Reliable Ringers","ILEGAL",IF(OR($B$3="Stunty Superstar",$B$3="Brutal Blockers",$B$3="Bona Fide Big Guy",$B$3="Mercenaries"),"ILEGAL",(IF(D12&lt;&gt;"",(IF($B$3="Legendary Linemen",70000,(IF(D12="Big Hand",30000,(IF(D12="Extra Arms",20000,(IF(D12="Two Heads",30000,(IF(D12="Very Long Legs",30000,"ILEGAL")))))))))),0))))</f>
        <v>ILEGAL</v>
      </c>
      <c r="G12" s="460"/>
      <c r="H12" s="461"/>
      <c r="I12" s="280" t="str">
        <f>IF(B3="Reliable Ringers","ILEGAL",IF(OR($B$3="Stunty Superstar",$B$3="Brutal Blockers",$B$3="Bona Fide Big Guy",$B$3="Mercenaries"),"ILEGAL",(IF(G12&lt;&gt;"",(IF($B$3="Legendary Linemen",110000,(IF(G12="Big Hand",30000,(IF(G12="Extra Arms",20000,(IF(G12="Two Heads",30000,(IF(G12="Very Long Legs",30000,0)))))))))),0))))</f>
        <v>ILEGAL</v>
      </c>
      <c r="J12" s="460"/>
      <c r="K12" s="461"/>
      <c r="L12" s="280" t="str">
        <f>IF(B3="Reliable Ringers","ILEGAL",IF(OR($B$3="Stunty Superstar",$B$3="Brutal Blockers",$B$3="Bona Fide Big Guy",$B$3="Mercenaries"),"ILEGAL",(IF(J12&lt;&gt;"",(IF($B$3="Legendary Linemen",150000,(IF(J12="Big Hand",30000,(IF(J12="Extra Arms",20000,(IF(J12="Two Heads",30000,(IF(J12="Very Long Legs",30000,0)))))))))),0))))</f>
        <v>ILEGAL</v>
      </c>
      <c r="M12" s="460"/>
      <c r="N12" s="461"/>
      <c r="O12" s="280" t="str">
        <f>IF(B3&lt;&gt;"Legendary Linemen","ILEGAL",(IF(M12&lt;&gt;"",190000,0)))</f>
        <v>ILEGAL</v>
      </c>
      <c r="P12" s="460"/>
      <c r="Q12" s="461"/>
      <c r="R12" s="280" t="str">
        <f>IF(B3&lt;&gt;"Legendary Linemen","ILEGAL",(IF(P12&lt;&gt;"",230000,0)))</f>
        <v>ILEGAL</v>
      </c>
      <c r="S12" s="280">
        <f>SUM(C12,F12,I12,L12,O12,R12)</f>
        <v>0</v>
      </c>
      <c r="T12" s="455"/>
      <c r="V12" s="244" t="s">
        <v>1264</v>
      </c>
      <c r="W12" s="245">
        <f>SUM(Y12:AI12)</f>
        <v>0</v>
      </c>
      <c r="X12" s="245"/>
      <c r="Y12" s="245">
        <f>IF(K6="ILEGAL",0,K6)</f>
        <v>0</v>
      </c>
      <c r="Z12" s="245">
        <f>IF(M6="ILEGAL",0,M6)</f>
        <v>0</v>
      </c>
      <c r="AA12" s="245">
        <f>IF(O6="ILEGAL",0,O6)</f>
        <v>0</v>
      </c>
      <c r="AB12" s="245">
        <f>IF(Q6="ILEGAL",0,Q6)</f>
        <v>0</v>
      </c>
      <c r="AC12" s="245">
        <f>IF(S6="ILEGAL",0,S6)</f>
        <v>0</v>
      </c>
      <c r="AD12" s="245">
        <f>I6</f>
        <v>0</v>
      </c>
      <c r="AE12" s="245">
        <f>S8</f>
        <v>0</v>
      </c>
      <c r="AF12" s="245">
        <f>S9</f>
        <v>0</v>
      </c>
      <c r="AG12" s="245">
        <f>S10</f>
        <v>0</v>
      </c>
      <c r="AH12" s="245">
        <f>S11</f>
        <v>0</v>
      </c>
      <c r="AI12" s="246">
        <f>S12</f>
        <v>0</v>
      </c>
      <c r="AV12" s="12" t="str">
        <f>IF(B3="Stunty Superstar",(IF($K$40="Español","Zafarse",(IF($K$40="Deutsch","Wrestling",(IF($K$40="Français","Tacle","Wrestle")))))),(IF($J$24="Español","Robar Balón",(IF($J$24="Deutsch","Unerschrocken",(IF($J$24="Français","Pro","Tackle")))))))</f>
        <v>Tackle</v>
      </c>
      <c r="AW12" s="8" t="s">
        <v>196</v>
      </c>
      <c r="AX12" s="12" t="str">
        <f>IF($K$40="Español","Romper Defensas",(IF($K$40="Deutsch","Sprintensicher",(IF($K$40="Français","Sournois","Sprint")))))</f>
        <v>Sprint</v>
      </c>
      <c r="AY12" s="8" t="s">
        <v>197</v>
      </c>
      <c r="AZ12" s="12" t="str">
        <f>IF($K$40="Español","Pase Seguro",(IF($K$40="Deutsch","Wurfsicher",(IF($K$40="Français","Précision","Running Pass")))))</f>
        <v>Running Pass</v>
      </c>
      <c r="BA12" s="8" t="s">
        <v>199</v>
      </c>
      <c r="BB12" s="8" t="str">
        <f>IF($K$40="Español","Mantenerse Firme",(IF($K$40="Deutsch","Robust",(IF($K$40="Français","Projection","Strong Arm")))))</f>
        <v>Strong Arm</v>
      </c>
      <c r="BC12" s="8" t="s">
        <v>198</v>
      </c>
      <c r="BD12" s="12" t="str">
        <f>IF($K$40="Español","Presencia Perturbadora",(IF($K$40="Deutsch","Zwei Köpfe",(IF($K$40="Français","Tentacule","Two Heads")))))</f>
        <v>Two Heads</v>
      </c>
      <c r="BE12" s="8" t="s">
        <v>200</v>
      </c>
    </row>
    <row r="13" spans="1:57" s="13" customFormat="1" ht="15" customHeight="1" x14ac:dyDescent="0.2">
      <c r="A13" s="285"/>
      <c r="B13" s="286"/>
      <c r="C13" s="286"/>
      <c r="D13" s="286"/>
      <c r="E13" s="286"/>
      <c r="F13" s="286"/>
      <c r="G13" s="286"/>
      <c r="H13" s="286"/>
      <c r="I13" s="286"/>
      <c r="J13" s="286"/>
      <c r="K13" s="286"/>
      <c r="L13" s="286"/>
      <c r="M13" s="286"/>
      <c r="N13" s="286"/>
      <c r="O13" s="286"/>
      <c r="P13" s="286"/>
      <c r="Q13" s="286"/>
      <c r="R13" s="286"/>
      <c r="S13" s="286"/>
      <c r="T13" s="455"/>
      <c r="V13" s="238"/>
      <c r="W13" s="238"/>
      <c r="X13" s="238"/>
      <c r="Y13" s="238"/>
      <c r="Z13" s="238"/>
      <c r="AA13" s="238"/>
      <c r="AB13" s="238"/>
      <c r="AC13" s="238"/>
      <c r="AD13" s="238"/>
      <c r="AE13" s="238"/>
      <c r="AF13" s="238"/>
      <c r="AG13" s="238"/>
      <c r="AH13" s="238"/>
      <c r="AI13" s="238"/>
      <c r="AV13" s="12" t="str">
        <f>IF(B3="Stunty Superstar","",(IF($J$24="Español","Zafarse",(IF($J$24="Deutsch","Wrestling",(IF($J$24="Français","Tacle","Wrestle")))))))</f>
        <v>Wrestle</v>
      </c>
      <c r="AW13" s="8" t="s">
        <v>196</v>
      </c>
      <c r="AX13" s="12" t="str">
        <f>IF($K$40="Español","Saltar",(IF($K$40="Deutsch","Wehrhaft",(IF($K$40="Français","Tacle plongeant ","Sure Feet")))))</f>
        <v>Sure Feet</v>
      </c>
      <c r="AY13" s="8" t="s">
        <v>197</v>
      </c>
      <c r="AZ13" s="12" t="str">
        <f>IF($K$40="Español","Precisión",(IF($K$40="Deutsch","Zielsicher",(IF($K$40="Français","Sur le ballon","Safe Pass")))))</f>
        <v>Safe Pass</v>
      </c>
      <c r="BA13" s="8" t="s">
        <v>199</v>
      </c>
      <c r="BB13" s="8" t="str">
        <f>IF($K$40="Español","Placaje Múltiple",(IF($K$40="Deutsch","Unterstützen",(IF($K$40="Français","Stabilité","Thick Skull")))))</f>
        <v>Thick Skull</v>
      </c>
      <c r="BC13" s="8" t="s">
        <v>198</v>
      </c>
      <c r="BD13" s="12" t="str">
        <f>IF($K$40="Español","Tentáculos",(IF($K$40="Deutsch","Zusätzliche Arme",(IF($K$40="Français","Très longues jambes","Very Long Legs")))))</f>
        <v>Very Long Legs</v>
      </c>
      <c r="BE13" s="8" t="s">
        <v>200</v>
      </c>
    </row>
    <row r="14" spans="1:57" ht="21.75" customHeight="1" x14ac:dyDescent="0.2">
      <c r="A14" s="462" t="str">
        <f>IF(Roster!$K$25="Italiano","MERCENARIO 2",(IF(Roster!$K$25="Español","MERCENARIO 2",(IF(Roster!$K$25="Français","MERCENAIRE 2","MERCENARY 2")))))</f>
        <v>MERCENARY 2</v>
      </c>
      <c r="B14" s="462"/>
      <c r="C14" s="462"/>
      <c r="D14" s="462"/>
      <c r="E14" s="462"/>
      <c r="F14" s="462"/>
      <c r="G14" s="462"/>
      <c r="H14" s="462"/>
      <c r="I14" s="462"/>
      <c r="J14" s="462"/>
      <c r="K14" s="462"/>
      <c r="L14" s="462"/>
      <c r="M14" s="462"/>
      <c r="N14" s="462"/>
      <c r="O14" s="462"/>
      <c r="P14" s="462"/>
      <c r="Q14" s="462"/>
      <c r="R14" s="462"/>
      <c r="S14" s="462"/>
      <c r="T14" s="455"/>
    </row>
    <row r="15" spans="1:57" s="13" customFormat="1" ht="22.5" customHeight="1" x14ac:dyDescent="0.2">
      <c r="A15" s="278" t="str">
        <f>IF(Roster!$K$25="Italiano","MERCENARIO 2",(IF(Roster!$K$25="Español","MERCENARIO 2",(IF(Roster!$K$25="Français","MERCENAIRE 2","MERCENARY 2")))))</f>
        <v>MERCENARY 2</v>
      </c>
      <c r="B15" s="278" t="str">
        <f>IF(Roster!$K$25="Italiano","TIPO",(IF(Roster!$K$25="Español","TIPO",(IF(Roster!$K$25="Deutsch","POSITION",(IF(Roster!$K$25="Français","POSTE","TYPE")))))))</f>
        <v>TYPE</v>
      </c>
      <c r="C15" s="278" t="str">
        <f>IF(Roster!$K$25="Español","MO",(IF(Roster!$K$25="Deutsch","BE",(IF(Roster!$K$25="Français","M","MA")))))</f>
        <v>MA</v>
      </c>
      <c r="D15" s="278" t="str">
        <f>IF(Roster!$K$25="Español","FU",(IF(Roster!$K$25="Français","F","ST")))</f>
        <v>ST</v>
      </c>
      <c r="E15" s="278" t="str">
        <f>IF(Roster!$K$25="Deutsch","GE","AG")</f>
        <v>AG</v>
      </c>
      <c r="F15" s="278" t="str">
        <f>IF(Roster!$K$25="Deutsch","WG",(IF(Roster!$K$25="Français","CP","PA")))</f>
        <v>PA</v>
      </c>
      <c r="G15" s="278" t="str">
        <f>IF(Roster!$K$25="Español","AR",(IF(Roster!$K$25="Deutsch","RW",(IF(Roster!$K$25="Français","AR","AV")))))</f>
        <v>AV</v>
      </c>
      <c r="H15" s="465" t="str">
        <f>IF(Roster!$K$25="Italiano","ABILITÀ",(IF(Roster!$K$25="Español","HABILIDADES",(IF(Roster!$K$25="Deutsch","FERTIGKEITEN",(IF(Roster!$K$25="Français","COMPÉTENCES","SKILLS")))))))</f>
        <v>SKILLS</v>
      </c>
      <c r="I15" s="466"/>
      <c r="J15" s="466"/>
      <c r="K15" s="466"/>
      <c r="L15" s="466"/>
      <c r="M15" s="466"/>
      <c r="N15" s="466"/>
      <c r="O15" s="466"/>
      <c r="P15" s="466"/>
      <c r="Q15" s="466"/>
      <c r="R15" s="467"/>
      <c r="S15" s="278" t="str">
        <f>IF(Roster!$K$25="Italiano","COSTO",(IF(Roster!$K$25="Español","PRECIO",(IF(Roster!$K$25="Deutsch","WERT",(IF(Roster!$K$25="Français","VALEUR","COST")))))))</f>
        <v>COST</v>
      </c>
      <c r="T15" s="455"/>
      <c r="V15" s="228" t="s">
        <v>261</v>
      </c>
      <c r="W15" s="229" t="s">
        <v>206</v>
      </c>
      <c r="X15" s="230"/>
      <c r="Y15" s="228" t="s">
        <v>1266</v>
      </c>
      <c r="Z15" s="231"/>
      <c r="AA15" s="231"/>
      <c r="AB15" s="229"/>
      <c r="AC15" s="230"/>
      <c r="AD15" s="230"/>
      <c r="AE15" s="230"/>
      <c r="AF15" s="228" t="s">
        <v>1271</v>
      </c>
      <c r="AG15" s="231"/>
      <c r="AH15" s="231"/>
      <c r="AI15" s="229"/>
      <c r="AK15" s="457" t="s">
        <v>1311</v>
      </c>
      <c r="AL15" s="458"/>
      <c r="AM15" s="458"/>
      <c r="AN15" s="458"/>
      <c r="AO15" s="459"/>
      <c r="AP15" s="457" t="s">
        <v>1312</v>
      </c>
      <c r="AQ15" s="458"/>
      <c r="AR15" s="458"/>
      <c r="AS15" s="458"/>
      <c r="AT15" s="459"/>
      <c r="AV15" s="197"/>
    </row>
    <row r="16" spans="1:57" s="13" customFormat="1" ht="30" customHeight="1" x14ac:dyDescent="0.2">
      <c r="A16" s="252"/>
      <c r="B16" s="252" t="s">
        <v>1265</v>
      </c>
      <c r="C16" s="279" t="str">
        <f>IF((VLOOKUP(B16,Y18:AD23,2,FALSE))+J19+(IF(AE16="G",-2,0))+(IF(OR(AE16="O",AE16="N"),-1,0))=0,"",(VLOOKUP(B16,Y18:AD23,2,FALSE))+J19+(IF(AE16="G",-2,0))+(IF(OR(AE16="O",AE16="N"),-1,0)))</f>
        <v/>
      </c>
      <c r="D16" s="279" t="str">
        <f>IF((VLOOKUP(B16,Y18:AD23,3,FALSE))+L19+(IF(AE16="G",3,0))+(IF(OR(AE16="O",AE16="N"),2,0))=0,"",(VLOOKUP(B16,Y18:AD23,3,FALSE))+L19+(IF(AE16="G",3,0))+(IF(OR(AE16="O",AE16="N"),2,0)))</f>
        <v/>
      </c>
      <c r="E16" s="279" t="str">
        <f>IF((VLOOKUP(B16,Y18:AD23,4,FALSE)+N19+(IF(AE16="J",1,0)))=0,"",(VLOOKUP(B16,Y18:AD23,4,FALSE)+N19+(IF(AE16="J",1,0))&amp;"+"))</f>
        <v/>
      </c>
      <c r="F16" s="279" t="str">
        <f>IF((VLOOKUP(B16,Y18:AD23,5,FALSE)+P19)=0,"",(VLOOKUP(B16,Y18:AD23,5,FALSE)+P19&amp;"+"))</f>
        <v/>
      </c>
      <c r="G16" s="279" t="str">
        <f>IF((VLOOKUP(B16,Y18:AD23,6,FALSE)+R19)=0,"",(VLOOKUP(B16,Y18:AD23,6,FALSE)+R19&amp;"+"))</f>
        <v/>
      </c>
      <c r="H16" s="292" t="str">
        <f>Y16&amp;(IF(Z16&lt;&gt;"",", ",""))&amp;Z16&amp;(IF(AA16&lt;&gt;"",", ",""))&amp;AA16&amp;(IF(AB16&lt;&gt;"",", ",""))&amp;AB16&amp;(IF(AF16&lt;&gt;"",", ",""))&amp;AF16&amp;(IF(AG16&lt;&gt;"",", ",""))&amp;AG16&amp;(IF(AH16&lt;&gt;"",", ",""))&amp;AH16&amp;(IF(AI16&lt;&gt;"",", ",""))&amp;AI16&amp;AK21</f>
        <v/>
      </c>
      <c r="I16" s="293"/>
      <c r="J16" s="293"/>
      <c r="K16" s="293"/>
      <c r="L16" s="293"/>
      <c r="M16" s="293"/>
      <c r="N16" s="293"/>
      <c r="O16" s="293"/>
      <c r="P16" s="293"/>
      <c r="Q16" s="293"/>
      <c r="R16" s="294"/>
      <c r="S16" s="279">
        <f>(VLOOKUP(B16,Y18:AI23,11,FALSE))+W25</f>
        <v>0</v>
      </c>
      <c r="T16" s="455"/>
      <c r="V16" s="232"/>
      <c r="W16" s="233">
        <v>0</v>
      </c>
      <c r="X16" s="225"/>
      <c r="Y16" s="234" t="str">
        <f>VLOOKUP(B16,Y18:AH23,7,FALSE)</f>
        <v/>
      </c>
      <c r="Z16" s="235" t="str">
        <f>VLOOKUP(B16,Y18:AH23,8,FALSE)</f>
        <v/>
      </c>
      <c r="AA16" s="235" t="str">
        <f>VLOOKUP(B16,Y18:AH23,9,FALSE)</f>
        <v/>
      </c>
      <c r="AB16" s="236" t="str">
        <f>VLOOKUP(B16,Y18:AH23,10,FALSE)</f>
        <v/>
      </c>
      <c r="AC16" s="230"/>
      <c r="AD16" s="230"/>
      <c r="AE16" s="230" t="str">
        <f>IFERROR((VLOOKUP(A19,R41:W55,2,FALSE)),"")</f>
        <v/>
      </c>
      <c r="AF16" s="234" t="str">
        <f>IFERROR((VLOOKUP(A19,R41:W55,3,FALSE)),"")</f>
        <v/>
      </c>
      <c r="AG16" s="235" t="str">
        <f>IFERROR((VLOOKUP(A19,R41:W55,4,FALSE)),"")</f>
        <v/>
      </c>
      <c r="AH16" s="235" t="str">
        <f>IFERROR((VLOOKUP(A19,R41:W55,5,FALSE)),"")</f>
        <v/>
      </c>
      <c r="AI16" s="236" t="str">
        <f>IFERROR((VLOOKUP(A19,R41:W55,6,FALSE)),"")</f>
        <v/>
      </c>
      <c r="AK16" s="237">
        <v>0</v>
      </c>
      <c r="AL16" s="238">
        <v>0</v>
      </c>
      <c r="AM16" s="238">
        <v>0</v>
      </c>
      <c r="AN16" s="238">
        <v>0</v>
      </c>
      <c r="AO16" s="233">
        <v>0</v>
      </c>
      <c r="AP16" s="237">
        <v>0</v>
      </c>
      <c r="AQ16" s="238">
        <v>0</v>
      </c>
      <c r="AR16" s="238">
        <v>0</v>
      </c>
      <c r="AS16" s="238">
        <v>0</v>
      </c>
      <c r="AT16" s="233">
        <v>0</v>
      </c>
      <c r="AV16" s="247"/>
    </row>
    <row r="17" spans="1:48" s="13" customFormat="1" ht="22.5" customHeight="1" x14ac:dyDescent="0.2">
      <c r="A17" s="456" t="str">
        <f>IF(AR3="Italiano","AVANZAMIENTO GIOCATORI",(IF(AR3="Español","MEJORAS DEL JUGADORE",(IF(AR3="Deutsch","SPIELERVERBESSERUNGEN",(IF(AR3="Français","AMÉLIORATIONS DE JOUEUR","PLAYER UPGRADES")))))))</f>
        <v>PLAYER UPGRADES</v>
      </c>
      <c r="B17" s="456"/>
      <c r="C17" s="456"/>
      <c r="D17" s="456"/>
      <c r="E17" s="456"/>
      <c r="F17" s="456"/>
      <c r="G17" s="456"/>
      <c r="H17" s="456"/>
      <c r="I17" s="456"/>
      <c r="J17" s="456"/>
      <c r="K17" s="456"/>
      <c r="L17" s="456"/>
      <c r="M17" s="456"/>
      <c r="N17" s="456"/>
      <c r="O17" s="456"/>
      <c r="P17" s="456"/>
      <c r="Q17" s="456"/>
      <c r="R17" s="456"/>
      <c r="S17" s="456"/>
      <c r="T17" s="455"/>
      <c r="V17" s="232" t="str">
        <f t="shared" ref="V17:W23" si="1">IF($B$16="Stunty Superstar",C43,(IF($B$16="Legendary Linemen",F43,(IF($B$16="Brutal Blockers",I43,(IF($B$16="Reliable Ringers",L43,(IF($B$16="Bona Fide Big Guy",O43,"")))))))))</f>
        <v/>
      </c>
      <c r="W17" s="233" t="str">
        <f t="shared" si="1"/>
        <v/>
      </c>
      <c r="X17" s="230"/>
      <c r="Y17" s="230"/>
      <c r="Z17" s="230"/>
      <c r="AA17" s="230"/>
      <c r="AB17" s="230"/>
      <c r="AC17" s="230"/>
      <c r="AD17" s="230"/>
      <c r="AE17" s="230"/>
      <c r="AF17" s="230"/>
      <c r="AG17" s="230"/>
      <c r="AH17" s="230"/>
      <c r="AI17" s="230"/>
      <c r="AK17" s="237">
        <v>1</v>
      </c>
      <c r="AL17" s="238">
        <v>0</v>
      </c>
      <c r="AM17" s="238">
        <f>IF(B16="Legendary Linemen",0,-1)</f>
        <v>-1</v>
      </c>
      <c r="AN17" s="238">
        <f>IF(B16="Brutal Blockers",0,-1)</f>
        <v>-1</v>
      </c>
      <c r="AO17" s="233">
        <v>1</v>
      </c>
      <c r="AP17" s="237">
        <f>IF(OR(B16="Legendary Linemen",B16="Bona Fide Big Guy"),20000,30000)</f>
        <v>30000</v>
      </c>
      <c r="AQ17" s="238">
        <v>0</v>
      </c>
      <c r="AR17" s="238">
        <f>IF(OR(B16="Stunty Superstar",B16="Bona Fide Big Guy"),40000,(IF(B16="Legendary Linemen",0,50000)))</f>
        <v>50000</v>
      </c>
      <c r="AS17" s="238">
        <f>IF(B16="Brutal Blockers",0,30000)</f>
        <v>30000</v>
      </c>
      <c r="AT17" s="233">
        <f>IF(B16="Stunty Superstar",30000,(IF(B16="Reliable Ringers",40000,20000)))</f>
        <v>20000</v>
      </c>
      <c r="AV17" s="247"/>
    </row>
    <row r="18" spans="1:48" s="13" customFormat="1" ht="22.5" customHeight="1" x14ac:dyDescent="0.2">
      <c r="A18" s="465" t="s">
        <v>1263</v>
      </c>
      <c r="B18" s="466"/>
      <c r="C18" s="466"/>
      <c r="D18" s="466"/>
      <c r="E18" s="466"/>
      <c r="F18" s="466"/>
      <c r="G18" s="466"/>
      <c r="H18" s="467"/>
      <c r="I18" s="278" t="str">
        <f>IF(Roster!$K$25="Italiano","COSTO",(IF(Roster!$K$25="Español","PRECIO",(IF(Roster!$K$25="Deutsch","WERT",(IF(Roster!$K$25="Français","VALEUR","COST")))))))</f>
        <v>COST</v>
      </c>
      <c r="J18" s="278" t="str">
        <f>IF(Roster!$K$25="Español","MO",(IF(Roster!$K$25="Deutsch","BE",(IF(Roster!$K$25="Français","M","MA")))))</f>
        <v>MA</v>
      </c>
      <c r="K18" s="278" t="str">
        <f>IF(Roster!$K$25="Italiano","COSTO",(IF(Roster!$K$25="Español","PRECIO",(IF(Roster!$K$25="Deutsch","WERT",(IF(Roster!$K$25="Français","VALEUR","COST")))))))</f>
        <v>COST</v>
      </c>
      <c r="L18" s="278" t="str">
        <f>IF(Roster!$K$25="Español","FU",(IF(Roster!$K$25="Français","F","ST")))</f>
        <v>ST</v>
      </c>
      <c r="M18" s="278" t="str">
        <f>IF(Roster!$K$25="Italiano","COSTO",(IF(Roster!$K$25="Español","PRECIO",(IF(Roster!$K$25="Deutsch","WERT",(IF(Roster!$K$25="Français","VALEUR","COST")))))))</f>
        <v>COST</v>
      </c>
      <c r="N18" s="278" t="str">
        <f>IF(Roster!$K$25="Deutsch","GE","AG")</f>
        <v>AG</v>
      </c>
      <c r="O18" s="278" t="str">
        <f>IF(Roster!$K$25="Italiano","COSTO",(IF(Roster!$K$25="Español","PRECIO",(IF(Roster!$K$25="Deutsch","WERT",(IF(Roster!$K$25="Français","VALEUR","COST")))))))</f>
        <v>COST</v>
      </c>
      <c r="P18" s="278" t="str">
        <f>IF(Roster!$K$25="Deutsch","WG",(IF(Roster!$K$25="Français","CP","PA")))</f>
        <v>PA</v>
      </c>
      <c r="Q18" s="278" t="str">
        <f>IF(Roster!$K$25="Italiano","COSTO",(IF(Roster!$K$25="Español","PRECIO",(IF(Roster!$K$25="Deutsch","WERT",(IF(Roster!$K$25="Français","VALEUR","COST")))))))</f>
        <v>COST</v>
      </c>
      <c r="R18" s="278" t="str">
        <f>IF(Roster!$K$25="Español","AR",(IF(Roster!$K$25="Deutsch","RW",(IF(Roster!$K$25="Français","AR","AV")))))</f>
        <v>AV</v>
      </c>
      <c r="S18" s="278" t="str">
        <f>IF(Roster!$K$25="Italiano","COSTO",(IF(Roster!$K$25="Español","PRECIO",(IF(Roster!$K$25="Deutsch","WERT",(IF(Roster!$K$25="Français","VALEUR","COST")))))))</f>
        <v>COST</v>
      </c>
      <c r="T18" s="455"/>
      <c r="U18" s="224"/>
      <c r="V18" s="232" t="str">
        <f t="shared" si="1"/>
        <v/>
      </c>
      <c r="W18" s="233" t="str">
        <f t="shared" si="1"/>
        <v/>
      </c>
      <c r="X18" s="230"/>
      <c r="Y18" s="228" t="s">
        <v>1265</v>
      </c>
      <c r="Z18" s="239">
        <v>0</v>
      </c>
      <c r="AA18" s="239">
        <v>0</v>
      </c>
      <c r="AB18" s="239">
        <v>0</v>
      </c>
      <c r="AC18" s="239">
        <v>0</v>
      </c>
      <c r="AD18" s="239">
        <v>0</v>
      </c>
      <c r="AE18" s="231" t="str">
        <f>""</f>
        <v/>
      </c>
      <c r="AF18" s="231" t="str">
        <f>""</f>
        <v/>
      </c>
      <c r="AG18" s="231" t="str">
        <f>""</f>
        <v/>
      </c>
      <c r="AH18" s="231" t="str">
        <f>""</f>
        <v/>
      </c>
      <c r="AI18" s="259">
        <v>0</v>
      </c>
      <c r="AK18" s="237">
        <v>2</v>
      </c>
      <c r="AL18" s="238">
        <v>0</v>
      </c>
      <c r="AM18" s="238">
        <f>IF(B16="Legendary Linemen",0,-2)</f>
        <v>-2</v>
      </c>
      <c r="AN18" s="238">
        <f>IF(B16="Brutal Blockers",0,-2)</f>
        <v>-2</v>
      </c>
      <c r="AO18" s="233">
        <v>2</v>
      </c>
      <c r="AP18" s="237">
        <f>IF(OR(B16="Stunty Superstar",B16="Reliable Ringers"),48000,(IF(B16="Legendary Linemen",40000,50000)))</f>
        <v>50000</v>
      </c>
      <c r="AQ18" s="238">
        <v>0</v>
      </c>
      <c r="AR18" s="238">
        <f>IF(OR(B16="Stunty Superstar",B16="Bona Fide Big Guy"),80000,(IF(B16="Legendary Linemen",0,100000)))</f>
        <v>100000</v>
      </c>
      <c r="AS18" s="238">
        <f>IF(B16="Brutal Blockers",0,70000)</f>
        <v>70000</v>
      </c>
      <c r="AT18" s="233">
        <f>IF(B16="Stunty Superstar",48000,(IF(B16="Reliable Ringers",80000,40000)))</f>
        <v>40000</v>
      </c>
      <c r="AV18" s="247"/>
    </row>
    <row r="19" spans="1:48" s="13" customFormat="1" ht="22.5" customHeight="1" x14ac:dyDescent="0.2">
      <c r="A19" s="468"/>
      <c r="B19" s="469"/>
      <c r="C19" s="469"/>
      <c r="D19" s="469"/>
      <c r="E19" s="469"/>
      <c r="F19" s="469"/>
      <c r="G19" s="469"/>
      <c r="H19" s="470"/>
      <c r="I19" s="280">
        <f>IFERROR((VLOOKUP(A19,V17:W23,2,FALSE)),0)</f>
        <v>0</v>
      </c>
      <c r="J19" s="279">
        <v>0</v>
      </c>
      <c r="K19" s="280">
        <f>IFERROR((VLOOKUP(J19,AK16:AT20,6,FALSE)),"ILEGAL")</f>
        <v>0</v>
      </c>
      <c r="L19" s="279">
        <v>0</v>
      </c>
      <c r="M19" s="280">
        <f>IFERROR((VLOOKUP(L19,AL16:AT20,6,FALSE)),"ILEGAL")</f>
        <v>0</v>
      </c>
      <c r="N19" s="279">
        <v>0</v>
      </c>
      <c r="O19" s="280">
        <f>IFERROR((VLOOKUP(N19,AM16:AT20,6,FALSE)),"ILEGAL")</f>
        <v>0</v>
      </c>
      <c r="P19" s="279">
        <v>0</v>
      </c>
      <c r="Q19" s="280">
        <f>IFERROR((VLOOKUP(P19,AN16:AT20,6,FALSE)),"ILEGAL")</f>
        <v>0</v>
      </c>
      <c r="R19" s="279">
        <v>0</v>
      </c>
      <c r="S19" s="280">
        <f>IFERROR((VLOOKUP(R19,AO16:AT20,6,FALSE)),"ILEGAL")</f>
        <v>0</v>
      </c>
      <c r="T19" s="455"/>
      <c r="V19" s="232" t="str">
        <f t="shared" si="1"/>
        <v/>
      </c>
      <c r="W19" s="233" t="str">
        <f t="shared" si="1"/>
        <v/>
      </c>
      <c r="X19" s="230"/>
      <c r="Y19" s="232" t="s">
        <v>1267</v>
      </c>
      <c r="Z19" s="238">
        <v>5</v>
      </c>
      <c r="AA19" s="238">
        <v>2</v>
      </c>
      <c r="AB19" s="238">
        <v>3</v>
      </c>
      <c r="AC19" s="238">
        <v>4</v>
      </c>
      <c r="AD19" s="238">
        <v>6</v>
      </c>
      <c r="AE19" s="240" t="str">
        <f>IF(((COUNTIF(AE16,"A"))+(COUNTIF(AE16,"B"))+(COUNTIF(AE16,"H"))+(COUNTIF(AE16,"I"))+(COUNTIF(AE16,"M")))=1,"Loner (5+)","Loner (4+)")</f>
        <v>Loner (4+)</v>
      </c>
      <c r="AF19" s="240" t="s">
        <v>272</v>
      </c>
      <c r="AG19" s="240" t="s">
        <v>1268</v>
      </c>
      <c r="AH19" s="240" t="s">
        <v>1269</v>
      </c>
      <c r="AI19" s="233">
        <v>30000</v>
      </c>
      <c r="AK19" s="237">
        <v>-1</v>
      </c>
      <c r="AL19" s="238">
        <v>-1</v>
      </c>
      <c r="AM19" s="238">
        <v>1</v>
      </c>
      <c r="AN19" s="238">
        <v>1</v>
      </c>
      <c r="AO19" s="233">
        <v>-1</v>
      </c>
      <c r="AP19" s="237">
        <v>-10000</v>
      </c>
      <c r="AQ19" s="238">
        <v>-10000</v>
      </c>
      <c r="AR19" s="238">
        <v>-10000</v>
      </c>
      <c r="AS19" s="238">
        <v>-10000</v>
      </c>
      <c r="AT19" s="233">
        <v>-10000</v>
      </c>
      <c r="AV19" s="247"/>
    </row>
    <row r="20" spans="1:48" s="13" customFormat="1" ht="22.5" customHeight="1" x14ac:dyDescent="0.2">
      <c r="A20" s="281" t="str">
        <f>IF(Roster!$K$25="Italiano","TIPO",(IF(Roster!$K$25="Español","TIPO",(IF(Roster!$K$25="Deutsch","POSITION",(IF(Roster!$K$25="Français","POSTE","TYPE")))))))</f>
        <v>TYPE</v>
      </c>
      <c r="B20" s="282" t="str">
        <f>IF($J$40="Italiano","AVANZAMENTO 1",(IF($J$40="Español","MEJORA 1",(IF($J$40="Deutsch","VERBES-SERUNG 1",(IF($J$40="Français","AMÉLIORATION 1","UPGRADE 1")))))))</f>
        <v>UPGRADE 1</v>
      </c>
      <c r="C20" s="283" t="str">
        <f>IF(Roster!$K$25="Italiano","COSTO",(IF(Roster!$K$25="Español","PRECIO",(IF(Roster!$K$25="Deutsch","WERT",(IF(Roster!$K$25="Français","VALEUR","COST")))))))</f>
        <v>COST</v>
      </c>
      <c r="D20" s="463" t="str">
        <f>IF($J$40="Italiano","AVANZAMENTO 2",(IF($J$40="Español","MEJORA 2",(IF($J$40="Deutsch","VERBES-SERUNG 2",(IF($J$40="Français","AMÉLIORATION 2","UPGRADE 2")))))))</f>
        <v>UPGRADE 2</v>
      </c>
      <c r="E20" s="464"/>
      <c r="F20" s="283" t="str">
        <f>IF(Roster!$K$25="Italiano","COSTO",(IF(Roster!$K$25="Español","PRECIO",(IF(Roster!$K$25="Deutsch","WERT",(IF(Roster!$K$25="Français","VALEUR","COST")))))))</f>
        <v>COST</v>
      </c>
      <c r="G20" s="463" t="str">
        <f>IF($J$40="Italiano","AVANZAMENTO 3",(IF($J$40="Español","MEJORA 3",(IF($J$40="Deutsch","VERBES-SERUNG 3",(IF($J$40="Français","AMÉLIORATION 3","UPGRADE 3")))))))</f>
        <v>UPGRADE 3</v>
      </c>
      <c r="H20" s="464"/>
      <c r="I20" s="278" t="str">
        <f>IF(Roster!$K$25="Italiano","COSTO",(IF(Roster!$K$25="Español","PRECIO",(IF(Roster!$K$25="Deutsch","WERT",(IF(Roster!$K$25="Français","VALEUR","COST")))))))</f>
        <v>COST</v>
      </c>
      <c r="J20" s="463" t="str">
        <f>IF($J$40="Italiano","AVANZAMENTO 4",(IF($J$40="Español","MEJORA 4",(IF($J$40="Deutsch","VERBES-SERUNG 4",(IF($J$40="Français","AMÉLIORATION 4","UPGRADE 4")))))))</f>
        <v>UPGRADE 4</v>
      </c>
      <c r="K20" s="464"/>
      <c r="L20" s="278" t="str">
        <f>IF(Roster!$K$25="Italiano","COSTO",(IF(Roster!$K$25="Español","PRECIO",(IF(Roster!$K$25="Deutsch","WERT",(IF(Roster!$K$25="Français","VALEUR","COST")))))))</f>
        <v>COST</v>
      </c>
      <c r="M20" s="463" t="str">
        <f>IF($J$40="Italiano","AVANZAMENTO 5",(IF($J$40="Español","MEJORA 5",(IF($J$40="Deutsch","VERBES-SERUNG 5",(IF($J$40="Français","AMÉLIORATION 5","UPGRADE 5")))))))</f>
        <v>UPGRADE 5</v>
      </c>
      <c r="N20" s="464"/>
      <c r="O20" s="278" t="str">
        <f>IF(Roster!$K$25="Italiano","COSTO",(IF(Roster!$K$25="Español","PRECIO",(IF(Roster!$K$25="Deutsch","WERT",(IF(Roster!$K$25="Français","VALEUR","COST")))))))</f>
        <v>COST</v>
      </c>
      <c r="P20" s="463" t="str">
        <f>IF($J$40="Italiano","AVANZAMENTO 6",(IF($J$40="Español","MEJORA 6",(IF($J$40="Deutsch","VERBES-SERUNG 6",(IF($J$40="Français","AMÉLIORATION 6","UPGRADE 6")))))))</f>
        <v>UPGRADE 6</v>
      </c>
      <c r="Q20" s="464"/>
      <c r="R20" s="278" t="str">
        <f>IF(Roster!$K$25="Italiano","COSTO",(IF(Roster!$K$25="Español","PRECIO",(IF(Roster!$K$25="Deutsch","WERT",(IF(Roster!$K$25="Français","VALEUR","COST")))))))</f>
        <v>COST</v>
      </c>
      <c r="S20" s="278" t="s">
        <v>1264</v>
      </c>
      <c r="T20" s="455"/>
      <c r="V20" s="232" t="str">
        <f t="shared" si="1"/>
        <v/>
      </c>
      <c r="W20" s="233" t="str">
        <f t="shared" si="1"/>
        <v/>
      </c>
      <c r="X20" s="230"/>
      <c r="Y20" s="232" t="s">
        <v>1270</v>
      </c>
      <c r="Z20" s="238">
        <v>6</v>
      </c>
      <c r="AA20" s="238">
        <v>3</v>
      </c>
      <c r="AB20" s="238">
        <v>3</v>
      </c>
      <c r="AC20" s="238">
        <v>4</v>
      </c>
      <c r="AD20" s="238">
        <v>9</v>
      </c>
      <c r="AE20" s="240" t="str">
        <f>IF(((COUNTIF(AE16,"A"))+(COUNTIF(AE16,"B"))+(COUNTIF(AE16,"H"))+(COUNTIF(AE16,"I"))+(COUNTIF(AE16,"M")))=1,"Loner (5+)","Loner (4+)")</f>
        <v>Loner (4+)</v>
      </c>
      <c r="AF20" s="240" t="str">
        <f>""</f>
        <v/>
      </c>
      <c r="AG20" s="240" t="str">
        <f>""</f>
        <v/>
      </c>
      <c r="AH20" s="240" t="str">
        <f>""</f>
        <v/>
      </c>
      <c r="AI20" s="233">
        <v>50000</v>
      </c>
      <c r="AK20" s="241">
        <v>-2</v>
      </c>
      <c r="AL20" s="242">
        <f>IF(B16="Stunty Superstar",0,-2)</f>
        <v>-2</v>
      </c>
      <c r="AM20" s="242">
        <v>2</v>
      </c>
      <c r="AN20" s="242">
        <v>2</v>
      </c>
      <c r="AO20" s="243">
        <v>-2</v>
      </c>
      <c r="AP20" s="241">
        <v>-20000</v>
      </c>
      <c r="AQ20" s="242">
        <v>-20000</v>
      </c>
      <c r="AR20" s="242">
        <v>-20000</v>
      </c>
      <c r="AS20" s="242">
        <v>-20000</v>
      </c>
      <c r="AT20" s="243">
        <v>-20000</v>
      </c>
      <c r="AV20" s="247"/>
    </row>
    <row r="21" spans="1:48" s="13" customFormat="1" ht="22.5" customHeight="1" x14ac:dyDescent="0.2">
      <c r="A21" s="284" t="str">
        <f>IF($J$40="Italiano","GENERALE:",(IF($J$40="Français","GÉNÉRALE:","GENERAL:")))</f>
        <v>GENERAL:</v>
      </c>
      <c r="B21" s="252"/>
      <c r="C21" s="280">
        <f>IF(B21&lt;&gt;"",(IF(B16="Legendary Linemen",20000,(IF(B16="Reliable Ringers",30000,(IF(B16="Mercenaries",0,40000)))))),0)</f>
        <v>0</v>
      </c>
      <c r="D21" s="460"/>
      <c r="E21" s="461"/>
      <c r="F21" s="280" t="str">
        <f>IF(B16&lt;&gt;"Legendary Linemen","ILEGAL",(IF(D21&lt;&gt;"",50000,0)))</f>
        <v>ILEGAL</v>
      </c>
      <c r="G21" s="460"/>
      <c r="H21" s="461"/>
      <c r="I21" s="280" t="str">
        <f>IF(B16&lt;&gt;"Legendary Linemen","ILEGAL",(IF(G21&lt;&gt;"",80000,0)))</f>
        <v>ILEGAL</v>
      </c>
      <c r="J21" s="460"/>
      <c r="K21" s="461"/>
      <c r="L21" s="280" t="str">
        <f>IF(B16&lt;&gt;"Legendary Linemen","ILEGAL",(IF(J21&lt;&gt;"",110000,0)))</f>
        <v>ILEGAL</v>
      </c>
      <c r="M21" s="460"/>
      <c r="N21" s="461"/>
      <c r="O21" s="280" t="str">
        <f>IF(B16&lt;&gt;"Legendary Linemen","ILEGAL",(IF(M21&lt;&gt;"",140000,0)))</f>
        <v>ILEGAL</v>
      </c>
      <c r="P21" s="460"/>
      <c r="Q21" s="461"/>
      <c r="R21" s="280" t="str">
        <f>IF(B16&lt;&gt;"Legendary Linemen","ILEGAL",(IF(P21&lt;&gt;"",170000,0)))</f>
        <v>ILEGAL</v>
      </c>
      <c r="S21" s="280">
        <f>SUM(C21,F21,I21,L21,O21,R21)</f>
        <v>0</v>
      </c>
      <c r="T21" s="455"/>
      <c r="V21" s="232" t="str">
        <f t="shared" si="1"/>
        <v/>
      </c>
      <c r="W21" s="233" t="str">
        <f t="shared" si="1"/>
        <v/>
      </c>
      <c r="X21" s="230"/>
      <c r="Y21" s="232" t="s">
        <v>1272</v>
      </c>
      <c r="Z21" s="238">
        <v>4</v>
      </c>
      <c r="AA21" s="238">
        <v>4</v>
      </c>
      <c r="AB21" s="238">
        <v>4</v>
      </c>
      <c r="AC21" s="238">
        <v>6</v>
      </c>
      <c r="AD21" s="238">
        <v>9</v>
      </c>
      <c r="AE21" s="240" t="str">
        <f>IF(((COUNTIF(AE16,"A"))+(COUNTIF(AE16,"B"))+(COUNTIF(AE16,"H"))+(COUNTIF(AE16,"I"))+(COUNTIF(AE16,"M")))=1,"Loner (5+)","Loner (4+)")</f>
        <v>Loner (4+)</v>
      </c>
      <c r="AF21" s="240" t="str">
        <f>IF(OR(AE16="H",AE16="M"),"Mighty Blow (+2)","")</f>
        <v/>
      </c>
      <c r="AG21" s="240" t="str">
        <f>""</f>
        <v/>
      </c>
      <c r="AH21" s="240" t="str">
        <f>""</f>
        <v/>
      </c>
      <c r="AI21" s="233">
        <v>70000</v>
      </c>
      <c r="AK21" s="230" t="str">
        <f>B21&amp;(IF(D21&lt;&gt;"",", ",""))&amp;D21&amp;(IF(G21&lt;&gt;"",", ",""))&amp;G21&amp;(IF(J21&lt;&gt;"",", ",""))&amp;J21&amp;(IF(M21&lt;&gt;"",", ",""))&amp;M21&amp;(IF(P21&lt;&gt;"",", ",""))&amp;P21&amp;(IF(B22&lt;&gt;"",", ",""))&amp;B22&amp;(IF(D22&lt;&gt;"",", ",""))&amp;D22&amp;(IF(G22&lt;&gt;"",", ",""))&amp;G22&amp;(IF(J22&lt;&gt;"",", ",""))&amp;J22&amp;(IF(M22&lt;&gt;"",", ",""))&amp;M22&amp;(IF(P22&lt;&gt;"",", ",""))&amp;P22&amp;(IF(B23&lt;&gt;"",", ",""))&amp;B23&amp;(IF(D23&lt;&gt;"",", ",""))&amp;D23&amp;(IF(G23&lt;&gt;"",", ",""))&amp;G23&amp;(IF(J23&lt;&gt;"",", ",""))&amp;J23&amp;(IF(M23&lt;&gt;"",", ",""))&amp;M23&amp;(IF(P23&lt;&gt;"",", ",""))&amp;P23&amp;(IF(B24&lt;&gt;"",", ",""))&amp;B24&amp;(IF(D24&lt;&gt;"",", ",""))&amp;D24&amp;(IF(G24&lt;&gt;"",", ",""))&amp;G24&amp;(IF(J24&lt;&gt;"",", ",""))&amp;J24&amp;(IF(M24&lt;&gt;"",", ",""))&amp;M24&amp;(IF(P24&lt;&gt;"",", ",""))&amp;P24&amp;(IF(B25&lt;&gt;"",", ",""))&amp;B25&amp;(IF(D25&lt;&gt;"",", ",""))&amp;D25&amp;(IF(G25&lt;&gt;"",", ",""))&amp;G25&amp;(IF(J25&lt;&gt;"",", ",""))&amp;J25&amp;(IF(M25&lt;&gt;"",", ",""))&amp;M25&amp;(IF(P25&lt;&gt;"",", ",""))&amp;P25</f>
        <v/>
      </c>
      <c r="AV21" s="247"/>
    </row>
    <row r="22" spans="1:48" s="13" customFormat="1" ht="22.5" customHeight="1" x14ac:dyDescent="0.2">
      <c r="A22" s="284" t="str">
        <f>IF($J$40="Italiano","FORZA:",(IF($J$40="Español","FUERZA:",(IF($J$40="Français","FORCE:","STRENGTH:")))))</f>
        <v>STRENGTH:</v>
      </c>
      <c r="B22" s="252"/>
      <c r="C22" s="280">
        <f>IF(B22&lt;&gt;"",(IF(B16="Stunty Superstar","ILEGAL",(IF(B16="Reliable Ringers",50000,(IF(B16="Mercenaries",0,30000)))))),0)</f>
        <v>0</v>
      </c>
      <c r="D22" s="460"/>
      <c r="E22" s="461"/>
      <c r="F22" s="280" t="str">
        <f>IF($B$3&lt;&gt;"Brutal Blockers",(IF($B$3&lt;&gt;"Bona Fide Big Guy","ILEGAL",(IF(D22&lt;&gt;"",70000,0)))),(IF(D22&lt;&gt;"",70000,0)))</f>
        <v>ILEGAL</v>
      </c>
      <c r="G22" s="460"/>
      <c r="H22" s="461"/>
      <c r="I22" s="280" t="str">
        <f>IF($B$3&lt;&gt;"Brutal Blockers",(IF($B$3&lt;&gt;"Bona Fide Big Guy","ILEGAL",(IF(G22&lt;&gt;"",110000,0)))),(IF(G22&lt;&gt;"",110000,0)))</f>
        <v>ILEGAL</v>
      </c>
      <c r="J22" s="460"/>
      <c r="K22" s="461"/>
      <c r="L22" s="280" t="str">
        <f>IF($B$3&lt;&gt;"Brutal Blockers",(IF($B$3&lt;&gt;"Bona Fide Big Guy","ILEGAL",(IF(J22&lt;&gt;"",150000,0)))),(IF(J22&lt;&gt;"",150000,0)))</f>
        <v>ILEGAL</v>
      </c>
      <c r="M22" s="460"/>
      <c r="N22" s="461"/>
      <c r="O22" s="280" t="str">
        <f>IF($B$3&lt;&gt;"Brutal Blockers",(IF($B$3&lt;&gt;"Bona Fide Big Guy","ILEGAL",(IF(M22&lt;&gt;"",190000,0)))),(IF(M22&lt;&gt;"",190000,0)))</f>
        <v>ILEGAL</v>
      </c>
      <c r="P22" s="460"/>
      <c r="Q22" s="461"/>
      <c r="R22" s="280" t="str">
        <f>IF($B$3&lt;&gt;"Brutal Blockers",(IF($B$3&lt;&gt;"Bona Fide Big Guy","ILEGAL",(IF(P22&lt;&gt;"",230000,0)))),(IF(P22&lt;&gt;"",230000,0)))</f>
        <v>ILEGAL</v>
      </c>
      <c r="S22" s="280">
        <f t="shared" ref="S22:S25" si="2">SUM(C22,F22,I22,L22,O22,R22)</f>
        <v>0</v>
      </c>
      <c r="T22" s="455"/>
      <c r="V22" s="232" t="str">
        <f t="shared" si="1"/>
        <v/>
      </c>
      <c r="W22" s="233" t="str">
        <f t="shared" si="1"/>
        <v/>
      </c>
      <c r="X22" s="230"/>
      <c r="Y22" s="232" t="s">
        <v>1261</v>
      </c>
      <c r="Z22" s="238">
        <v>6</v>
      </c>
      <c r="AA22" s="238">
        <v>3</v>
      </c>
      <c r="AB22" s="238">
        <v>2</v>
      </c>
      <c r="AC22" s="238">
        <v>3</v>
      </c>
      <c r="AD22" s="238">
        <v>8</v>
      </c>
      <c r="AE22" s="240" t="str">
        <f>IF(((COUNTIF(AE16,"A"))+(COUNTIF(AE16,"B"))+(COUNTIF(AE16,"H"))+(COUNTIF(AE16,"I"))+(COUNTIF(AE16,"M")))=1,"Loner (5+)","Loner (4+)")</f>
        <v>Loner (4+)</v>
      </c>
      <c r="AF22" s="240" t="str">
        <f>""</f>
        <v/>
      </c>
      <c r="AG22" s="240" t="str">
        <f>""</f>
        <v/>
      </c>
      <c r="AH22" s="240" t="str">
        <f>""</f>
        <v/>
      </c>
      <c r="AI22" s="233">
        <v>70000</v>
      </c>
      <c r="AV22" s="247"/>
    </row>
    <row r="23" spans="1:48" s="13" customFormat="1" ht="22.5" customHeight="1" x14ac:dyDescent="0.2">
      <c r="A23" s="284" t="str">
        <f>IF($J$40="Italiano","AGILITÀ:",(IF($J$40="Español","AGILIDAD:",(IF($J$40="Deutsch","AGILITÄT:",(IF($J$40="Français","AGILITÉ:","AGILITY:")))))))</f>
        <v>AGILITY:</v>
      </c>
      <c r="B23" s="252"/>
      <c r="C23" s="280">
        <f>IF(B16="Bona Fide Big Guy","ILEGAL",IF(B23&lt;&gt;"",(IF(B16="Stunty Superstar",10000,(IF(B16="Brutal Blockers",40000,(IF(B16="Mercenaries",0,30000)))))),0))</f>
        <v>0</v>
      </c>
      <c r="D23" s="460"/>
      <c r="E23" s="461"/>
      <c r="F23" s="280" t="str">
        <f>IF($B$3&lt;&gt;"Stunty Superstar",(IF($B$3&lt;&gt;"Reliable Ringers","ILEGAL",(IF(D23&lt;&gt;"",70000,0)))),(IF(D23&lt;&gt;"",30000,0)))</f>
        <v>ILEGAL</v>
      </c>
      <c r="G23" s="460"/>
      <c r="H23" s="461"/>
      <c r="I23" s="280" t="str">
        <f>IF($B$3&lt;&gt;"Stunty Superstar",(IF($B$3&lt;&gt;"Reliable Ringers","ILEGAL",(IF(G23&lt;&gt;"",110000,0)))),(IF(G23&lt;&gt;"",50000,0)))</f>
        <v>ILEGAL</v>
      </c>
      <c r="J23" s="460"/>
      <c r="K23" s="461"/>
      <c r="L23" s="280" t="str">
        <f>IF($B$3&lt;&gt;"Stunty Superstar",(IF($B$3&lt;&gt;"Reliable Ringers","ILEGAL",(IF(J23&lt;&gt;"",150000,0)))),(IF(J23&lt;&gt;"",70000,0)))</f>
        <v>ILEGAL</v>
      </c>
      <c r="M23" s="460"/>
      <c r="N23" s="461"/>
      <c r="O23" s="280" t="str">
        <f>IF($B$3&lt;&gt;"Stunty Superstar",(IF($B$3&lt;&gt;"Reliable Ringers","ILEGAL",(IF(M23&lt;&gt;"",190000,0)))),(IF(M23&lt;&gt;"",90000,0)))</f>
        <v>ILEGAL</v>
      </c>
      <c r="P23" s="460"/>
      <c r="Q23" s="461"/>
      <c r="R23" s="280" t="str">
        <f>IF($B$3&lt;&gt;"Stunty Superstar",(IF($B$3&lt;&gt;"Reliable Ringers","ILEGAL",(IF(P23&lt;&gt;"",230000,0)))),(IF(P23&lt;&gt;"",110000,0)))</f>
        <v>ILEGAL</v>
      </c>
      <c r="S23" s="280">
        <f t="shared" si="2"/>
        <v>0</v>
      </c>
      <c r="T23" s="455"/>
      <c r="V23" s="234" t="str">
        <f t="shared" si="1"/>
        <v/>
      </c>
      <c r="W23" s="243" t="str">
        <f t="shared" si="1"/>
        <v/>
      </c>
      <c r="X23" s="230"/>
      <c r="Y23" s="234" t="s">
        <v>1273</v>
      </c>
      <c r="Z23" s="242">
        <v>4</v>
      </c>
      <c r="AA23" s="242">
        <v>5</v>
      </c>
      <c r="AB23" s="242">
        <v>4</v>
      </c>
      <c r="AC23" s="242">
        <v>5</v>
      </c>
      <c r="AD23" s="242">
        <v>9</v>
      </c>
      <c r="AE23" s="235" t="str">
        <f>IF(((COUNTIF(AE16,"A"))+(COUNTIF(AE16,"B"))+(COUNTIF(AE16,"H"))+(COUNTIF(AE16,"I"))+(COUNTIF(AE16,"M")))=1,"Loner (5+)","Loner (4+)")</f>
        <v>Loner (4+)</v>
      </c>
      <c r="AF23" s="235" t="str">
        <f>IF(OR(AE16="J",AE16="K",AE16="L",AE16="M",AE16="N"),"","Bone Head")</f>
        <v>Bone Head</v>
      </c>
      <c r="AG23" s="235" t="str">
        <f>IF(OR(AE16="H",AE16="M"),"Mighty Blow (+2)","Mighty Blow (+1)")</f>
        <v>Mighty Blow (+1)</v>
      </c>
      <c r="AH23" s="235" t="str">
        <f>IF(OR(AE16="K",AE16="L"),"","Throw Team Mate")</f>
        <v>Throw Team Mate</v>
      </c>
      <c r="AI23" s="243">
        <v>130000</v>
      </c>
      <c r="AV23" s="247"/>
    </row>
    <row r="24" spans="1:48" s="13" customFormat="1" ht="22.5" customHeight="1" x14ac:dyDescent="0.2">
      <c r="A24" s="284" t="str">
        <f>IF($J$40="Español","PASE:",(IF($J$40="Français","PASSER:","PASS:")))</f>
        <v>PASS:</v>
      </c>
      <c r="B24" s="252"/>
      <c r="C24" s="280">
        <f>IF(B24&lt;&gt;"",(IF(B16="Mercenaries",0,(IF(OR(B16="Reliable Ringers",B16="Bona Fide Big Guy"),30000,20000)))),0)</f>
        <v>0</v>
      </c>
      <c r="D24" s="460"/>
      <c r="E24" s="461"/>
      <c r="F24" s="280" t="s">
        <v>1262</v>
      </c>
      <c r="G24" s="460"/>
      <c r="H24" s="461"/>
      <c r="I24" s="280" t="s">
        <v>1262</v>
      </c>
      <c r="J24" s="460"/>
      <c r="K24" s="461"/>
      <c r="L24" s="280" t="s">
        <v>1262</v>
      </c>
      <c r="M24" s="460"/>
      <c r="N24" s="461"/>
      <c r="O24" s="280" t="s">
        <v>1262</v>
      </c>
      <c r="P24" s="460"/>
      <c r="Q24" s="461"/>
      <c r="R24" s="280" t="s">
        <v>1262</v>
      </c>
      <c r="S24" s="280">
        <f t="shared" si="2"/>
        <v>0</v>
      </c>
      <c r="T24" s="455"/>
      <c r="V24" s="230"/>
      <c r="W24" s="230"/>
      <c r="X24" s="230"/>
      <c r="Y24" s="230"/>
      <c r="Z24" s="230"/>
      <c r="AA24" s="230"/>
      <c r="AB24" s="230"/>
      <c r="AC24" s="230"/>
      <c r="AD24" s="230"/>
      <c r="AE24" s="230"/>
      <c r="AF24" s="230"/>
      <c r="AG24" s="230"/>
      <c r="AH24" s="230"/>
      <c r="AI24" s="230"/>
      <c r="AV24" s="247"/>
    </row>
    <row r="25" spans="1:48" s="13" customFormat="1" ht="22.5" customHeight="1" x14ac:dyDescent="0.2">
      <c r="A25" s="278" t="str">
        <f>IF($J$40="Italiano","MUTAZIONE:",(IF($J$40="Español","MUTACIÓN:","MUTATION:")))</f>
        <v>MUTATION:</v>
      </c>
      <c r="B25" s="252"/>
      <c r="C25" s="280">
        <f>IF(B3="Reliable Ringers","ILEGAL",IF(B25&lt;&gt;"",(IF(B16="Mercenaries",0,(IF(OR(B16="Brutal Blockers",B16="Bona Fide Big Guy"),40000,IF(B16="Stunty Superstar",30000,IF(B16="Legendary Linemen",30000,(IF(B25="Big Hand",30000,(IF(B25="Extra Arms",20000,(IF(B25="Two Heads",30000,(IF(B25="Very Long Legs",30000,0)))))))))))))),0))</f>
        <v>0</v>
      </c>
      <c r="D25" s="460"/>
      <c r="E25" s="461"/>
      <c r="F25" s="280" t="str">
        <f>IF(B3="Reliable Ringers","ILEGAL",IF(OR($B$3="Stunty Superstar",$B$3="Brutal Blockers",$B$3="Bona Fide Big Guy",$B$3="Mercenaries"),"ILEGAL",(IF(D25&lt;&gt;"",(IF($B$3="Legendary Linemen",70000,(IF(D25="Big Hand",30000,(IF(D25="Extra Arms",20000,(IF(D25="Two Heads",30000,(IF(D25="Very Long Legs",30000,"ILEGAL")))))))))),0))))</f>
        <v>ILEGAL</v>
      </c>
      <c r="G25" s="460"/>
      <c r="H25" s="461"/>
      <c r="I25" s="280" t="str">
        <f>IF(B3="Reliable Ringers","ILEGAL",IF(OR($B$3="Stunty Superstar",$B$3="Brutal Blockers",$B$3="Bona Fide Big Guy",$B$3="Mercenaries"),"ILEGAL",(IF(G25&lt;&gt;"",(IF($B$3="Legendary Linemen",110000,(IF(G25="Big Hand",30000,(IF(G25="Extra Arms",20000,(IF(G25="Two Heads",30000,(IF(G25="Very Long Legs",30000,0)))))))))),0))))</f>
        <v>ILEGAL</v>
      </c>
      <c r="J25" s="460"/>
      <c r="K25" s="461"/>
      <c r="L25" s="280" t="str">
        <f>IF(B3="Reliable Ringers","ILEGAL",IF(OR($B$3="Stunty Superstar",$B$3="Brutal Blockers",$B$3="Bona Fide Big Guy",$B$3="Mercenaries"),"ILEGAL",(IF(J25&lt;&gt;"",(IF($B$3="Legendary Linemen",150000,(IF(J25="Big Hand",30000,(IF(J25="Extra Arms",20000,(IF(J25="Two Heads",30000,(IF(J25="Very Long Legs",30000,0)))))))))),0))))</f>
        <v>ILEGAL</v>
      </c>
      <c r="M25" s="460"/>
      <c r="N25" s="461"/>
      <c r="O25" s="280" t="str">
        <f>IF(B16&lt;&gt;"Legendary Linemen","ILEGAL",(IF(M25&lt;&gt;"",190000,0)))</f>
        <v>ILEGAL</v>
      </c>
      <c r="P25" s="460"/>
      <c r="Q25" s="461"/>
      <c r="R25" s="280" t="str">
        <f>IF(B16&lt;&gt;"Legendary Linemen","ILEGAL",(IF(P25&lt;&gt;"",230000,0)))</f>
        <v>ILEGAL</v>
      </c>
      <c r="S25" s="280">
        <f t="shared" si="2"/>
        <v>0</v>
      </c>
      <c r="T25" s="455"/>
      <c r="V25" s="244" t="s">
        <v>1264</v>
      </c>
      <c r="W25" s="245">
        <f>SUM(Y25:AI25)</f>
        <v>0</v>
      </c>
      <c r="X25" s="245"/>
      <c r="Y25" s="245">
        <f>IF(K19="ILEGAL",0,K19)</f>
        <v>0</v>
      </c>
      <c r="Z25" s="245">
        <f>IF(M19="ILEGAL",0,M19)</f>
        <v>0</v>
      </c>
      <c r="AA25" s="245">
        <f>IF(O19="ILEGAL",0,O19)</f>
        <v>0</v>
      </c>
      <c r="AB25" s="245">
        <f>IF(Q19="ILEGAL",0,Q19)</f>
        <v>0</v>
      </c>
      <c r="AC25" s="245">
        <f>IF(S19="ILEGAL",0,S19)</f>
        <v>0</v>
      </c>
      <c r="AD25" s="245">
        <f>I19</f>
        <v>0</v>
      </c>
      <c r="AE25" s="245">
        <f>S21</f>
        <v>0</v>
      </c>
      <c r="AF25" s="245">
        <f>S22</f>
        <v>0</v>
      </c>
      <c r="AG25" s="245">
        <f>S23</f>
        <v>0</v>
      </c>
      <c r="AH25" s="245">
        <f>S24</f>
        <v>0</v>
      </c>
      <c r="AI25" s="246">
        <f>S25</f>
        <v>0</v>
      </c>
      <c r="AV25" s="247"/>
    </row>
    <row r="26" spans="1:48" s="13" customFormat="1" ht="15" customHeight="1" x14ac:dyDescent="0.2">
      <c r="A26" s="285"/>
      <c r="B26" s="286"/>
      <c r="C26" s="286"/>
      <c r="D26" s="286"/>
      <c r="E26" s="286"/>
      <c r="F26" s="286"/>
      <c r="G26" s="286"/>
      <c r="H26" s="286"/>
      <c r="I26" s="286"/>
      <c r="J26" s="286"/>
      <c r="K26" s="286"/>
      <c r="L26" s="286"/>
      <c r="M26" s="286"/>
      <c r="N26" s="286"/>
      <c r="O26" s="286"/>
      <c r="P26" s="286"/>
      <c r="Q26" s="286"/>
      <c r="R26" s="286"/>
      <c r="S26" s="286"/>
      <c r="T26" s="455"/>
      <c r="V26" s="238"/>
      <c r="W26" s="238"/>
      <c r="X26" s="238"/>
      <c r="Y26" s="238"/>
      <c r="Z26" s="238"/>
      <c r="AA26" s="238"/>
      <c r="AB26" s="238"/>
      <c r="AC26" s="238"/>
      <c r="AD26" s="238"/>
      <c r="AE26" s="238"/>
      <c r="AF26" s="238"/>
      <c r="AG26" s="238"/>
      <c r="AH26" s="238"/>
      <c r="AI26" s="238"/>
      <c r="AV26" s="247"/>
    </row>
    <row r="27" spans="1:48" ht="21.75" customHeight="1" x14ac:dyDescent="0.2">
      <c r="A27" s="462" t="str">
        <f>IF(Roster!$K$25="Italiano","MERCENARIO 3",(IF(Roster!$K$25="Español","MERCENARIO 3",(IF(Roster!$K$25="Français","MERCENAIRE 3","MERCENARY 3")))))</f>
        <v>MERCENARY 3</v>
      </c>
      <c r="B27" s="462"/>
      <c r="C27" s="462"/>
      <c r="D27" s="462"/>
      <c r="E27" s="462"/>
      <c r="F27" s="462"/>
      <c r="G27" s="462"/>
      <c r="H27" s="462"/>
      <c r="I27" s="462"/>
      <c r="J27" s="462"/>
      <c r="K27" s="462"/>
      <c r="L27" s="462"/>
      <c r="M27" s="462"/>
      <c r="N27" s="462"/>
      <c r="O27" s="462"/>
      <c r="P27" s="462"/>
      <c r="Q27" s="462"/>
      <c r="R27" s="462"/>
      <c r="S27" s="462"/>
      <c r="T27" s="455"/>
    </row>
    <row r="28" spans="1:48" s="13" customFormat="1" ht="22.5" customHeight="1" x14ac:dyDescent="0.2">
      <c r="A28" s="278" t="str">
        <f>IF(Roster!$K$25="Italiano","MERCENARIO 3",(IF(Roster!$K$25="Español","MERCENARIO 3",(IF(Roster!$K$25="Français","MERCENAIRE 3","MERCENARY 3")))))</f>
        <v>MERCENARY 3</v>
      </c>
      <c r="B28" s="278" t="str">
        <f>IF(Roster!$K$25="Italiano","TIPO",(IF(Roster!$K$25="Español","TIPO",(IF(Roster!$K$25="Deutsch","POSITION",(IF(Roster!$K$25="Français","POSTE","TYPE")))))))</f>
        <v>TYPE</v>
      </c>
      <c r="C28" s="278" t="str">
        <f>IF(Roster!$K$25="Español","MO",(IF(Roster!$K$25="Deutsch","BE",(IF(Roster!$K$25="Français","M","MA")))))</f>
        <v>MA</v>
      </c>
      <c r="D28" s="278" t="str">
        <f>IF(Roster!$K$25="Español","FU",(IF(Roster!$K$25="Français","F","ST")))</f>
        <v>ST</v>
      </c>
      <c r="E28" s="278" t="str">
        <f>IF(Roster!$K$25="Deutsch","GE","AG")</f>
        <v>AG</v>
      </c>
      <c r="F28" s="278" t="str">
        <f>IF(Roster!$K$25="Deutsch","WG",(IF(Roster!$K$25="Français","CP","PA")))</f>
        <v>PA</v>
      </c>
      <c r="G28" s="278" t="str">
        <f>IF(Roster!$K$25="Español","AR",(IF(Roster!$K$25="Deutsch","RW",(IF(Roster!$K$25="Français","AR","AV")))))</f>
        <v>AV</v>
      </c>
      <c r="H28" s="465" t="str">
        <f>IF(Roster!$K$25="Italiano","ABILITÀ",(IF(Roster!$K$25="Español","HABILIDADES",(IF(Roster!$K$25="Deutsch","FERTIGKEITEN",(IF(Roster!$K$25="Français","COMPÉTENCES","SKILLS")))))))</f>
        <v>SKILLS</v>
      </c>
      <c r="I28" s="466"/>
      <c r="J28" s="466"/>
      <c r="K28" s="466"/>
      <c r="L28" s="466"/>
      <c r="M28" s="466"/>
      <c r="N28" s="466"/>
      <c r="O28" s="466"/>
      <c r="P28" s="466"/>
      <c r="Q28" s="466"/>
      <c r="R28" s="467"/>
      <c r="S28" s="278" t="str">
        <f>IF(Roster!$K$25="Italiano","COSTO",(IF(Roster!$K$25="Español","PRECIO",(IF(Roster!$K$25="Deutsch","WERT",(IF(Roster!$K$25="Français","VALEUR","COST")))))))</f>
        <v>COST</v>
      </c>
      <c r="T28" s="455"/>
      <c r="V28" s="228" t="s">
        <v>261</v>
      </c>
      <c r="W28" s="229" t="s">
        <v>206</v>
      </c>
      <c r="X28" s="230"/>
      <c r="Y28" s="228" t="s">
        <v>1266</v>
      </c>
      <c r="Z28" s="231"/>
      <c r="AA28" s="231"/>
      <c r="AB28" s="229"/>
      <c r="AC28" s="230"/>
      <c r="AD28" s="230"/>
      <c r="AE28" s="230"/>
      <c r="AF28" s="228" t="s">
        <v>1271</v>
      </c>
      <c r="AG28" s="231"/>
      <c r="AH28" s="231"/>
      <c r="AI28" s="229"/>
      <c r="AK28" s="457" t="s">
        <v>1311</v>
      </c>
      <c r="AL28" s="458"/>
      <c r="AM28" s="458"/>
      <c r="AN28" s="458"/>
      <c r="AO28" s="459"/>
      <c r="AP28" s="457" t="s">
        <v>1312</v>
      </c>
      <c r="AQ28" s="458"/>
      <c r="AR28" s="458"/>
      <c r="AS28" s="458"/>
      <c r="AT28" s="459"/>
    </row>
    <row r="29" spans="1:48" s="13" customFormat="1" ht="30" customHeight="1" x14ac:dyDescent="0.2">
      <c r="A29" s="252"/>
      <c r="B29" s="252" t="s">
        <v>1265</v>
      </c>
      <c r="C29" s="279" t="str">
        <f>IF((VLOOKUP(B29,Y31:AD36,2,FALSE))+J32+(IF(AE29="G",-2,0))+(IF(OR(AE29="O",AE29="N"),-1,0))=0,"",(VLOOKUP(B29,Y31:AD36,2,FALSE))+J32+(IF(AE29="G",-2,0))+(IF(OR(AE29="O",AE29="N"),-1,0)))</f>
        <v/>
      </c>
      <c r="D29" s="279" t="str">
        <f>IF((VLOOKUP(B29,Y31:AD36,3,FALSE))+L32+(IF(AE29="G",3,0))+(IF(OR(AE29="O",AE29="N"),2,0))=0,"",(VLOOKUP(B29,Y31:AD36,3,FALSE))+L32+(IF(AE29="G",3,0))+(IF(OR(AE29="O",AE29="N"),2,0)))</f>
        <v/>
      </c>
      <c r="E29" s="279" t="str">
        <f>IF((VLOOKUP(B29,Y31:AD36,4,FALSE)+N32+(IF(AE29="J",1,0)))=0,"",(VLOOKUP(B29,Y31:AD36,4,FALSE)+N32+(IF(AE29="J",1,0))&amp;"+"))</f>
        <v/>
      </c>
      <c r="F29" s="279" t="str">
        <f>IF((VLOOKUP(B29,Y31:AD36,5,FALSE)+P32)=0,"",(VLOOKUP(B29,Y31:AD36,5,FALSE)+P32&amp;"+"))</f>
        <v/>
      </c>
      <c r="G29" s="279" t="str">
        <f>IF((VLOOKUP(B29,Y31:AD36,6,FALSE)+R32)=0,"",(VLOOKUP(B29,Y31:AD36,6,FALSE)+R32&amp;"+"))</f>
        <v/>
      </c>
      <c r="H29" s="292" t="str">
        <f>Y29&amp;(IF(Z29&lt;&gt;"",", ",""))&amp;Z29&amp;(IF(AA29&lt;&gt;"",", ",""))&amp;AA29&amp;(IF(AB29&lt;&gt;"",", ",""))&amp;AB29&amp;(IF(AF29&lt;&gt;"",", ",""))&amp;AF29&amp;(IF(AG29&lt;&gt;"",", ",""))&amp;AG29&amp;(IF(AH29&lt;&gt;"",", ",""))&amp;AH29&amp;(IF(AI29&lt;&gt;"",", ",""))&amp;AI29&amp;AK34</f>
        <v/>
      </c>
      <c r="I29" s="293"/>
      <c r="J29" s="293"/>
      <c r="K29" s="293"/>
      <c r="L29" s="293"/>
      <c r="M29" s="293"/>
      <c r="N29" s="293"/>
      <c r="O29" s="293"/>
      <c r="P29" s="293"/>
      <c r="Q29" s="293"/>
      <c r="R29" s="294"/>
      <c r="S29" s="279">
        <f>(VLOOKUP(B29,Y31:AI36,11,FALSE))+W38</f>
        <v>0</v>
      </c>
      <c r="T29" s="455"/>
      <c r="V29" s="232"/>
      <c r="W29" s="233">
        <v>0</v>
      </c>
      <c r="X29" s="225"/>
      <c r="Y29" s="234" t="str">
        <f>VLOOKUP(B29,Y31:AH36,7,FALSE)</f>
        <v/>
      </c>
      <c r="Z29" s="235" t="str">
        <f>VLOOKUP(B29,Y31:AH36,8,FALSE)</f>
        <v/>
      </c>
      <c r="AA29" s="235" t="str">
        <f>VLOOKUP(B29,Y31:AH36,9,FALSE)</f>
        <v/>
      </c>
      <c r="AB29" s="236" t="str">
        <f>VLOOKUP(B29,Y31:AH36,10,FALSE)</f>
        <v/>
      </c>
      <c r="AC29" s="230"/>
      <c r="AD29" s="230"/>
      <c r="AE29" s="230" t="str">
        <f>IFERROR((VLOOKUP(A32,R41:W55,2,FALSE)),"")</f>
        <v/>
      </c>
      <c r="AF29" s="234" t="str">
        <f>IFERROR((VLOOKUP(A32,R41:W55,3,FALSE)),"")</f>
        <v/>
      </c>
      <c r="AG29" s="235" t="str">
        <f>IFERROR((VLOOKUP(A32,R41:W55,4,FALSE)),"")</f>
        <v/>
      </c>
      <c r="AH29" s="235" t="str">
        <f>IFERROR((VLOOKUP(A32,R41:W55,5,FALSE)),"")</f>
        <v/>
      </c>
      <c r="AI29" s="236" t="str">
        <f>IFERROR((VLOOKUP(A32,R41:W55,6,FALSE)),"")</f>
        <v/>
      </c>
      <c r="AK29" s="237">
        <v>0</v>
      </c>
      <c r="AL29" s="238">
        <v>0</v>
      </c>
      <c r="AM29" s="238">
        <v>0</v>
      </c>
      <c r="AN29" s="238">
        <v>0</v>
      </c>
      <c r="AO29" s="233">
        <v>0</v>
      </c>
      <c r="AP29" s="237">
        <v>0</v>
      </c>
      <c r="AQ29" s="238">
        <v>0</v>
      </c>
      <c r="AR29" s="238">
        <v>0</v>
      </c>
      <c r="AS29" s="238">
        <v>0</v>
      </c>
      <c r="AT29" s="233">
        <v>0</v>
      </c>
    </row>
    <row r="30" spans="1:48" s="13" customFormat="1" ht="22.5" customHeight="1" x14ac:dyDescent="0.2">
      <c r="A30" s="456" t="str">
        <f>IF(BC8="Italiano","AVANZAMIENTO GIOCATORI",(IF(BC8="Español","MEJORAS DEL JUGADORE",(IF(BC8="Deutsch","SPIELERVERBESSERUNGEN",(IF(BC8="Français","AMÉLIORATIONS DE JOUEUR","PLAYER UPGRADES")))))))</f>
        <v>PLAYER UPGRADES</v>
      </c>
      <c r="B30" s="456"/>
      <c r="C30" s="456"/>
      <c r="D30" s="456"/>
      <c r="E30" s="456"/>
      <c r="F30" s="456"/>
      <c r="G30" s="456"/>
      <c r="H30" s="456"/>
      <c r="I30" s="456"/>
      <c r="J30" s="456"/>
      <c r="K30" s="456"/>
      <c r="L30" s="456"/>
      <c r="M30" s="456"/>
      <c r="N30" s="456"/>
      <c r="O30" s="456"/>
      <c r="P30" s="456"/>
      <c r="Q30" s="456"/>
      <c r="R30" s="456"/>
      <c r="S30" s="456"/>
      <c r="T30" s="455"/>
      <c r="V30" s="232" t="str">
        <f t="shared" ref="V30:W36" si="3">IF($B$29="Stunty Superstar",C43,(IF($B$29="Legendary Linemen",F43,(IF($B$29="Brutal Blockers",I43,(IF($B$29="Reliable Ringers",L43,(IF($B$29="Bona Fide Big Guy",O43,"")))))))))</f>
        <v/>
      </c>
      <c r="W30" s="233" t="str">
        <f t="shared" si="3"/>
        <v/>
      </c>
      <c r="X30" s="230"/>
      <c r="Y30" s="230"/>
      <c r="Z30" s="230"/>
      <c r="AA30" s="230"/>
      <c r="AB30" s="230"/>
      <c r="AC30" s="230"/>
      <c r="AD30" s="230"/>
      <c r="AE30" s="230"/>
      <c r="AF30" s="230"/>
      <c r="AG30" s="230"/>
      <c r="AH30" s="230"/>
      <c r="AI30" s="230"/>
      <c r="AK30" s="237">
        <v>1</v>
      </c>
      <c r="AL30" s="238">
        <v>0</v>
      </c>
      <c r="AM30" s="238">
        <f>IF(B29="Legendary Linemen",0,-1)</f>
        <v>-1</v>
      </c>
      <c r="AN30" s="238">
        <f>IF(B29="Brutal Blockers",0,-1)</f>
        <v>-1</v>
      </c>
      <c r="AO30" s="233">
        <v>1</v>
      </c>
      <c r="AP30" s="237">
        <f>IF(OR(B29="Legendary Linemen",B29="Bona Fide Big Guy"),20000,30000)</f>
        <v>30000</v>
      </c>
      <c r="AQ30" s="238">
        <v>0</v>
      </c>
      <c r="AR30" s="238">
        <f>IF(OR(B29="Stunty Superstar",B29="Bona Fide Big Guy"),40000,(IF(B29="Legendary Linemen",0,50000)))</f>
        <v>50000</v>
      </c>
      <c r="AS30" s="238">
        <f>IF(B29="Brutal Blockers",0,30000)</f>
        <v>30000</v>
      </c>
      <c r="AT30" s="233">
        <f>IF(B29="Stunty Superstar",30000,(IF(B29="Reliable Ringers",40000,20000)))</f>
        <v>20000</v>
      </c>
    </row>
    <row r="31" spans="1:48" s="13" customFormat="1" ht="22.5" customHeight="1" x14ac:dyDescent="0.2">
      <c r="A31" s="465" t="s">
        <v>1263</v>
      </c>
      <c r="B31" s="466"/>
      <c r="C31" s="466"/>
      <c r="D31" s="466"/>
      <c r="E31" s="466"/>
      <c r="F31" s="466"/>
      <c r="G31" s="466"/>
      <c r="H31" s="467"/>
      <c r="I31" s="278" t="str">
        <f>IF(Roster!$K$25="Italiano","COSTO",(IF(Roster!$K$25="Español","PRECIO",(IF(Roster!$K$25="Deutsch","WERT",(IF(Roster!$K$25="Français","VALEUR","COST")))))))</f>
        <v>COST</v>
      </c>
      <c r="J31" s="278" t="str">
        <f>IF(Roster!$K$25="Español","MO",(IF(Roster!$K$25="Deutsch","BE",(IF(Roster!$K$25="Français","M","MA")))))</f>
        <v>MA</v>
      </c>
      <c r="K31" s="278" t="str">
        <f>IF(Roster!$K$25="Italiano","COSTO",(IF(Roster!$K$25="Español","PRECIO",(IF(Roster!$K$25="Deutsch","WERT",(IF(Roster!$K$25="Français","VALEUR","COST")))))))</f>
        <v>COST</v>
      </c>
      <c r="L31" s="278" t="str">
        <f>IF(Roster!$K$25="Español","FU",(IF(Roster!$K$25="Français","F","ST")))</f>
        <v>ST</v>
      </c>
      <c r="M31" s="278" t="str">
        <f>IF(Roster!$K$25="Italiano","COSTO",(IF(Roster!$K$25="Español","PRECIO",(IF(Roster!$K$25="Deutsch","WERT",(IF(Roster!$K$25="Français","VALEUR","COST")))))))</f>
        <v>COST</v>
      </c>
      <c r="N31" s="278" t="str">
        <f>IF(Roster!$K$25="Deutsch","GE","AG")</f>
        <v>AG</v>
      </c>
      <c r="O31" s="278" t="str">
        <f>IF(Roster!$K$25="Italiano","COSTO",(IF(Roster!$K$25="Español","PRECIO",(IF(Roster!$K$25="Deutsch","WERT",(IF(Roster!$K$25="Français","VALEUR","COST")))))))</f>
        <v>COST</v>
      </c>
      <c r="P31" s="278" t="str">
        <f>IF(Roster!$K$25="Deutsch","WG",(IF(Roster!$K$25="Français","CP","PA")))</f>
        <v>PA</v>
      </c>
      <c r="Q31" s="278" t="str">
        <f>IF(Roster!$K$25="Italiano","COSTO",(IF(Roster!$K$25="Español","PRECIO",(IF(Roster!$K$25="Deutsch","WERT",(IF(Roster!$K$25="Français","VALEUR","COST")))))))</f>
        <v>COST</v>
      </c>
      <c r="R31" s="278" t="str">
        <f>IF(Roster!$K$25="Español","AR",(IF(Roster!$K$25="Deutsch","RW",(IF(Roster!$K$25="Français","AR","AV")))))</f>
        <v>AV</v>
      </c>
      <c r="S31" s="278" t="str">
        <f>IF(Roster!$K$25="Italiano","COSTO",(IF(Roster!$K$25="Español","PRECIO",(IF(Roster!$K$25="Deutsch","WERT",(IF(Roster!$K$25="Français","VALEUR","COST")))))))</f>
        <v>COST</v>
      </c>
      <c r="T31" s="455"/>
      <c r="U31" s="224"/>
      <c r="V31" s="232" t="str">
        <f t="shared" si="3"/>
        <v/>
      </c>
      <c r="W31" s="233" t="str">
        <f t="shared" si="3"/>
        <v/>
      </c>
      <c r="X31" s="230"/>
      <c r="Y31" s="228" t="s">
        <v>1265</v>
      </c>
      <c r="Z31" s="239">
        <v>0</v>
      </c>
      <c r="AA31" s="239">
        <v>0</v>
      </c>
      <c r="AB31" s="239">
        <v>0</v>
      </c>
      <c r="AC31" s="239">
        <v>0</v>
      </c>
      <c r="AD31" s="239">
        <v>0</v>
      </c>
      <c r="AE31" s="231" t="str">
        <f>""</f>
        <v/>
      </c>
      <c r="AF31" s="231" t="str">
        <f>""</f>
        <v/>
      </c>
      <c r="AG31" s="231" t="str">
        <f>""</f>
        <v/>
      </c>
      <c r="AH31" s="231" t="str">
        <f>""</f>
        <v/>
      </c>
      <c r="AI31" s="259">
        <v>0</v>
      </c>
      <c r="AK31" s="237">
        <v>2</v>
      </c>
      <c r="AL31" s="238">
        <v>0</v>
      </c>
      <c r="AM31" s="238">
        <f>IF(B29="Legendary Linemen",0,-2)</f>
        <v>-2</v>
      </c>
      <c r="AN31" s="238">
        <f>IF(B29="Brutal Blockers",0,-2)</f>
        <v>-2</v>
      </c>
      <c r="AO31" s="233">
        <v>2</v>
      </c>
      <c r="AP31" s="237">
        <f>IF(OR(B29="Stunty Superstar",B29="Reliable Ringers"),48000,(IF(B29="Legendary Linemen",40000,50000)))</f>
        <v>50000</v>
      </c>
      <c r="AQ31" s="238">
        <v>0</v>
      </c>
      <c r="AR31" s="238">
        <f>IF(OR(B29="Stunty Superstar",B29="Bona Fide Big Guy"),80000,(IF(B29="Legendary Linemen",0,100000)))</f>
        <v>100000</v>
      </c>
      <c r="AS31" s="238">
        <f>IF(B29="Brutal Blockers",0,48000)</f>
        <v>48000</v>
      </c>
      <c r="AT31" s="233">
        <f>IF(B29="Stunty Superstar",48000,(IF(B29="Reliable Ringers",80000,40000)))</f>
        <v>40000</v>
      </c>
    </row>
    <row r="32" spans="1:48" s="13" customFormat="1" ht="22.5" customHeight="1" x14ac:dyDescent="0.2">
      <c r="A32" s="468"/>
      <c r="B32" s="469"/>
      <c r="C32" s="469"/>
      <c r="D32" s="469"/>
      <c r="E32" s="469"/>
      <c r="F32" s="469"/>
      <c r="G32" s="469"/>
      <c r="H32" s="470"/>
      <c r="I32" s="280">
        <f>IFERROR((VLOOKUP(A32,V30:W36,2,FALSE)),0)</f>
        <v>0</v>
      </c>
      <c r="J32" s="279">
        <v>0</v>
      </c>
      <c r="K32" s="280">
        <f>IFERROR((VLOOKUP(J32,AK29:AT33,6,FALSE)),"ILEGAL")</f>
        <v>0</v>
      </c>
      <c r="L32" s="279">
        <v>0</v>
      </c>
      <c r="M32" s="280">
        <f>IFERROR((VLOOKUP(L32,AL29:AT33,6,FALSE)),"ILEGAL")</f>
        <v>0</v>
      </c>
      <c r="N32" s="279">
        <v>0</v>
      </c>
      <c r="O32" s="280">
        <f>IFERROR((VLOOKUP(N32,AM29:AT33,6,FALSE)),"ILEGAL")</f>
        <v>0</v>
      </c>
      <c r="P32" s="279">
        <v>0</v>
      </c>
      <c r="Q32" s="280">
        <f>IFERROR((VLOOKUP(P32,AN29:AT33,6,FALSE)),"ILEGAL")</f>
        <v>0</v>
      </c>
      <c r="R32" s="279">
        <v>0</v>
      </c>
      <c r="S32" s="280">
        <f>IFERROR((VLOOKUP(R32,AO29:AT33,6,FALSE)),"ILEGAL")</f>
        <v>0</v>
      </c>
      <c r="T32" s="455"/>
      <c r="V32" s="232" t="str">
        <f t="shared" si="3"/>
        <v/>
      </c>
      <c r="W32" s="233" t="str">
        <f t="shared" si="3"/>
        <v/>
      </c>
      <c r="X32" s="230"/>
      <c r="Y32" s="232" t="s">
        <v>1267</v>
      </c>
      <c r="Z32" s="238">
        <v>5</v>
      </c>
      <c r="AA32" s="238">
        <v>2</v>
      </c>
      <c r="AB32" s="238">
        <v>3</v>
      </c>
      <c r="AC32" s="238">
        <v>4</v>
      </c>
      <c r="AD32" s="238">
        <v>6</v>
      </c>
      <c r="AE32" s="240" t="str">
        <f>IF(((COUNTIF(AE29,"A"))+(COUNTIF(AE29,"B"))+(COUNTIF(AE29,"H"))+(COUNTIF(AE29,"I"))+(COUNTIF(AE29,"M")))=1,"Loner (5+)","Loner (4+)")</f>
        <v>Loner (4+)</v>
      </c>
      <c r="AF32" s="240" t="s">
        <v>272</v>
      </c>
      <c r="AG32" s="240" t="s">
        <v>1268</v>
      </c>
      <c r="AH32" s="240" t="s">
        <v>1269</v>
      </c>
      <c r="AI32" s="233">
        <v>30000</v>
      </c>
      <c r="AK32" s="237">
        <v>-1</v>
      </c>
      <c r="AL32" s="238">
        <v>-1</v>
      </c>
      <c r="AM32" s="238">
        <v>1</v>
      </c>
      <c r="AN32" s="238">
        <v>1</v>
      </c>
      <c r="AO32" s="233">
        <v>-1</v>
      </c>
      <c r="AP32" s="237">
        <v>-10000</v>
      </c>
      <c r="AQ32" s="238">
        <v>-10000</v>
      </c>
      <c r="AR32" s="238">
        <v>-10000</v>
      </c>
      <c r="AS32" s="238">
        <v>-10000</v>
      </c>
      <c r="AT32" s="233">
        <v>-10000</v>
      </c>
    </row>
    <row r="33" spans="1:46" s="13" customFormat="1" ht="22.5" customHeight="1" x14ac:dyDescent="0.2">
      <c r="A33" s="281" t="str">
        <f>IF(Roster!$K$25="Italiano","TIPO",(IF(Roster!$K$25="Español","TIPO",(IF(Roster!$K$25="Deutsch","POSITION",(IF(Roster!$K$25="Français","POSTE","TYPE")))))))</f>
        <v>TYPE</v>
      </c>
      <c r="B33" s="282" t="str">
        <f>IF($J$40="Italiano","AVANZAMENTO 1",(IF($J$40="Español","MEJORA 1",(IF($J$40="Deutsch","VERBES-SERUNG 1",(IF($J$40="Français","AMÉLIORATION 1","UPGRADE 1")))))))</f>
        <v>UPGRADE 1</v>
      </c>
      <c r="C33" s="283" t="str">
        <f>IF(Roster!$K$25="Italiano","COSTO",(IF(Roster!$K$25="Español","PRECIO",(IF(Roster!$K$25="Deutsch","WERT",(IF(Roster!$K$25="Français","VALEUR","COST")))))))</f>
        <v>COST</v>
      </c>
      <c r="D33" s="463" t="str">
        <f>IF($J$40="Italiano","AVANZAMENTO 2",(IF($J$40="Español","MEJORA 2",(IF($J$40="Deutsch","VERBES-SERUNG 2",(IF($J$40="Français","AMÉLIORATION 2","UPGRADE 2")))))))</f>
        <v>UPGRADE 2</v>
      </c>
      <c r="E33" s="464"/>
      <c r="F33" s="283" t="str">
        <f>IF(Roster!$K$25="Italiano","COSTO",(IF(Roster!$K$25="Español","PRECIO",(IF(Roster!$K$25="Deutsch","WERT",(IF(Roster!$K$25="Français","VALEUR","COST")))))))</f>
        <v>COST</v>
      </c>
      <c r="G33" s="463" t="str">
        <f>IF($J$40="Italiano","AVANZAMENTO 3",(IF($J$40="Español","MEJORA 3",(IF($J$40="Deutsch","VERBES-SERUNG 3",(IF($J$40="Français","AMÉLIORATION 3","UPGRADE 3")))))))</f>
        <v>UPGRADE 3</v>
      </c>
      <c r="H33" s="464"/>
      <c r="I33" s="278" t="str">
        <f>IF(Roster!$K$25="Italiano","COSTO",(IF(Roster!$K$25="Español","PRECIO",(IF(Roster!$K$25="Deutsch","WERT",(IF(Roster!$K$25="Français","VALEUR","COST")))))))</f>
        <v>COST</v>
      </c>
      <c r="J33" s="463" t="str">
        <f>IF($J$40="Italiano","AVANZAMENTO 4",(IF($J$40="Español","MEJORA 4",(IF($J$40="Deutsch","VERBES-SERUNG 4",(IF($J$40="Français","AMÉLIORATION 4","UPGRADE 4")))))))</f>
        <v>UPGRADE 4</v>
      </c>
      <c r="K33" s="464"/>
      <c r="L33" s="278" t="str">
        <f>IF(Roster!$K$25="Italiano","COSTO",(IF(Roster!$K$25="Español","PRECIO",(IF(Roster!$K$25="Deutsch","WERT",(IF(Roster!$K$25="Français","VALEUR","COST")))))))</f>
        <v>COST</v>
      </c>
      <c r="M33" s="463" t="str">
        <f>IF($J$40="Italiano","AVANZAMENTO 5",(IF($J$40="Español","MEJORA 5",(IF($J$40="Deutsch","VERBES-SERUNG 5",(IF($J$40="Français","AMÉLIORATION 5","UPGRADE 5")))))))</f>
        <v>UPGRADE 5</v>
      </c>
      <c r="N33" s="464"/>
      <c r="O33" s="278" t="str">
        <f>IF(Roster!$K$25="Italiano","COSTO",(IF(Roster!$K$25="Español","PRECIO",(IF(Roster!$K$25="Deutsch","WERT",(IF(Roster!$K$25="Français","VALEUR","COST")))))))</f>
        <v>COST</v>
      </c>
      <c r="P33" s="463" t="str">
        <f>IF($J$40="Italiano","AVANZAMENTO 6",(IF($J$40="Español","MEJORA 6",(IF($J$40="Deutsch","VERBES-SERUNG 6",(IF($J$40="Français","AMÉLIORATION 6","UPGRADE 6")))))))</f>
        <v>UPGRADE 6</v>
      </c>
      <c r="Q33" s="464"/>
      <c r="R33" s="278" t="str">
        <f>IF(Roster!$K$25="Italiano","COSTO",(IF(Roster!$K$25="Español","PRECIO",(IF(Roster!$K$25="Deutsch","WERT",(IF(Roster!$K$25="Français","VALEUR","COST")))))))</f>
        <v>COST</v>
      </c>
      <c r="S33" s="278" t="s">
        <v>1264</v>
      </c>
      <c r="T33" s="455"/>
      <c r="V33" s="232" t="str">
        <f t="shared" si="3"/>
        <v/>
      </c>
      <c r="W33" s="233" t="str">
        <f t="shared" si="3"/>
        <v/>
      </c>
      <c r="X33" s="230"/>
      <c r="Y33" s="232" t="s">
        <v>1270</v>
      </c>
      <c r="Z33" s="238">
        <v>6</v>
      </c>
      <c r="AA33" s="238">
        <v>3</v>
      </c>
      <c r="AB33" s="238">
        <v>3</v>
      </c>
      <c r="AC33" s="238">
        <v>4</v>
      </c>
      <c r="AD33" s="238">
        <v>9</v>
      </c>
      <c r="AE33" s="240" t="str">
        <f>IF(((COUNTIF(AE29,"A"))+(COUNTIF(AE29,"B"))+(COUNTIF(AE29,"H"))+(COUNTIF(AE29,"I"))+(COUNTIF(AE29,"M")))=1,"Loner (5+)","Loner (4+)")</f>
        <v>Loner (4+)</v>
      </c>
      <c r="AF33" s="240" t="str">
        <f>""</f>
        <v/>
      </c>
      <c r="AG33" s="240" t="str">
        <f>""</f>
        <v/>
      </c>
      <c r="AH33" s="240" t="str">
        <f>""</f>
        <v/>
      </c>
      <c r="AI33" s="233">
        <v>50000</v>
      </c>
      <c r="AK33" s="241">
        <v>-2</v>
      </c>
      <c r="AL33" s="242">
        <f>IF(B29="Stunty Superstar",0,-2)</f>
        <v>-2</v>
      </c>
      <c r="AM33" s="242">
        <v>2</v>
      </c>
      <c r="AN33" s="242">
        <v>2</v>
      </c>
      <c r="AO33" s="243">
        <v>-2</v>
      </c>
      <c r="AP33" s="241">
        <v>-20000</v>
      </c>
      <c r="AQ33" s="242">
        <v>-20000</v>
      </c>
      <c r="AR33" s="242">
        <v>-20000</v>
      </c>
      <c r="AS33" s="242">
        <v>-20000</v>
      </c>
      <c r="AT33" s="243">
        <v>-20000</v>
      </c>
    </row>
    <row r="34" spans="1:46" s="13" customFormat="1" ht="22.5" customHeight="1" x14ac:dyDescent="0.2">
      <c r="A34" s="284" t="str">
        <f>IF($J$40="Italiano","GENERALE:",(IF($J$40="Français","GÉNÉRALE:","GENERAL:")))</f>
        <v>GENERAL:</v>
      </c>
      <c r="B34" s="252"/>
      <c r="C34" s="280">
        <f>IF(B34&lt;&gt;"",(IF(B29="Legendary Linemen",20000,(IF(B29="Reliable Ringers",30000,(IF(B29="Mercenaries",0,40000)))))),0)</f>
        <v>0</v>
      </c>
      <c r="D34" s="460"/>
      <c r="E34" s="461"/>
      <c r="F34" s="280" t="str">
        <f>IF(B29&lt;&gt;"Legendary Linemen","ILEGAL",(IF(D34&lt;&gt;"",50000,0)))</f>
        <v>ILEGAL</v>
      </c>
      <c r="G34" s="460"/>
      <c r="H34" s="461"/>
      <c r="I34" s="280" t="str">
        <f>IF(B29&lt;&gt;"Legendary Linemen","ILEGAL",(IF(G34&lt;&gt;"",80000,0)))</f>
        <v>ILEGAL</v>
      </c>
      <c r="J34" s="460"/>
      <c r="K34" s="461"/>
      <c r="L34" s="280" t="str">
        <f>IF(B29&lt;&gt;"Legendary Linemen","ILEGAL",(IF(J34&lt;&gt;"",110000,0)))</f>
        <v>ILEGAL</v>
      </c>
      <c r="M34" s="460"/>
      <c r="N34" s="461"/>
      <c r="O34" s="280" t="str">
        <f>IF(B29&lt;&gt;"Legendary Linemen","ILEGAL",(IF(M34&lt;&gt;"",140000,0)))</f>
        <v>ILEGAL</v>
      </c>
      <c r="P34" s="460"/>
      <c r="Q34" s="461"/>
      <c r="R34" s="280" t="str">
        <f>IF(B29&lt;&gt;"Legendary Linemen","ILEGAL",(IF(P34&lt;&gt;"",170000,0)))</f>
        <v>ILEGAL</v>
      </c>
      <c r="S34" s="280">
        <f>SUM(C34,F34,I34,L34,O34,R34)</f>
        <v>0</v>
      </c>
      <c r="T34" s="455"/>
      <c r="V34" s="232" t="str">
        <f t="shared" si="3"/>
        <v/>
      </c>
      <c r="W34" s="233" t="str">
        <f t="shared" si="3"/>
        <v/>
      </c>
      <c r="X34" s="230"/>
      <c r="Y34" s="232" t="s">
        <v>1272</v>
      </c>
      <c r="Z34" s="238">
        <v>4</v>
      </c>
      <c r="AA34" s="238">
        <v>4</v>
      </c>
      <c r="AB34" s="238">
        <v>4</v>
      </c>
      <c r="AC34" s="238">
        <v>6</v>
      </c>
      <c r="AD34" s="238">
        <v>9</v>
      </c>
      <c r="AE34" s="240" t="str">
        <f>IF(((COUNTIF(AE29,"A"))+(COUNTIF(AE29,"B"))+(COUNTIF(AE29,"H"))+(COUNTIF(AE29,"I"))+(COUNTIF(AE29,"M")))=1,"Loner (5+)","Loner (4+)")</f>
        <v>Loner (4+)</v>
      </c>
      <c r="AF34" s="240" t="str">
        <f>IF(OR(AE29="H",AE29="M"),"Mighty Blow (+2)","")</f>
        <v/>
      </c>
      <c r="AG34" s="240" t="str">
        <f>""</f>
        <v/>
      </c>
      <c r="AH34" s="240" t="str">
        <f>""</f>
        <v/>
      </c>
      <c r="AI34" s="233">
        <v>70000</v>
      </c>
      <c r="AK34" s="230" t="str">
        <f>B34&amp;(IF(D34&lt;&gt;"",", ",""))&amp;D34&amp;(IF(G34&lt;&gt;"",", ",""))&amp;G34&amp;(IF(J34&lt;&gt;"",", ",""))&amp;J34&amp;(IF(M34&lt;&gt;"",", ",""))&amp;M34&amp;(IF(P34&lt;&gt;"",", ",""))&amp;P34&amp;(IF(B35&lt;&gt;"",", ",""))&amp;B35&amp;(IF(D35&lt;&gt;"",", ",""))&amp;D35&amp;(IF(G35&lt;&gt;"",", ",""))&amp;G35&amp;(IF(J35&lt;&gt;"",", ",""))&amp;J35&amp;(IF(M35&lt;&gt;"",", ",""))&amp;M35&amp;(IF(P35&lt;&gt;"",", ",""))&amp;P35&amp;(IF(B36&lt;&gt;"",", ",""))&amp;B36&amp;(IF(D36&lt;&gt;"",", ",""))&amp;D36&amp;(IF(G36&lt;&gt;"",", ",""))&amp;G36&amp;(IF(J36&lt;&gt;"",", ",""))&amp;J36&amp;(IF(M36&lt;&gt;"",", ",""))&amp;M36&amp;(IF(P36&lt;&gt;"",", ",""))&amp;P36&amp;(IF(B37&lt;&gt;"",", ",""))&amp;B37&amp;(IF(D37&lt;&gt;"",", ",""))&amp;D37&amp;(IF(G37&lt;&gt;"",", ",""))&amp;G37&amp;(IF(J37&lt;&gt;"",", ",""))&amp;J37&amp;(IF(M37&lt;&gt;"",", ",""))&amp;M37&amp;(IF(P37&lt;&gt;"",", ",""))&amp;P37&amp;(IF(B38&lt;&gt;"",", ",""))&amp;B38&amp;(IF(D38&lt;&gt;"",", ",""))&amp;D38&amp;(IF(G38&lt;&gt;"",", ",""))&amp;G38&amp;(IF(J38&lt;&gt;"",", ",""))&amp;J38&amp;(IF(M38&lt;&gt;"",", ",""))&amp;M38&amp;(IF(P38&lt;&gt;"",", ",""))&amp;P38</f>
        <v/>
      </c>
    </row>
    <row r="35" spans="1:46" s="13" customFormat="1" ht="22.5" customHeight="1" x14ac:dyDescent="0.2">
      <c r="A35" s="284" t="str">
        <f>IF($J$40="Italiano","FORZA:",(IF($J$40="Español","FUERZA:",(IF($J$40="Français","FORCE:","STRENGTH:")))))</f>
        <v>STRENGTH:</v>
      </c>
      <c r="B35" s="252"/>
      <c r="C35" s="280">
        <f>IF(B35&lt;&gt;"",(IF(B29="Stunty Superstar","ILEGAL",(IF(B29="Reliable Ringers",50000,(IF(B29="Mercenaries",0,30000)))))),0)</f>
        <v>0</v>
      </c>
      <c r="D35" s="460"/>
      <c r="E35" s="461"/>
      <c r="F35" s="280" t="str">
        <f>IF($B$3&lt;&gt;"Brutal Blockers",(IF($B$3&lt;&gt;"Bona Fide Big Guy","ILEGAL",(IF(D35&lt;&gt;"",70000,0)))),(IF(D35&lt;&gt;"",70000,0)))</f>
        <v>ILEGAL</v>
      </c>
      <c r="G35" s="460"/>
      <c r="H35" s="461"/>
      <c r="I35" s="280" t="str">
        <f>IF($B$3&lt;&gt;"Brutal Blockers",(IF($B$3&lt;&gt;"Bona Fide Big Guy","ILEGAL",(IF(G35&lt;&gt;"",110000,0)))),(IF(G35&lt;&gt;"",110000,0)))</f>
        <v>ILEGAL</v>
      </c>
      <c r="J35" s="460"/>
      <c r="K35" s="461"/>
      <c r="L35" s="280" t="str">
        <f>IF($B$3&lt;&gt;"Brutal Blockers",(IF($B$3&lt;&gt;"Bona Fide Big Guy","ILEGAL",(IF(J35&lt;&gt;"",150000,0)))),(IF(J35&lt;&gt;"",150000,0)))</f>
        <v>ILEGAL</v>
      </c>
      <c r="M35" s="460"/>
      <c r="N35" s="461"/>
      <c r="O35" s="280" t="str">
        <f>IF($B$3&lt;&gt;"Brutal Blockers",(IF($B$3&lt;&gt;"Bona Fide Big Guy","ILEGAL",(IF(M35&lt;&gt;"",190000,0)))),(IF(M35&lt;&gt;"",190000,0)))</f>
        <v>ILEGAL</v>
      </c>
      <c r="P35" s="460"/>
      <c r="Q35" s="461"/>
      <c r="R35" s="280" t="str">
        <f>IF($B$3&lt;&gt;"Brutal Blockers",(IF($B$3&lt;&gt;"Bona Fide Big Guy","ILEGAL",(IF(P35&lt;&gt;"",230000,0)))),(IF(P35&lt;&gt;"",230000,0)))</f>
        <v>ILEGAL</v>
      </c>
      <c r="S35" s="280">
        <f t="shared" ref="S35:S38" si="4">SUM(C35,F35,I35,L35,O35,R35)</f>
        <v>0</v>
      </c>
      <c r="T35" s="455"/>
      <c r="V35" s="232" t="str">
        <f t="shared" si="3"/>
        <v/>
      </c>
      <c r="W35" s="233" t="str">
        <f t="shared" si="3"/>
        <v/>
      </c>
      <c r="X35" s="230"/>
      <c r="Y35" s="232" t="s">
        <v>1261</v>
      </c>
      <c r="Z35" s="238">
        <v>6</v>
      </c>
      <c r="AA35" s="238">
        <v>3</v>
      </c>
      <c r="AB35" s="238">
        <v>2</v>
      </c>
      <c r="AC35" s="238">
        <v>3</v>
      </c>
      <c r="AD35" s="238">
        <v>8</v>
      </c>
      <c r="AE35" s="240" t="str">
        <f>IF(((COUNTIF(AE29,"A"))+(COUNTIF(AE29,"B"))+(COUNTIF(AE29,"H"))+(COUNTIF(AE29,"I"))+(COUNTIF(AE29,"M")))=1,"Loner (5+)","Loner (4+)")</f>
        <v>Loner (4+)</v>
      </c>
      <c r="AF35" s="240" t="str">
        <f>""</f>
        <v/>
      </c>
      <c r="AG35" s="240" t="str">
        <f>""</f>
        <v/>
      </c>
      <c r="AH35" s="240" t="str">
        <f>""</f>
        <v/>
      </c>
      <c r="AI35" s="233">
        <v>70000</v>
      </c>
    </row>
    <row r="36" spans="1:46" s="13" customFormat="1" ht="22.5" customHeight="1" x14ac:dyDescent="0.2">
      <c r="A36" s="284" t="str">
        <f>IF($J$40="Italiano","AGILITÀ:",(IF($J$40="Español","AGILIDAD:",(IF($J$40="Deutsch","AGILITÄT:",(IF($J$40="Français","AGILITÉ:","AGILITY:")))))))</f>
        <v>AGILITY:</v>
      </c>
      <c r="B36" s="252"/>
      <c r="C36" s="280">
        <f>IF(B29="Bona Fide Big Guy","ILEGAL",IF(B36&lt;&gt;"",(IF(B29="Stunty Superstar",10000,(IF(B29="Brutal Blockers",40000,(IF(B29="Mercenaries",0,30000)))))),0))</f>
        <v>0</v>
      </c>
      <c r="D36" s="460"/>
      <c r="E36" s="461"/>
      <c r="F36" s="280" t="str">
        <f>IF($B$3&lt;&gt;"Stunty Superstar",(IF($B$3&lt;&gt;"Reliable Ringers","ILEGAL",(IF(D36&lt;&gt;"",70000,0)))),(IF(D36&lt;&gt;"",30000,0)))</f>
        <v>ILEGAL</v>
      </c>
      <c r="G36" s="460"/>
      <c r="H36" s="461"/>
      <c r="I36" s="280" t="str">
        <f>IF($B$3&lt;&gt;"Stunty Superstar",(IF($B$3&lt;&gt;"Reliable Ringers","ILEGAL",(IF(G36&lt;&gt;"",110000,0)))),(IF(G36&lt;&gt;"",50000,0)))</f>
        <v>ILEGAL</v>
      </c>
      <c r="J36" s="460"/>
      <c r="K36" s="461"/>
      <c r="L36" s="280" t="str">
        <f>IF($B$3&lt;&gt;"Stunty Superstar",(IF($B$3&lt;&gt;"Reliable Ringers","ILEGAL",(IF(J36&lt;&gt;"",150000,0)))),(IF(J36&lt;&gt;"",70000,0)))</f>
        <v>ILEGAL</v>
      </c>
      <c r="M36" s="460"/>
      <c r="N36" s="461"/>
      <c r="O36" s="280" t="str">
        <f>IF($B$3&lt;&gt;"Stunty Superstar",(IF($B$3&lt;&gt;"Reliable Ringers","ILEGAL",(IF(M36&lt;&gt;"",190000,0)))),(IF(M36&lt;&gt;"",90000,0)))</f>
        <v>ILEGAL</v>
      </c>
      <c r="P36" s="460"/>
      <c r="Q36" s="461"/>
      <c r="R36" s="280" t="str">
        <f>IF($B$3&lt;&gt;"Stunty Superstar",(IF($B$3&lt;&gt;"Reliable Ringers","ILEGAL",(IF(P36&lt;&gt;"",230000,0)))),(IF(P36&lt;&gt;"",110000,0)))</f>
        <v>ILEGAL</v>
      </c>
      <c r="S36" s="280">
        <f t="shared" si="4"/>
        <v>0</v>
      </c>
      <c r="T36" s="455"/>
      <c r="V36" s="234" t="str">
        <f t="shared" si="3"/>
        <v/>
      </c>
      <c r="W36" s="243" t="str">
        <f t="shared" si="3"/>
        <v/>
      </c>
      <c r="X36" s="230"/>
      <c r="Y36" s="234" t="s">
        <v>1273</v>
      </c>
      <c r="Z36" s="242">
        <v>4</v>
      </c>
      <c r="AA36" s="242">
        <v>5</v>
      </c>
      <c r="AB36" s="242">
        <v>4</v>
      </c>
      <c r="AC36" s="242">
        <v>5</v>
      </c>
      <c r="AD36" s="242">
        <v>9</v>
      </c>
      <c r="AE36" s="235" t="str">
        <f>IF(((COUNTIF(AE29,"A"))+(COUNTIF(AE29,"B"))+(COUNTIF(AE29,"H"))+(COUNTIF(AE29,"I"))+(COUNTIF(AE29,"M")))=1,"Loner (5+)","Loner (4+)")</f>
        <v>Loner (4+)</v>
      </c>
      <c r="AF36" s="235" t="str">
        <f>IF(OR(AE29="J",AE29="K",AE29="L",AE29="M",AE29="N"),"","Bone Head")</f>
        <v>Bone Head</v>
      </c>
      <c r="AG36" s="235" t="str">
        <f>IF(OR(AE29="H",AE29="M"),"Mighty Blow (+2)","Mighty Blow (+1)")</f>
        <v>Mighty Blow (+1)</v>
      </c>
      <c r="AH36" s="235" t="str">
        <f>IF(OR(AE29="K",AE29="L"),"","Throw Team Mate")</f>
        <v>Throw Team Mate</v>
      </c>
      <c r="AI36" s="243">
        <v>130000</v>
      </c>
    </row>
    <row r="37" spans="1:46" s="13" customFormat="1" ht="22.5" customHeight="1" x14ac:dyDescent="0.2">
      <c r="A37" s="284" t="str">
        <f>IF($J$40="Español","PASE:",(IF($J$40="Français","PASSER:","PASS:")))</f>
        <v>PASS:</v>
      </c>
      <c r="B37" s="252"/>
      <c r="C37" s="280">
        <f>IF(B37&lt;&gt;"",(IF(B29="Mercenaries",0,(IF(OR(B29="Reliable Ringers",B29="Bona Fide Big Guy"),30000,20000)))),0)</f>
        <v>0</v>
      </c>
      <c r="D37" s="460"/>
      <c r="E37" s="461"/>
      <c r="F37" s="280" t="s">
        <v>1262</v>
      </c>
      <c r="G37" s="460"/>
      <c r="H37" s="461"/>
      <c r="I37" s="280" t="s">
        <v>1262</v>
      </c>
      <c r="J37" s="460"/>
      <c r="K37" s="461"/>
      <c r="L37" s="280" t="s">
        <v>1262</v>
      </c>
      <c r="M37" s="460"/>
      <c r="N37" s="461"/>
      <c r="O37" s="280" t="s">
        <v>1262</v>
      </c>
      <c r="P37" s="460"/>
      <c r="Q37" s="461"/>
      <c r="R37" s="280" t="s">
        <v>1262</v>
      </c>
      <c r="S37" s="280">
        <f t="shared" si="4"/>
        <v>0</v>
      </c>
      <c r="T37" s="455"/>
      <c r="V37" s="230"/>
      <c r="W37" s="230"/>
      <c r="X37" s="230"/>
      <c r="Y37" s="230"/>
      <c r="Z37" s="230"/>
      <c r="AA37" s="230"/>
      <c r="AB37" s="230"/>
      <c r="AC37" s="230"/>
      <c r="AD37" s="230"/>
      <c r="AE37" s="230"/>
      <c r="AF37" s="230"/>
      <c r="AG37" s="230"/>
      <c r="AH37" s="230"/>
      <c r="AI37" s="230"/>
    </row>
    <row r="38" spans="1:46" s="13" customFormat="1" ht="22.5" customHeight="1" x14ac:dyDescent="0.2">
      <c r="A38" s="278" t="str">
        <f>IF($J$40="Italiano","MUTAZIONE:",(IF($J$40="Español","MUTACIÓN:","MUTATION:")))</f>
        <v>MUTATION:</v>
      </c>
      <c r="B38" s="252"/>
      <c r="C38" s="280">
        <f>IF(B3="Reliable Ringers","ILEGAL",IF(B38&lt;&gt;"",(IF(B29="Mercenaries",0,(IF(OR(B29="Brutal Blockers",B29="Bona Fide Big Guy"),40000,IF(B29="Stunty Superstar",30000,IF(B29="Legendary Linemen",30000,(IF(B38="Big Hand",30000,(IF(B38="Extra Arms",20000,(IF(B38="Two Heads",30000,(IF(B38="Very Long Legs",30000,0)))))))))))))),0))</f>
        <v>0</v>
      </c>
      <c r="D38" s="460"/>
      <c r="E38" s="461"/>
      <c r="F38" s="280" t="str">
        <f>IF(B3="Reliable Ringers","ILEGAL",IF(OR($B$3="Stunty Superstar",$B$3="Brutal Blockers",$B$3="Bona Fide Big Guy",$B$3="Mercenaries"),"ILEGAL",(IF(D38&lt;&gt;"",(IF($B$3="Legendary Linemen",70000,(IF(D38="Big Hand",30000,(IF(D38="Extra Arms",20000,(IF(D38="Two Heads",30000,(IF(D38="Very Long Legs",30000,"ILEGAL")))))))))),0))))</f>
        <v>ILEGAL</v>
      </c>
      <c r="G38" s="460"/>
      <c r="H38" s="461"/>
      <c r="I38" s="280" t="str">
        <f>IF(B3="Reliable Ringers","ILEGAL",IF(OR($B$3="Stunty Superstar",$B$3="Brutal Blockers",$B$3="Bona Fide Big Guy",$B$3="Mercenaries"),"ILEGAL",(IF(G38&lt;&gt;"",(IF($B$3="Legendary Linemen",110000,(IF(G38="Big Hand",30000,(IF(G38="Extra Arms",20000,(IF(G38="Two Heads",30000,(IF(G38="Very Long Legs",30000,0)))))))))),0))))</f>
        <v>ILEGAL</v>
      </c>
      <c r="J38" s="460"/>
      <c r="K38" s="461"/>
      <c r="L38" s="280" t="str">
        <f>IF(B3="Reliable Ringers","ILEGAL",IF(OR($B$3="Stunty Superstar",$B$3="Brutal Blockers",$B$3="Bona Fide Big Guy",$B$3="Mercenaries"),"ILEGAL",(IF(J38&lt;&gt;"",(IF($B$3="Legendary Linemen",150000,(IF(J38="Big Hand",30000,(IF(J38="Extra Arms",20000,(IF(J38="Two Heads",30000,(IF(J38="Very Long Legs",30000,0)))))))))),0))))</f>
        <v>ILEGAL</v>
      </c>
      <c r="M38" s="460"/>
      <c r="N38" s="461"/>
      <c r="O38" s="280" t="str">
        <f>IF(B29&lt;&gt;"Legendary Linemen","ILEGAL",(IF(M38&lt;&gt;"",190000,0)))</f>
        <v>ILEGAL</v>
      </c>
      <c r="P38" s="460"/>
      <c r="Q38" s="461"/>
      <c r="R38" s="280" t="str">
        <f>IF(B29&lt;&gt;"Legendary Linemen","ILEGAL",(IF(P38&lt;&gt;"",230000,0)))</f>
        <v>ILEGAL</v>
      </c>
      <c r="S38" s="280">
        <f t="shared" si="4"/>
        <v>0</v>
      </c>
      <c r="T38" s="455"/>
      <c r="V38" s="244" t="s">
        <v>1264</v>
      </c>
      <c r="W38" s="245">
        <f>SUM(Y38:AI38)</f>
        <v>0</v>
      </c>
      <c r="X38" s="245"/>
      <c r="Y38" s="245">
        <f>IF(K32="ILEGAL",0,K32)</f>
        <v>0</v>
      </c>
      <c r="Z38" s="245">
        <f>IF(M32="ILEGAL",0,M32)</f>
        <v>0</v>
      </c>
      <c r="AA38" s="245">
        <f>IF(O32="ILEGAL",0,O32)</f>
        <v>0</v>
      </c>
      <c r="AB38" s="245">
        <f>IF(Q32="ILEGAL",0,Q32)</f>
        <v>0</v>
      </c>
      <c r="AC38" s="245">
        <f>IF(S32="ILEGAL",0,S32)</f>
        <v>0</v>
      </c>
      <c r="AD38" s="245">
        <f>I32</f>
        <v>0</v>
      </c>
      <c r="AE38" s="245">
        <f>S34</f>
        <v>0</v>
      </c>
      <c r="AF38" s="245">
        <f>S35</f>
        <v>0</v>
      </c>
      <c r="AG38" s="245">
        <f>S36</f>
        <v>0</v>
      </c>
      <c r="AH38" s="245">
        <f>S37</f>
        <v>0</v>
      </c>
      <c r="AI38" s="246">
        <f>S38</f>
        <v>0</v>
      </c>
    </row>
    <row r="39" spans="1:46" ht="15" customHeight="1" x14ac:dyDescent="0.2">
      <c r="A39" s="455"/>
      <c r="B39" s="455"/>
      <c r="C39" s="455"/>
      <c r="D39" s="455"/>
      <c r="E39" s="455"/>
      <c r="F39" s="455"/>
      <c r="G39" s="455"/>
      <c r="H39" s="455"/>
      <c r="I39" s="455"/>
      <c r="J39" s="455"/>
      <c r="K39" s="455"/>
      <c r="L39" s="455"/>
      <c r="M39" s="455"/>
      <c r="N39" s="455"/>
      <c r="O39" s="455"/>
      <c r="P39" s="455"/>
      <c r="Q39" s="455"/>
      <c r="R39" s="455"/>
      <c r="S39" s="455"/>
      <c r="T39" s="455"/>
      <c r="W39"/>
      <c r="X39"/>
      <c r="Y39"/>
    </row>
    <row r="40" spans="1:46" ht="12.75" hidden="1" customHeight="1" x14ac:dyDescent="0.2">
      <c r="W40"/>
      <c r="X40"/>
      <c r="Y40"/>
    </row>
    <row r="41" spans="1:46" ht="12.75" hidden="1" customHeight="1" x14ac:dyDescent="0.2">
      <c r="C41" s="471" t="s">
        <v>1274</v>
      </c>
      <c r="D41" s="472"/>
      <c r="F41" s="471" t="s">
        <v>1275</v>
      </c>
      <c r="G41" s="472"/>
      <c r="I41" s="471" t="s">
        <v>1276</v>
      </c>
      <c r="J41" s="472"/>
      <c r="L41" s="471" t="s">
        <v>1277</v>
      </c>
      <c r="M41" s="472"/>
      <c r="N41" s="248"/>
      <c r="O41" s="471" t="s">
        <v>1278</v>
      </c>
      <c r="P41" s="472"/>
      <c r="R41" s="240" t="s">
        <v>1279</v>
      </c>
      <c r="S41" s="240" t="s">
        <v>197</v>
      </c>
      <c r="T41" s="240" t="s">
        <v>1280</v>
      </c>
      <c r="U41" s="240" t="s">
        <v>1281</v>
      </c>
      <c r="V41" s="240" t="str">
        <f>""</f>
        <v/>
      </c>
      <c r="W41" s="240" t="str">
        <f>""</f>
        <v/>
      </c>
      <c r="X41" s="240" t="str">
        <f>""</f>
        <v/>
      </c>
      <c r="Y41"/>
    </row>
    <row r="42" spans="1:46" ht="12.75" hidden="1" customHeight="1" x14ac:dyDescent="0.2">
      <c r="A42" s="215"/>
      <c r="B42" s="249"/>
      <c r="C42" s="232"/>
      <c r="D42" s="233">
        <v>0</v>
      </c>
      <c r="E42" s="238"/>
      <c r="F42" s="232"/>
      <c r="G42" s="233">
        <v>0</v>
      </c>
      <c r="H42" s="238"/>
      <c r="I42" s="232"/>
      <c r="J42" s="233">
        <v>0</v>
      </c>
      <c r="K42" s="238"/>
      <c r="L42" s="232"/>
      <c r="M42" s="233">
        <v>0</v>
      </c>
      <c r="N42" s="238"/>
      <c r="O42" s="232"/>
      <c r="P42" s="233">
        <v>0</v>
      </c>
      <c r="R42" s="240" t="s">
        <v>1282</v>
      </c>
      <c r="S42" s="240" t="s">
        <v>1283</v>
      </c>
      <c r="T42" s="240" t="s">
        <v>1284</v>
      </c>
      <c r="U42" s="240" t="s">
        <v>1281</v>
      </c>
      <c r="V42" s="240" t="str">
        <f>""</f>
        <v/>
      </c>
      <c r="W42" s="240" t="str">
        <f>""</f>
        <v/>
      </c>
      <c r="X42" s="240" t="str">
        <f>""</f>
        <v/>
      </c>
      <c r="Y42"/>
    </row>
    <row r="43" spans="1:46" ht="12.75" hidden="1" customHeight="1" x14ac:dyDescent="0.2">
      <c r="A43" s="215"/>
      <c r="B43" s="233"/>
      <c r="C43" s="232" t="str">
        <f>IF(Roster!BV2&lt;&gt;"SylvanianSpotlight",(IF(Roster!BV2&lt;&gt;"ElvenKingdomsLeague",(IF(Roster!BV2&lt;&gt;"Favouredof","Dirty Player (+1), Sneaky Git, Loner (5+)","")),"")),"")</f>
        <v>Dirty Player (+1), Sneaky Git, Loner (5+)</v>
      </c>
      <c r="D43" s="233">
        <v>50000</v>
      </c>
      <c r="E43" s="238"/>
      <c r="F43" s="232" t="s">
        <v>1279</v>
      </c>
      <c r="G43" s="233">
        <v>70000</v>
      </c>
      <c r="H43" s="238"/>
      <c r="I43" s="232" t="str">
        <f>IF(Roster!BV2&lt;&gt;"Favouredof",(IF(Roster!BV2&lt;&gt;"ElvenKingdomsLeague",(IF(Roster!BV2&lt;&gt;"SylvanianSpotlight",(IF(Roster!BV2&lt;&gt;"UnderworldChallenge","Dirty Player (+1), Sneaky Git, Loner (5+)","")),"")),"")),"")</f>
        <v>Dirty Player (+1), Sneaky Git, Loner (5+)</v>
      </c>
      <c r="J43" s="233">
        <v>70000</v>
      </c>
      <c r="K43" s="238"/>
      <c r="L43" s="232" t="str">
        <f>IF(Roster!BV2&lt;&gt;"LustrianSuperleague",(IF(Roster!BV2&lt;&gt;"BadlandsBrawl",(IF(Roster!BV2&lt;&gt;"OldWorldClassicWorldsEdgeSuperleague",(IF(Roster!BV2&lt;&gt;"OldWorldClassic",(IF(Roster!BV2&lt;&gt;"LustrianSuperleagueOldWorldClassic",(IF(Roster!BV2&lt;&gt;"BadlandsBrawlOldWorldClassic","Hypnotic Gaze, Loner (5+)","")),"")),"")),"")),"")),"")</f>
        <v/>
      </c>
      <c r="M43" s="233">
        <v>70000</v>
      </c>
      <c r="N43" s="238"/>
      <c r="O43" s="232" t="s">
        <v>1286</v>
      </c>
      <c r="P43" s="233">
        <v>-10000</v>
      </c>
      <c r="R43" s="240" t="s">
        <v>1287</v>
      </c>
      <c r="S43" s="240" t="s">
        <v>1288</v>
      </c>
      <c r="T43" s="240" t="s">
        <v>455</v>
      </c>
      <c r="U43" s="240" t="s">
        <v>1289</v>
      </c>
      <c r="V43" s="240" t="str">
        <f>""</f>
        <v/>
      </c>
      <c r="W43" s="240" t="str">
        <f>""</f>
        <v/>
      </c>
      <c r="X43" s="240" t="str">
        <f>""</f>
        <v/>
      </c>
      <c r="Y43"/>
    </row>
    <row r="44" spans="1:46" ht="12.75" hidden="1" customHeight="1" x14ac:dyDescent="0.2">
      <c r="A44" s="215"/>
      <c r="B44" s="233"/>
      <c r="C44" s="232" t="str">
        <f>IF(Roster!BV2&lt;&gt;"LustrianSuperleague",(IF(Roster!BV2&lt;&gt;"Favouredof",(IF(Roster!BV2&lt;&gt;"ElvenKingdomsLeague",(IF(Roster!BV2&lt;&gt;"OldWorldClassicWorldsEdgeSuperleague",(IF(Roster!BV2&lt;&gt;"OldWorldClassic",(IF(Roster!BV2&lt;&gt;"SylvanianSpotlight",(IF(Roster!BV2&lt;&gt;"LustrianSuperleagueOldWorldClassic","Dirty Player (+2), Sneaky Git, Loner (5+)","")),"")),"")),"")),"")),"")),"")</f>
        <v>Dirty Player (+2), Sneaky Git, Loner (5+)</v>
      </c>
      <c r="D44" s="233">
        <v>80000</v>
      </c>
      <c r="E44" s="250"/>
      <c r="F44" s="232" t="str">
        <f>IF(Roster!BV2&lt;&gt;"LustrianSuperleague",(IF(Roster!BV2&lt;&gt;"ElvenKingdomsLeague","Dirty Player (+2), Sneaky Git, Loner (5+)","")),"")</f>
        <v>Dirty Player (+2), Sneaky Git, Loner (5+)</v>
      </c>
      <c r="G44" s="233">
        <v>90000</v>
      </c>
      <c r="H44" s="250"/>
      <c r="I44" s="232" t="str">
        <f>IF(Roster!BV2&lt;&gt;"LustrianSuperleague",(IF(Roster!BV2&lt;&gt;"ElvenKingdomsLeague",(IF(Roster!BV2&lt;&gt;"OldWorldClassicWorldsEdgeSuperleague",(IF(Roster!BV2&lt;&gt;"HalflingThimbleCupOldWorldClassic",(IF(Roster!BV2&lt;&gt;"OldWorldClassic",(IF(Roster!BV2&lt;&gt;"SylvanianSpotlight",(IF(Roster!BV2&lt;&gt;"LustrianSuperleagueOldWorldClassic",(IF(Roster!BV2&lt;&gt;"UnderworldChallenge","Dirty Player (+2), Sneaky Git, Loner (5+)","")),"")),"")),"")),"")),"")),"")),"")</f>
        <v>Dirty Player (+2), Sneaky Git, Loner (5+)</v>
      </c>
      <c r="J44" s="233">
        <v>100000</v>
      </c>
      <c r="K44" s="250"/>
      <c r="L44" s="232" t="str">
        <f>IF(Roster!BV2&lt;&gt;"LustrianSuperleague",(IF(Roster!BV2&lt;&gt;"BadlandsBrawl",(IF(Roster!BV2&lt;&gt;"OldWorldClassicWorldsEdgeSuperleague",(IF(Roster!BV2&lt;&gt;"OldWorldClassic",(IF(Roster!BV2&lt;&gt;"LustrianSuperleagueOldWorldClassic",(IF(Roster!BV2&lt;&gt;"BadlandsBrawlOldWorldClassic",(IF(Roster!BV2&lt;&gt;"Favouredof",(IF(Roster!BV2&lt;&gt;"FavouredofWorldsEdgeSuperleagueBadlandsBrawl","Stab, Secret Weapon","")),"")),"")),"")),"")),"")),"")),"")</f>
        <v/>
      </c>
      <c r="M44" s="233">
        <v>20000</v>
      </c>
      <c r="N44" s="250"/>
      <c r="O44" s="232" t="str">
        <f>IF(Roster!BV2&lt;&gt;"LustrianSuperleague",(IF(Roster!BV2&lt;&gt;"ElvenKingdomsLeague",(IF(Roster!BV2&lt;&gt;"SylvanianSpotlight","Frenzy, Unchannelled Fury, Horns, -Throw Team Mate, -Bone Head","")),"")),"")</f>
        <v>Frenzy, Unchannelled Fury, Horns, -Throw Team Mate, -Bone Head</v>
      </c>
      <c r="P44" s="233">
        <v>20000</v>
      </c>
      <c r="R44" s="240" t="s">
        <v>1290</v>
      </c>
      <c r="S44" s="240" t="s">
        <v>1292</v>
      </c>
      <c r="T44" s="240" t="s">
        <v>1293</v>
      </c>
      <c r="U44" s="240" t="s">
        <v>1289</v>
      </c>
      <c r="V44" s="240" t="str">
        <f>""</f>
        <v/>
      </c>
      <c r="W44" s="240" t="str">
        <f>""</f>
        <v/>
      </c>
      <c r="X44" s="240" t="str">
        <f>""</f>
        <v/>
      </c>
      <c r="Y44"/>
    </row>
    <row r="45" spans="1:46" ht="12.75" hidden="1" customHeight="1" x14ac:dyDescent="0.2">
      <c r="A45" s="215"/>
      <c r="B45" s="233"/>
      <c r="C45" s="232" t="str">
        <f>IF(Roster!BV2&lt;&gt;"LustrianSuperleague",(IF(Roster!BV2&lt;&gt;"ElvenKingdomsLeague",(IF(Roster!BV2&lt;&gt;"Favouredof","Bombardier, Secret Weapon","")),"")),"")</f>
        <v>Bombardier, Secret Weapon</v>
      </c>
      <c r="D45" s="233">
        <v>40000</v>
      </c>
      <c r="E45" s="238"/>
      <c r="F45" s="232" t="str">
        <f>IF(Roster!BV2&lt;&gt;"LustrianSuperleague",(IF(Roster!BV2&lt;&gt;"ElvenKingdomsLeague","Bombardier, Secret Weapon","")),"")</f>
        <v>Bombardier, Secret Weapon</v>
      </c>
      <c r="G45" s="233">
        <v>40000</v>
      </c>
      <c r="H45" s="238"/>
      <c r="I45" s="232" t="str">
        <f>IF(Roster!BV2&lt;&gt;"ElvenKingdomsLeague",(IF(Roster!BV2&lt;&gt;"UnderworldChallenge","Mighty Blow (+2), Loner (5+)","")),"")</f>
        <v>Mighty Blow (+2), Loner (5+)</v>
      </c>
      <c r="J45" s="233">
        <v>70000</v>
      </c>
      <c r="K45" s="238"/>
      <c r="L45" s="232" t="str">
        <f>""</f>
        <v/>
      </c>
      <c r="M45" s="233">
        <v>0</v>
      </c>
      <c r="N45" s="238"/>
      <c r="O45" s="251" t="str">
        <f>IF(Roster!BV2&lt;&gt;"OldWorldClassicWorldsEdgeSuperleague",(IF(Roster!BV2&lt;&gt;"ElvenKingdomsLeague",(IF(Roster!BV2&lt;&gt;"HalflingThimbleCupOldWorldClassic",(IF(Roster!BV2&lt;&gt;"OldWorldClassic","Frenzy, Animal Savagery, Claw, Prehensile Tail, -Throw Team Mate, -Bone Head","")),"")),"")),"")</f>
        <v>Frenzy, Animal Savagery, Claw, Prehensile Tail, -Throw Team Mate, -Bone Head</v>
      </c>
      <c r="P45" s="233">
        <v>20000</v>
      </c>
      <c r="R45" s="240" t="s">
        <v>1296</v>
      </c>
      <c r="S45" s="240" t="s">
        <v>1297</v>
      </c>
      <c r="T45" s="240" t="s">
        <v>1298</v>
      </c>
      <c r="U45" s="240" t="s">
        <v>1299</v>
      </c>
      <c r="V45" s="240" t="s">
        <v>1289</v>
      </c>
      <c r="W45" s="240" t="str">
        <f>""</f>
        <v/>
      </c>
      <c r="X45" s="240" t="str">
        <f>""</f>
        <v/>
      </c>
      <c r="Y45"/>
    </row>
    <row r="46" spans="1:46" ht="12.75" hidden="1" customHeight="1" x14ac:dyDescent="0.2">
      <c r="A46" s="215"/>
      <c r="B46" s="233"/>
      <c r="C46" s="232" t="str">
        <f>IF(Roster!BV2&lt;&gt;"ElvenKingdomsLeague",(IF(Roster!BV2&lt;&gt;"Favouredof","Stab, Secret Weapon","")),"")</f>
        <v>Stab, Secret Weapon</v>
      </c>
      <c r="D46" s="233">
        <v>20000</v>
      </c>
      <c r="E46" s="238"/>
      <c r="F46" s="232" t="str">
        <f>IF(Roster!BV2&lt;&gt;"Favouredof","Stab, Secret Weapon","")</f>
        <v>Stab, Secret Weapon</v>
      </c>
      <c r="G46" s="233">
        <v>20000</v>
      </c>
      <c r="H46" s="238"/>
      <c r="I46" s="232" t="str">
        <f>IF(Roster!BV2&lt;&gt;"ElvenKingdomsLeague",(IF(Roster!BV2&lt;&gt;"Favouredof","Stab, Secret Weapon","")),"")</f>
        <v>Stab, Secret Weapon</v>
      </c>
      <c r="J46" s="233">
        <v>20000</v>
      </c>
      <c r="K46" s="238"/>
      <c r="L46" s="232" t="str">
        <f>""</f>
        <v/>
      </c>
      <c r="M46" s="233">
        <v>0</v>
      </c>
      <c r="N46" s="238"/>
      <c r="O46" s="232" t="s">
        <v>1300</v>
      </c>
      <c r="P46" s="233">
        <v>50000</v>
      </c>
      <c r="R46" s="240" t="s">
        <v>1301</v>
      </c>
      <c r="S46" s="240" t="s">
        <v>1302</v>
      </c>
      <c r="T46" s="240" t="s">
        <v>1301</v>
      </c>
      <c r="U46" s="240" t="str">
        <f>""</f>
        <v/>
      </c>
      <c r="V46" s="240" t="str">
        <f>""</f>
        <v/>
      </c>
      <c r="W46" s="240" t="str">
        <f>""</f>
        <v/>
      </c>
      <c r="X46" s="240" t="str">
        <f>""</f>
        <v/>
      </c>
      <c r="Y46"/>
    </row>
    <row r="47" spans="1:46" ht="12.75" hidden="1" customHeight="1" x14ac:dyDescent="0.2">
      <c r="A47" s="215"/>
      <c r="B47" s="233"/>
      <c r="C47" s="232" t="str">
        <f>IF(Roster!BV2&lt;&gt;"ElvenKingdomsLeague",(IF(Roster!BV2&lt;&gt;"Favouredof","Chainsaw, No Hands, Secret Weapon","")),"")</f>
        <v>Chainsaw, No Hands, Secret Weapon</v>
      </c>
      <c r="D47" s="233">
        <v>40000</v>
      </c>
      <c r="E47" s="13"/>
      <c r="F47" s="232" t="s">
        <v>1296</v>
      </c>
      <c r="G47" s="233">
        <v>70000</v>
      </c>
      <c r="H47" s="13"/>
      <c r="I47" s="232" t="str">
        <f>IF(Roster!BV2&lt;&gt;"LustrianSuperleague",(IF(Roster!BV2&lt;&gt;"ElvenKingdomsLeague",(IF(Roster!BV2&lt;&gt;"HalflingThimbleCupOldWorldClassic",(IF(Roster!BV2&lt;&gt;"OldWorldClassic",(IF(Roster!BV2&lt;&gt;"LustrianSuperleagueOldWorldClassic","Ball &amp; Chain, Secret Weapon, No Hands, +2ST, -1MA","")),"")),"")),"")),"")</f>
        <v>Ball &amp; Chain, Secret Weapon, No Hands, +2ST, -1MA</v>
      </c>
      <c r="J47" s="233">
        <v>90000</v>
      </c>
      <c r="K47" s="13"/>
      <c r="L47" s="232" t="str">
        <f>""</f>
        <v/>
      </c>
      <c r="M47" s="233">
        <v>0</v>
      </c>
      <c r="N47" s="13"/>
      <c r="O47" s="232" t="str">
        <f>IF(Roster!BV2&lt;&gt;"SylvanianSpotlight",(IF(Roster!BV2&lt;&gt;"ElvenKingdomsLeague","Ball &amp; Chain, No hands, Really Stupid, Secret Weapon, +2ST, -Bone Head, -1MA","")),"")</f>
        <v>Ball &amp; Chain, No hands, Really Stupid, Secret Weapon, +2ST, -Bone Head, -1MA</v>
      </c>
      <c r="P47" s="233">
        <v>80000</v>
      </c>
      <c r="R47" s="240" t="s">
        <v>1305</v>
      </c>
      <c r="S47" s="240" t="s">
        <v>196</v>
      </c>
      <c r="T47" s="240" t="s">
        <v>1306</v>
      </c>
      <c r="U47" s="240" t="s">
        <v>1289</v>
      </c>
      <c r="V47" s="240" t="s">
        <v>1299</v>
      </c>
      <c r="W47" s="240" t="str">
        <f>""</f>
        <v/>
      </c>
      <c r="X47" s="240" t="str">
        <f>"+3ST, -2MA"</f>
        <v>+3ST, -2MA</v>
      </c>
      <c r="Y47"/>
    </row>
    <row r="48" spans="1:46" ht="12.75" hidden="1" customHeight="1" x14ac:dyDescent="0.2">
      <c r="A48" s="215"/>
      <c r="B48" s="233"/>
      <c r="C48" s="232" t="str">
        <f>IF(Roster!BV2&lt;&gt;"OldWorldClassic",(IF(Roster!BV2&lt;&gt;"ElvenKingdomsLeague",(IF(Roster!BV2&lt;&gt;"Favouredof",(IF(Roster!BV2&lt;&gt;"OldWorldClassicWorldsEdgeSuperleague","Pogo Stick","")),"")),"")),"")</f>
        <v>Pogo Stick</v>
      </c>
      <c r="D48" s="233">
        <v>50000</v>
      </c>
      <c r="E48" s="50"/>
      <c r="F48" s="232" t="str">
        <f>""</f>
        <v/>
      </c>
      <c r="G48" s="233">
        <v>0</v>
      </c>
      <c r="H48" s="50"/>
      <c r="I48" s="232" t="str">
        <f>IF(Roster!BV2&lt;&gt;"LustrianSuperleague",(IF(Roster!BV2&lt;&gt;"BadlandsBrawl",(IF(Roster!BV2&lt;&gt;"ElvenKingdomsLeague",(IF(Roster!BV2&lt;&gt;"OldWorldClassicWorldsEdgeSuperleague",(IF(Roster!BV2&lt;&gt;"BadlandsBrawlUnderworldChallenge",(IF(Roster!BV2&lt;&gt;"HalflingThimbleCupOldWorldClassic",(IF(Roster!BV2&lt;&gt;"OldWorldClassic",(IF(Roster!BV2&lt;&gt;"SylvanianSpotlight",(IF(Roster!BV2&lt;&gt;"LustrianSuperleagueOldWorldClassic",(IF(Roster!BV2&lt;&gt;"BadlandsBrawlOldWorldClassic",(IF(Roster!BV2&lt;&gt;"UnderworldChallenge","Chainsaw, No Hands, Secret Weapon","")),"")),"")),"")),"")),"")),"")),"")),"")),"")),"")</f>
        <v/>
      </c>
      <c r="J48" s="233">
        <v>70000</v>
      </c>
      <c r="K48" s="50"/>
      <c r="L48" s="232" t="str">
        <f>""</f>
        <v/>
      </c>
      <c r="M48" s="233">
        <v>0</v>
      </c>
      <c r="N48" s="50"/>
      <c r="O48" s="232" t="str">
        <f>""</f>
        <v/>
      </c>
      <c r="P48" s="233">
        <v>0</v>
      </c>
      <c r="R48" s="240" t="s">
        <v>1303</v>
      </c>
      <c r="S48" s="240" t="s">
        <v>1307</v>
      </c>
      <c r="T48" s="240" t="s">
        <v>1306</v>
      </c>
      <c r="U48" s="240" t="s">
        <v>1289</v>
      </c>
      <c r="V48" s="240" t="s">
        <v>1299</v>
      </c>
      <c r="W48" s="240" t="str">
        <f>""</f>
        <v/>
      </c>
      <c r="X48" s="240" t="str">
        <f>"+2ST, -1MA"</f>
        <v>+2ST, -1MA</v>
      </c>
      <c r="Y48"/>
    </row>
    <row r="49" spans="1:25" ht="12.75" hidden="1" customHeight="1" x14ac:dyDescent="0.2">
      <c r="A49" s="215"/>
      <c r="B49" s="233"/>
      <c r="C49" s="234" t="str">
        <f>IF(Roster!BV2&lt;&gt;"ElvenKingdomsLeague",(IF(Roster!BV2&lt;&gt;"LustrianSuperleague",(IF(Roster!BV2&lt;&gt;"OldWorldClassicWorldsEdgeSuperleague",(IF(Roster!BV2&lt;&gt;"OldWorldClassic",(IF(Roster!BV2&lt;&gt;"SylvanianSpotlight",(IF(Roster!BV2&lt;&gt;"LustrianSuperleagueOldWorldClassic","Ball &amp; Chain, Secret Weapon, No Hands, +3ST, -2MA","")),"")),"")),"")),"")),"")</f>
        <v>Ball &amp; Chain, Secret Weapon, No Hands, +3ST, -2MA</v>
      </c>
      <c r="D49" s="243">
        <v>60000</v>
      </c>
      <c r="E49" s="50"/>
      <c r="F49" s="234" t="str">
        <f>""</f>
        <v/>
      </c>
      <c r="G49" s="243">
        <v>0</v>
      </c>
      <c r="H49" s="50"/>
      <c r="I49" s="234" t="str">
        <f>""</f>
        <v/>
      </c>
      <c r="J49" s="243">
        <v>0</v>
      </c>
      <c r="K49" s="50"/>
      <c r="L49" s="234" t="str">
        <f>""</f>
        <v/>
      </c>
      <c r="M49" s="243">
        <v>0</v>
      </c>
      <c r="N49" s="50"/>
      <c r="O49" s="234" t="str">
        <f>""</f>
        <v/>
      </c>
      <c r="P49" s="243">
        <v>0</v>
      </c>
      <c r="R49" s="240" t="s">
        <v>1294</v>
      </c>
      <c r="S49" s="240" t="s">
        <v>1308</v>
      </c>
      <c r="T49" s="240" t="str">
        <f>""</f>
        <v/>
      </c>
      <c r="U49" s="240" t="str">
        <f>""</f>
        <v/>
      </c>
      <c r="V49" s="240" t="str">
        <f>""</f>
        <v/>
      </c>
      <c r="W49" s="240" t="str">
        <f>""</f>
        <v/>
      </c>
      <c r="X49" s="240" t="str">
        <f>""</f>
        <v/>
      </c>
      <c r="Y49"/>
    </row>
    <row r="50" spans="1:25" ht="12.75" hidden="1" customHeight="1" x14ac:dyDescent="0.2">
      <c r="A50" s="215"/>
      <c r="D50" s="13"/>
      <c r="E50" s="13"/>
      <c r="F50" s="13"/>
      <c r="G50" s="13"/>
      <c r="H50" s="13"/>
      <c r="R50" s="240" t="s">
        <v>1285</v>
      </c>
      <c r="S50" s="240" t="s">
        <v>1309</v>
      </c>
      <c r="T50" s="240" t="s">
        <v>1310</v>
      </c>
      <c r="U50" s="240" t="str">
        <f>""</f>
        <v/>
      </c>
      <c r="V50" s="240" t="str">
        <f>""</f>
        <v/>
      </c>
      <c r="W50" s="240" t="str">
        <f>""</f>
        <v/>
      </c>
      <c r="X50" s="240" t="str">
        <f>""</f>
        <v/>
      </c>
      <c r="Y50"/>
    </row>
    <row r="51" spans="1:25" ht="12.75" hidden="1" customHeight="1" x14ac:dyDescent="0.2">
      <c r="A51" s="215"/>
      <c r="Q51" s="13"/>
      <c r="R51" s="240" t="s">
        <v>1286</v>
      </c>
      <c r="S51" s="240" t="s">
        <v>1313</v>
      </c>
      <c r="T51" s="240" t="s">
        <v>1314</v>
      </c>
      <c r="U51" s="240" t="s">
        <v>1315</v>
      </c>
      <c r="V51" s="240" t="s">
        <v>1316</v>
      </c>
      <c r="W51" s="240" t="s">
        <v>579</v>
      </c>
      <c r="X51" s="240" t="str">
        <f>" -Bone Head, +1AG"</f>
        <v xml:space="preserve"> -Bone Head, +1AG</v>
      </c>
      <c r="Y51"/>
    </row>
    <row r="52" spans="1:25" ht="12.75" hidden="1" customHeight="1" x14ac:dyDescent="0.2">
      <c r="A52" s="215"/>
      <c r="Q52" s="13"/>
      <c r="R52" s="240" t="s">
        <v>1291</v>
      </c>
      <c r="S52" s="240" t="s">
        <v>1317</v>
      </c>
      <c r="T52" s="240" t="s">
        <v>388</v>
      </c>
      <c r="U52" s="240" t="s">
        <v>1318</v>
      </c>
      <c r="V52" s="240" t="s">
        <v>315</v>
      </c>
      <c r="W52" s="240" t="str">
        <f>""</f>
        <v/>
      </c>
      <c r="X52" s="240" t="str">
        <f>"-Throw Team Mate, -Bone Head"</f>
        <v>-Throw Team Mate, -Bone Head</v>
      </c>
      <c r="Y52"/>
    </row>
    <row r="53" spans="1:25" ht="12.75" hidden="1" customHeight="1" x14ac:dyDescent="0.2">
      <c r="A53" s="215"/>
      <c r="Q53" s="13"/>
      <c r="R53" s="240" t="s">
        <v>1295</v>
      </c>
      <c r="S53" s="240" t="s">
        <v>1319</v>
      </c>
      <c r="T53" s="240" t="s">
        <v>388</v>
      </c>
      <c r="U53" s="240" t="s">
        <v>1320</v>
      </c>
      <c r="V53" s="240" t="s">
        <v>1321</v>
      </c>
      <c r="W53" s="240" t="s">
        <v>1322</v>
      </c>
      <c r="X53" s="240" t="str">
        <f>"-Throw Team Mate, -Bone Head"</f>
        <v>-Throw Team Mate, -Bone Head</v>
      </c>
      <c r="Y53"/>
    </row>
    <row r="54" spans="1:25" ht="12.75" hidden="1" customHeight="1" x14ac:dyDescent="0.2">
      <c r="A54" s="215"/>
      <c r="Q54" s="13"/>
      <c r="R54" s="240" t="s">
        <v>1300</v>
      </c>
      <c r="S54" s="240" t="s">
        <v>200</v>
      </c>
      <c r="T54" s="240" t="str">
        <f>""</f>
        <v/>
      </c>
      <c r="U54" s="240" t="str">
        <f>""</f>
        <v/>
      </c>
      <c r="V54" s="240" t="str">
        <f>""</f>
        <v/>
      </c>
      <c r="W54" s="240" t="str">
        <f>""</f>
        <v/>
      </c>
      <c r="X54" s="240" t="str">
        <f>"-Bone Head"</f>
        <v>-Bone Head</v>
      </c>
      <c r="Y54"/>
    </row>
    <row r="55" spans="1:25" ht="12.75" hidden="1" customHeight="1" x14ac:dyDescent="0.2">
      <c r="A55" s="215"/>
      <c r="R55" s="240" t="s">
        <v>1304</v>
      </c>
      <c r="S55" s="240" t="s">
        <v>1323</v>
      </c>
      <c r="T55" s="240" t="s">
        <v>1306</v>
      </c>
      <c r="U55" s="240" t="s">
        <v>1324</v>
      </c>
      <c r="V55" s="240" t="s">
        <v>1316</v>
      </c>
      <c r="W55" s="240" t="s">
        <v>1289</v>
      </c>
      <c r="X55" s="240" t="str">
        <f>"+2ST, -Bone Head, -1MA"</f>
        <v>+2ST, -Bone Head, -1MA</v>
      </c>
      <c r="Y55"/>
    </row>
    <row r="56" spans="1:25" ht="12.75" hidden="1" customHeight="1" x14ac:dyDescent="0.2">
      <c r="A56" s="215"/>
      <c r="S56" s="14" t="str">
        <f>""</f>
        <v/>
      </c>
      <c r="T56" s="248"/>
      <c r="U56" s="240"/>
      <c r="W56"/>
      <c r="X56"/>
      <c r="Y56"/>
    </row>
    <row r="57" spans="1:25" ht="12.75" hidden="1" customHeight="1" x14ac:dyDescent="0.2">
      <c r="T57" s="248"/>
      <c r="U57" s="248"/>
      <c r="V57" s="14" t="str">
        <f>""</f>
        <v/>
      </c>
    </row>
    <row r="58" spans="1:25" ht="12.75" hidden="1" customHeight="1" x14ac:dyDescent="0.2">
      <c r="T58" s="248"/>
      <c r="U58" s="240"/>
    </row>
    <row r="59" spans="1:25" ht="12.75" hidden="1" customHeight="1" x14ac:dyDescent="0.2">
      <c r="A59" s="215"/>
    </row>
    <row r="61" spans="1:25" ht="12.75" hidden="1" customHeight="1" x14ac:dyDescent="0.2">
      <c r="A61" s="215"/>
    </row>
    <row r="62" spans="1:25" ht="12.75" hidden="1" customHeight="1" x14ac:dyDescent="0.2">
      <c r="A62" s="215"/>
    </row>
    <row r="63" spans="1:25" ht="12.75" hidden="1" customHeight="1" x14ac:dyDescent="0.2">
      <c r="A63" s="215"/>
    </row>
    <row r="64" spans="1:25" ht="12.75" hidden="1" customHeight="1" x14ac:dyDescent="0.2">
      <c r="A64" s="215"/>
    </row>
    <row r="66" spans="1:1" ht="12.75" hidden="1" customHeight="1" x14ac:dyDescent="0.2">
      <c r="A66" s="215"/>
    </row>
    <row r="67" spans="1:1" ht="12.75" hidden="1" customHeight="1" x14ac:dyDescent="0.2">
      <c r="A67" s="215"/>
    </row>
    <row r="68" spans="1:1" ht="12.75" hidden="1" customHeight="1" x14ac:dyDescent="0.2">
      <c r="A68" s="215"/>
    </row>
    <row r="69" spans="1:1" ht="12.75" hidden="1" customHeight="1" x14ac:dyDescent="0.2">
      <c r="A69" s="215"/>
    </row>
    <row r="70" spans="1:1" ht="12.75" hidden="1" customHeight="1" x14ac:dyDescent="0.2">
      <c r="A70" s="215"/>
    </row>
  </sheetData>
  <sheetProtection algorithmName="SHA-512" hashValue="A2qOFiApCJq+B93yfWhIloAEr3FUR895lXbfSMr1YD8M1y/XyBMXp2I92EG0ipbw97eBxVLIJQVHj/HVjhqqCQ==" saltValue="l+s9pEn79UaxJxr45Rb09Q==" spinCount="100000" sheet="1" objects="1" scenarios="1"/>
  <mergeCells count="121">
    <mergeCell ref="D12:E12"/>
    <mergeCell ref="D7:E7"/>
    <mergeCell ref="D8:E8"/>
    <mergeCell ref="D9:E9"/>
    <mergeCell ref="O41:P41"/>
    <mergeCell ref="AK2:AO2"/>
    <mergeCell ref="AP2:AT2"/>
    <mergeCell ref="F41:G41"/>
    <mergeCell ref="I41:J41"/>
    <mergeCell ref="L41:M41"/>
    <mergeCell ref="D10:E10"/>
    <mergeCell ref="D11:E11"/>
    <mergeCell ref="M11:N11"/>
    <mergeCell ref="G12:H12"/>
    <mergeCell ref="J7:K7"/>
    <mergeCell ref="J8:K8"/>
    <mergeCell ref="G7:H7"/>
    <mergeCell ref="G8:H8"/>
    <mergeCell ref="G9:H9"/>
    <mergeCell ref="G10:H10"/>
    <mergeCell ref="G11:H11"/>
    <mergeCell ref="H2:R2"/>
    <mergeCell ref="H3:R3"/>
    <mergeCell ref="A5:H5"/>
    <mergeCell ref="A6:H6"/>
    <mergeCell ref="C41:D41"/>
    <mergeCell ref="H15:R15"/>
    <mergeCell ref="H16:R16"/>
    <mergeCell ref="A18:H18"/>
    <mergeCell ref="A19:H19"/>
    <mergeCell ref="M12:N12"/>
    <mergeCell ref="P7:Q7"/>
    <mergeCell ref="P8:Q8"/>
    <mergeCell ref="P9:Q9"/>
    <mergeCell ref="P10:Q10"/>
    <mergeCell ref="P11:Q11"/>
    <mergeCell ref="P12:Q12"/>
    <mergeCell ref="J9:K9"/>
    <mergeCell ref="J10:K10"/>
    <mergeCell ref="J11:K11"/>
    <mergeCell ref="J12:K12"/>
    <mergeCell ref="M7:N7"/>
    <mergeCell ref="M8:N8"/>
    <mergeCell ref="M9:N9"/>
    <mergeCell ref="M10:N10"/>
    <mergeCell ref="D20:E20"/>
    <mergeCell ref="G20:H20"/>
    <mergeCell ref="J20:K20"/>
    <mergeCell ref="M20:N20"/>
    <mergeCell ref="P20:Q20"/>
    <mergeCell ref="D21:E21"/>
    <mergeCell ref="G21:H21"/>
    <mergeCell ref="J21:K21"/>
    <mergeCell ref="M21:N21"/>
    <mergeCell ref="P21:Q21"/>
    <mergeCell ref="D22:E22"/>
    <mergeCell ref="G22:H22"/>
    <mergeCell ref="J22:K22"/>
    <mergeCell ref="M22:N22"/>
    <mergeCell ref="P22:Q22"/>
    <mergeCell ref="D23:E23"/>
    <mergeCell ref="G23:H23"/>
    <mergeCell ref="J23:K23"/>
    <mergeCell ref="M23:N23"/>
    <mergeCell ref="P23:Q23"/>
    <mergeCell ref="D24:E24"/>
    <mergeCell ref="G24:H24"/>
    <mergeCell ref="J24:K24"/>
    <mergeCell ref="M24:N24"/>
    <mergeCell ref="P24:Q24"/>
    <mergeCell ref="D25:E25"/>
    <mergeCell ref="G25:H25"/>
    <mergeCell ref="J25:K25"/>
    <mergeCell ref="M25:N25"/>
    <mergeCell ref="P25:Q25"/>
    <mergeCell ref="H28:R28"/>
    <mergeCell ref="H29:R29"/>
    <mergeCell ref="A31:H31"/>
    <mergeCell ref="A32:H32"/>
    <mergeCell ref="D33:E33"/>
    <mergeCell ref="G33:H33"/>
    <mergeCell ref="J33:K33"/>
    <mergeCell ref="M33:N33"/>
    <mergeCell ref="P33:Q33"/>
    <mergeCell ref="J37:K37"/>
    <mergeCell ref="M37:N37"/>
    <mergeCell ref="P37:Q37"/>
    <mergeCell ref="D34:E34"/>
    <mergeCell ref="G34:H34"/>
    <mergeCell ref="J34:K34"/>
    <mergeCell ref="M34:N34"/>
    <mergeCell ref="P34:Q34"/>
    <mergeCell ref="D35:E35"/>
    <mergeCell ref="G35:H35"/>
    <mergeCell ref="J35:K35"/>
    <mergeCell ref="M35:N35"/>
    <mergeCell ref="P35:Q35"/>
    <mergeCell ref="A39:T39"/>
    <mergeCell ref="T1:T38"/>
    <mergeCell ref="A30:S30"/>
    <mergeCell ref="A17:S17"/>
    <mergeCell ref="AK15:AO15"/>
    <mergeCell ref="AP15:AT15"/>
    <mergeCell ref="AK28:AO28"/>
    <mergeCell ref="AP28:AT28"/>
    <mergeCell ref="D38:E38"/>
    <mergeCell ref="G38:H38"/>
    <mergeCell ref="J38:K38"/>
    <mergeCell ref="M38:N38"/>
    <mergeCell ref="P38:Q38"/>
    <mergeCell ref="A1:S1"/>
    <mergeCell ref="A4:S4"/>
    <mergeCell ref="A14:S14"/>
    <mergeCell ref="A27:S27"/>
    <mergeCell ref="D36:E36"/>
    <mergeCell ref="G36:H36"/>
    <mergeCell ref="J36:K36"/>
    <mergeCell ref="M36:N36"/>
    <mergeCell ref="P36:Q36"/>
    <mergeCell ref="D37:E37"/>
    <mergeCell ref="G37:H37"/>
  </mergeCells>
  <dataValidations count="15">
    <dataValidation type="list" allowBlank="1" showInputMessage="1" showErrorMessage="1" sqref="A6" xr:uid="{00000000-0002-0000-0400-000000000000}">
      <formula1>$V$3:$V$10</formula1>
    </dataValidation>
    <dataValidation type="list" allowBlank="1" showInputMessage="1" showErrorMessage="1" sqref="B3 B29 B16" xr:uid="{00000000-0002-0000-0400-000001000000}">
      <formula1>$Y$5:$Y$10</formula1>
    </dataValidation>
    <dataValidation type="list" allowBlank="1" showInputMessage="1" showErrorMessage="1" sqref="A19:H19" xr:uid="{00000000-0002-0000-0400-000002000000}">
      <formula1>$V$16:$V$23</formula1>
    </dataValidation>
    <dataValidation type="list" allowBlank="1" showInputMessage="1" showErrorMessage="1" sqref="A32:H32" xr:uid="{00000000-0002-0000-0400-000003000000}">
      <formula1>$V$29:$V$36</formula1>
    </dataValidation>
    <dataValidation type="list" allowBlank="1" showInputMessage="1" showErrorMessage="1" sqref="R6 R19 R32" xr:uid="{00000000-0002-0000-0400-000004000000}">
      <formula1>$AO$3:$AO$7</formula1>
    </dataValidation>
    <dataValidation type="list" allowBlank="1" showInputMessage="1" showErrorMessage="1" sqref="P6 P19 P32" xr:uid="{00000000-0002-0000-0400-000005000000}">
      <formula1>$AN$3:$AN$7</formula1>
    </dataValidation>
    <dataValidation type="list" allowBlank="1" showInputMessage="1" showErrorMessage="1" sqref="N6 N19 N32" xr:uid="{00000000-0002-0000-0400-000006000000}">
      <formula1>$AM$3:$AM$7</formula1>
    </dataValidation>
    <dataValidation type="list" allowBlank="1" showInputMessage="1" showErrorMessage="1" sqref="L6 L19 L32" xr:uid="{00000000-0002-0000-0400-000007000000}">
      <formula1>$AL$3:$AL$7</formula1>
    </dataValidation>
    <dataValidation type="list" allowBlank="1" showInputMessage="1" showErrorMessage="1" sqref="J6 J19 J32" xr:uid="{00000000-0002-0000-0400-000008000000}">
      <formula1>$AK$3:$AK$7</formula1>
    </dataValidation>
    <dataValidation type="list" allowBlank="1" showInputMessage="1" showErrorMessage="1" sqref="M13 G26 D26 B26 P13 P26 J26 J13 G13 D13 B13 M26" xr:uid="{00000000-0002-0000-0400-000009000000}">
      <formula1>$K$50:$K$62</formula1>
    </dataValidation>
    <dataValidation type="list" allowBlank="1" showInputMessage="1" showErrorMessage="1" sqref="B8 D8:E8 B21 M21:N21 G8:H8 D21:E21 J8:K8 G21:H21 M8:N8 J21:K21 P8:Q8 P21:Q21 D34:E34 G34:H34 J34:K34 M34:N34 P34:Q34 B34" xr:uid="{00000000-0002-0000-0400-00000A000000}">
      <formula1>$AV$1:$AV$13</formula1>
    </dataValidation>
    <dataValidation type="list" allowBlank="1" showInputMessage="1" showErrorMessage="1" sqref="B22 B9 D9:E9 G9:H9 J9:K9 M9:N9 P9:Q9 D22:E22 G22:H22 J22:K22 M22:N22 P22:Q22 D35:E35 G35:H35 J35:K35 M35:N35 P35:Q35 B35" xr:uid="{00000000-0002-0000-0400-00000B000000}">
      <formula1>$BB$1:$BB$13</formula1>
    </dataValidation>
    <dataValidation type="list" allowBlank="1" showInputMessage="1" showErrorMessage="1" sqref="B23 B10 D10:E10 G10:H10 J10:K10 M10:N10 P10:Q10 D23:E23 G23:H23 J23:K23 M23:N23 P23:Q23 D36:E36 G36:H36 J36:K36 M36:N36 P36:Q36 B36" xr:uid="{00000000-0002-0000-0400-00000C000000}">
      <formula1>$AX$1:$AX$13</formula1>
    </dataValidation>
    <dataValidation type="list" allowBlank="1" showInputMessage="1" showErrorMessage="1" sqref="B24 B11 D11:E11 G11:H11 J11:K11 M11:N11 P11:Q11 D24:E24 G24:H24 J24:K24 M24:N24 P24:Q24 D37:E37 G37:H37 J37:K37 M37:N37 P37:Q37 B37" xr:uid="{00000000-0002-0000-0400-00000D000000}">
      <formula1>$AZ$1:$AZ$13</formula1>
    </dataValidation>
    <dataValidation type="list" allowBlank="1" showInputMessage="1" showErrorMessage="1" sqref="B12 D12:E12 G12:H12 J12:K12 M12:N12 P12:Q12 P38:Q38 D25:E25 G25:H25 J25:K25 M25:N25 P25:Q25 B25 D38:E38 G38:H38 J38:K38 M38:N38 B38" xr:uid="{00000000-0002-0000-0400-00000E000000}">
      <formula1>$BD$1:$BD$13</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1000"/>
  <sheetViews>
    <sheetView showGridLines="0" zoomScaleNormal="100" workbookViewId="0">
      <selection activeCell="S5" sqref="S5:AC12"/>
    </sheetView>
  </sheetViews>
  <sheetFormatPr defaultColWidth="0" defaultRowHeight="15" customHeight="1" zeroHeight="1" x14ac:dyDescent="0.2"/>
  <cols>
    <col min="1" max="1" width="2.140625" customWidth="1"/>
    <col min="2" max="2" width="7.85546875" customWidth="1"/>
    <col min="3" max="3" width="0.85546875" customWidth="1"/>
    <col min="4" max="4" width="5" customWidth="1"/>
    <col min="5" max="5" width="0.85546875" customWidth="1"/>
    <col min="6" max="6" width="5" customWidth="1"/>
    <col min="7" max="7" width="0.85546875" customWidth="1"/>
    <col min="8" max="8" width="5" customWidth="1"/>
    <col min="9" max="9" width="0.85546875" customWidth="1"/>
    <col min="10" max="10" width="5" customWidth="1"/>
    <col min="11" max="11" width="0.85546875" customWidth="1"/>
    <col min="12" max="12" width="5" customWidth="1"/>
    <col min="13" max="13" width="0.85546875" customWidth="1"/>
    <col min="14" max="14" width="5" customWidth="1"/>
    <col min="15" max="15" width="0.85546875" customWidth="1"/>
    <col min="16" max="16" width="2.140625" customWidth="1"/>
    <col min="17" max="17" width="7.85546875" customWidth="1"/>
    <col min="18" max="18" width="0.85546875" customWidth="1"/>
    <col min="19" max="19" width="5" customWidth="1"/>
    <col min="20" max="20" width="0.85546875" customWidth="1"/>
    <col min="21" max="21" width="5" customWidth="1"/>
    <col min="22" max="22" width="0.85546875" customWidth="1"/>
    <col min="23" max="23" width="5" customWidth="1"/>
    <col min="24" max="24" width="0.85546875" customWidth="1"/>
    <col min="25" max="25" width="5" customWidth="1"/>
    <col min="26" max="26" width="0.85546875" customWidth="1"/>
    <col min="27" max="27" width="5" customWidth="1"/>
    <col min="28" max="28" width="0.85546875" customWidth="1"/>
    <col min="29" max="29" width="5" customWidth="1"/>
    <col min="30" max="30" width="0.85546875" customWidth="1"/>
    <col min="31" max="31" width="2.140625" customWidth="1"/>
    <col min="32" max="32" width="7.85546875" customWidth="1"/>
    <col min="33" max="33" width="0.85546875" customWidth="1"/>
    <col min="34" max="34" width="5" customWidth="1"/>
    <col min="35" max="35" width="0.85546875" customWidth="1"/>
    <col min="36" max="36" width="5" customWidth="1"/>
    <col min="37" max="37" width="0.85546875" customWidth="1"/>
    <col min="38" max="38" width="5" customWidth="1"/>
    <col min="39" max="39" width="0.85546875" customWidth="1"/>
    <col min="40" max="40" width="5" customWidth="1"/>
    <col min="41" max="41" width="0.85546875" customWidth="1"/>
    <col min="42" max="42" width="5" customWidth="1"/>
    <col min="43" max="43" width="0.85546875" customWidth="1"/>
    <col min="44" max="44" width="5" customWidth="1"/>
    <col min="45" max="45" width="0.85546875" customWidth="1"/>
    <col min="46" max="46" width="2.140625" customWidth="1"/>
    <col min="47" max="47" width="7.85546875" customWidth="1"/>
    <col min="48" max="48" width="0.85546875" customWidth="1"/>
    <col min="49" max="49" width="5" customWidth="1"/>
    <col min="50" max="50" width="0.85546875" customWidth="1"/>
    <col min="51" max="51" width="5" customWidth="1"/>
    <col min="52" max="52" width="0.85546875" customWidth="1"/>
    <col min="53" max="53" width="5" customWidth="1"/>
    <col min="54" max="54" width="0.85546875" customWidth="1"/>
    <col min="55" max="55" width="5" customWidth="1"/>
    <col min="56" max="56" width="0.85546875" customWidth="1"/>
    <col min="57" max="57" width="5" customWidth="1"/>
    <col min="58" max="58" width="0.85546875" customWidth="1"/>
    <col min="59" max="59" width="5" customWidth="1"/>
    <col min="60" max="60" width="0.85546875" customWidth="1"/>
    <col min="61" max="61" width="2.140625" customWidth="1"/>
    <col min="62" max="16384" width="14.42578125" hidden="1"/>
  </cols>
  <sheetData>
    <row r="1" spans="2:60" ht="11.25" customHeight="1" x14ac:dyDescent="0.2"/>
    <row r="2" spans="2:60" ht="4.5" customHeight="1" x14ac:dyDescent="0.2">
      <c r="B2" s="493"/>
      <c r="C2" s="146"/>
      <c r="D2" s="146"/>
      <c r="E2" s="146"/>
      <c r="F2" s="146"/>
      <c r="G2" s="146"/>
      <c r="H2" s="146"/>
      <c r="I2" s="146"/>
      <c r="J2" s="146"/>
      <c r="K2" s="146"/>
      <c r="L2" s="146"/>
      <c r="M2" s="146"/>
      <c r="N2" s="146"/>
      <c r="O2" s="146"/>
      <c r="Q2" s="477" t="str">
        <f>IF(Roster!$A$2=0,"","#"&amp;Roster!$A$2)</f>
        <v>#1</v>
      </c>
      <c r="R2" s="146"/>
      <c r="S2" s="146"/>
      <c r="T2" s="146"/>
      <c r="U2" s="146"/>
      <c r="V2" s="146"/>
      <c r="W2" s="146"/>
      <c r="X2" s="146"/>
      <c r="Y2" s="146"/>
      <c r="Z2" s="146"/>
      <c r="AA2" s="146"/>
      <c r="AB2" s="146"/>
      <c r="AC2" s="146"/>
      <c r="AD2" s="146"/>
      <c r="AF2" s="477" t="str">
        <f>IF(Roster!$A$3=0,"","#"&amp;Roster!$A$3)</f>
        <v>#2</v>
      </c>
      <c r="AG2" s="146"/>
      <c r="AH2" s="146"/>
      <c r="AI2" s="146"/>
      <c r="AJ2" s="146"/>
      <c r="AK2" s="146"/>
      <c r="AL2" s="146"/>
      <c r="AM2" s="146"/>
      <c r="AN2" s="146"/>
      <c r="AO2" s="146"/>
      <c r="AP2" s="146"/>
      <c r="AQ2" s="146"/>
      <c r="AR2" s="146"/>
      <c r="AS2" s="146"/>
      <c r="AU2" s="477" t="str">
        <f>IF(Roster!$A$4=0,"","#"&amp;Roster!$A$4)</f>
        <v>#3</v>
      </c>
      <c r="AV2" s="146"/>
      <c r="AW2" s="146"/>
      <c r="AX2" s="146"/>
      <c r="AY2" s="146"/>
      <c r="AZ2" s="146"/>
      <c r="BA2" s="146"/>
      <c r="BB2" s="146"/>
      <c r="BC2" s="146"/>
      <c r="BD2" s="146"/>
      <c r="BE2" s="146"/>
      <c r="BF2" s="146"/>
      <c r="BG2" s="146"/>
      <c r="BH2" s="146"/>
    </row>
    <row r="3" spans="2:60" ht="15" customHeight="1" x14ac:dyDescent="0.25">
      <c r="B3" s="290"/>
      <c r="C3" s="480" t="str">
        <f>IF(Roster!$K$24=0,Roster!$D$24,Roster!$K$24)</f>
        <v>Sgaua</v>
      </c>
      <c r="D3" s="303"/>
      <c r="E3" s="303"/>
      <c r="F3" s="303"/>
      <c r="G3" s="303"/>
      <c r="H3" s="303"/>
      <c r="I3" s="303"/>
      <c r="J3" s="303"/>
      <c r="K3" s="303"/>
      <c r="L3" s="303"/>
      <c r="M3" s="303"/>
      <c r="N3" s="304"/>
      <c r="O3" s="146"/>
      <c r="Q3" s="290"/>
      <c r="R3" s="480" t="str">
        <f>IF(Roster!$B$2=0,"",Roster!$B$2)</f>
        <v/>
      </c>
      <c r="S3" s="303"/>
      <c r="T3" s="303"/>
      <c r="U3" s="303"/>
      <c r="V3" s="303"/>
      <c r="W3" s="303"/>
      <c r="X3" s="303"/>
      <c r="Y3" s="303"/>
      <c r="Z3" s="303"/>
      <c r="AA3" s="303"/>
      <c r="AB3" s="303"/>
      <c r="AC3" s="304"/>
      <c r="AD3" s="146"/>
      <c r="AF3" s="290"/>
      <c r="AG3" s="480" t="str">
        <f>IF(Roster!$B$3=0,"",Roster!$B$3)</f>
        <v>Tunnese</v>
      </c>
      <c r="AH3" s="303"/>
      <c r="AI3" s="303"/>
      <c r="AJ3" s="303"/>
      <c r="AK3" s="303"/>
      <c r="AL3" s="303"/>
      <c r="AM3" s="303"/>
      <c r="AN3" s="303"/>
      <c r="AO3" s="303"/>
      <c r="AP3" s="303"/>
      <c r="AQ3" s="303"/>
      <c r="AR3" s="304"/>
      <c r="AS3" s="146"/>
      <c r="AU3" s="290"/>
      <c r="AV3" s="480" t="str">
        <f>IF(Roster!$B$4=0,"",Roster!$B$4)</f>
        <v>Semmuone</v>
      </c>
      <c r="AW3" s="303"/>
      <c r="AX3" s="303"/>
      <c r="AY3" s="303"/>
      <c r="AZ3" s="303"/>
      <c r="BA3" s="303"/>
      <c r="BB3" s="303"/>
      <c r="BC3" s="303"/>
      <c r="BD3" s="303"/>
      <c r="BE3" s="303"/>
      <c r="BF3" s="303"/>
      <c r="BG3" s="304"/>
      <c r="BH3" s="146"/>
    </row>
    <row r="4" spans="2:60" ht="11.25" customHeight="1" x14ac:dyDescent="0.2">
      <c r="B4" s="290"/>
      <c r="C4" s="481" t="str">
        <f>IF(Roster!$K$21="SPONSORS",Roster!$K$23,Roster!$K$23&amp;"; Sponsor: "&amp;Roster!$K$21)</f>
        <v>Ogre</v>
      </c>
      <c r="D4" s="303"/>
      <c r="E4" s="303"/>
      <c r="F4" s="303"/>
      <c r="G4" s="303"/>
      <c r="H4" s="303"/>
      <c r="I4" s="303"/>
      <c r="J4" s="303"/>
      <c r="K4" s="303"/>
      <c r="L4" s="303"/>
      <c r="M4" s="303"/>
      <c r="N4" s="304"/>
      <c r="O4" s="147"/>
      <c r="Q4" s="452"/>
      <c r="R4" s="481" t="str">
        <f>IF(Roster!$D$2=0,"",Roster!$D$2)</f>
        <v/>
      </c>
      <c r="S4" s="303"/>
      <c r="T4" s="303"/>
      <c r="U4" s="303"/>
      <c r="V4" s="303"/>
      <c r="W4" s="303"/>
      <c r="X4" s="303"/>
      <c r="Y4" s="303"/>
      <c r="Z4" s="303"/>
      <c r="AA4" s="303"/>
      <c r="AB4" s="303"/>
      <c r="AC4" s="304"/>
      <c r="AD4" s="147"/>
      <c r="AF4" s="452"/>
      <c r="AG4" s="481" t="str">
        <f>IF(Roster!$D$3=0,"",Roster!$D$3)</f>
        <v xml:space="preserve">Ogre </v>
      </c>
      <c r="AH4" s="303"/>
      <c r="AI4" s="303"/>
      <c r="AJ4" s="303"/>
      <c r="AK4" s="303"/>
      <c r="AL4" s="303"/>
      <c r="AM4" s="303"/>
      <c r="AN4" s="303"/>
      <c r="AO4" s="303"/>
      <c r="AP4" s="303"/>
      <c r="AQ4" s="303"/>
      <c r="AR4" s="304"/>
      <c r="AS4" s="147"/>
      <c r="AU4" s="452"/>
      <c r="AV4" s="481" t="str">
        <f>IF(Roster!$D$4=0,"",Roster!$D$4)</f>
        <v xml:space="preserve">Ogre </v>
      </c>
      <c r="AW4" s="303"/>
      <c r="AX4" s="303"/>
      <c r="AY4" s="303"/>
      <c r="AZ4" s="303"/>
      <c r="BA4" s="303"/>
      <c r="BB4" s="303"/>
      <c r="BC4" s="303"/>
      <c r="BD4" s="303"/>
      <c r="BE4" s="303"/>
      <c r="BF4" s="303"/>
      <c r="BG4" s="304"/>
      <c r="BH4" s="147"/>
    </row>
    <row r="5" spans="2:60" ht="11.25" customHeight="1" x14ac:dyDescent="0.2">
      <c r="B5" s="452"/>
      <c r="C5" s="148"/>
      <c r="D5" s="481" t="str">
        <f>IF(Roster!$D$32=0,"",Roster!$D$32)</f>
        <v>TEAM VALUE</v>
      </c>
      <c r="E5" s="303"/>
      <c r="F5" s="304"/>
      <c r="G5" s="149"/>
      <c r="H5" s="481" t="str">
        <f>IF(Roster!$D$26=0,"",Roster!$D$26)</f>
        <v>TEAM NAME</v>
      </c>
      <c r="I5" s="303"/>
      <c r="J5" s="304"/>
      <c r="K5" s="149"/>
      <c r="L5" s="481" t="str">
        <f>IF(Roster!$AE$21=0,"",Roster!$AE$21)</f>
        <v>TOTAL REROLLS</v>
      </c>
      <c r="M5" s="303"/>
      <c r="N5" s="304"/>
      <c r="O5" s="146"/>
      <c r="Q5" s="150" t="str">
        <f>IF(Roster!$K$1=0,"",Roster!$K$1)</f>
        <v>MA</v>
      </c>
      <c r="R5" s="149"/>
      <c r="S5" s="492"/>
      <c r="T5" s="492"/>
      <c r="U5" s="492"/>
      <c r="V5" s="492"/>
      <c r="W5" s="492"/>
      <c r="X5" s="492"/>
      <c r="Y5" s="492"/>
      <c r="Z5" s="492"/>
      <c r="AA5" s="492"/>
      <c r="AB5" s="492"/>
      <c r="AC5" s="492"/>
      <c r="AD5" s="146"/>
      <c r="AF5" s="150" t="str">
        <f>IF(Roster!$K$1=0,"",Roster!$K$1)</f>
        <v>MA</v>
      </c>
      <c r="AG5" s="149"/>
      <c r="AH5" s="492"/>
      <c r="AI5" s="492"/>
      <c r="AJ5" s="492"/>
      <c r="AK5" s="492"/>
      <c r="AL5" s="492"/>
      <c r="AM5" s="492"/>
      <c r="AN5" s="492"/>
      <c r="AO5" s="492"/>
      <c r="AP5" s="492"/>
      <c r="AQ5" s="492"/>
      <c r="AR5" s="492"/>
      <c r="AS5" s="146"/>
      <c r="AU5" s="150" t="str">
        <f>IF(Roster!$K$1=0,"",Roster!$K$1)</f>
        <v>MA</v>
      </c>
      <c r="AV5" s="149"/>
      <c r="AW5" s="492"/>
      <c r="AX5" s="492"/>
      <c r="AY5" s="492"/>
      <c r="AZ5" s="492"/>
      <c r="BA5" s="492"/>
      <c r="BB5" s="492"/>
      <c r="BC5" s="492"/>
      <c r="BD5" s="492"/>
      <c r="BE5" s="492"/>
      <c r="BF5" s="492"/>
      <c r="BG5" s="492"/>
      <c r="BH5" s="146"/>
    </row>
    <row r="6" spans="2:60" ht="37.5" customHeight="1" x14ac:dyDescent="0.2">
      <c r="B6" s="494" t="str">
        <f>IF(Roster!$K$22=0,"",Roster!$K$22)</f>
        <v>STADIUM</v>
      </c>
      <c r="C6" s="151"/>
      <c r="D6" s="478">
        <f>Roster!$K$32</f>
        <v>1010</v>
      </c>
      <c r="E6" s="303"/>
      <c r="F6" s="304"/>
      <c r="G6" s="149"/>
      <c r="H6" s="478" t="str">
        <f>IF(Roster!$K$26=0,"",Roster!$K$26)</f>
        <v>I Figli del Sole</v>
      </c>
      <c r="I6" s="303"/>
      <c r="J6" s="304"/>
      <c r="K6" s="149"/>
      <c r="L6" s="478">
        <f>Roster!$AJ$22</f>
        <v>3</v>
      </c>
      <c r="M6" s="303"/>
      <c r="N6" s="304"/>
      <c r="O6" s="146"/>
      <c r="Q6" s="152" t="str">
        <f>IF(Roster!$K$2=0,"",Roster!$K$2)</f>
        <v/>
      </c>
      <c r="R6" s="149"/>
      <c r="S6" s="492"/>
      <c r="T6" s="492"/>
      <c r="U6" s="492"/>
      <c r="V6" s="492"/>
      <c r="W6" s="492"/>
      <c r="X6" s="492"/>
      <c r="Y6" s="492"/>
      <c r="Z6" s="492"/>
      <c r="AA6" s="492"/>
      <c r="AB6" s="492"/>
      <c r="AC6" s="492"/>
      <c r="AD6" s="146"/>
      <c r="AF6" s="152">
        <f>IF(Roster!$K$3=0,"",Roster!$K$3)</f>
        <v>5</v>
      </c>
      <c r="AG6" s="149"/>
      <c r="AH6" s="492"/>
      <c r="AI6" s="492"/>
      <c r="AJ6" s="492"/>
      <c r="AK6" s="492"/>
      <c r="AL6" s="492"/>
      <c r="AM6" s="492"/>
      <c r="AN6" s="492"/>
      <c r="AO6" s="492"/>
      <c r="AP6" s="492"/>
      <c r="AQ6" s="492"/>
      <c r="AR6" s="492"/>
      <c r="AS6" s="146"/>
      <c r="AU6" s="152">
        <f>IF(Roster!$K$4=0,"",Roster!$K$4)</f>
        <v>5</v>
      </c>
      <c r="AV6" s="149"/>
      <c r="AW6" s="492"/>
      <c r="AX6" s="492"/>
      <c r="AY6" s="492"/>
      <c r="AZ6" s="492"/>
      <c r="BA6" s="492"/>
      <c r="BB6" s="492"/>
      <c r="BC6" s="492"/>
      <c r="BD6" s="492"/>
      <c r="BE6" s="492"/>
      <c r="BF6" s="492"/>
      <c r="BG6" s="492"/>
      <c r="BH6" s="146"/>
    </row>
    <row r="7" spans="2:60" ht="11.25" customHeight="1" x14ac:dyDescent="0.2">
      <c r="B7" s="290"/>
      <c r="C7" s="150"/>
      <c r="D7" s="481" t="str">
        <f>IF(Roster!$S$22=0,"",Roster!$S$22)</f>
        <v>APOTHECARY</v>
      </c>
      <c r="E7" s="303"/>
      <c r="F7" s="304"/>
      <c r="G7" s="149"/>
      <c r="H7" s="481" t="str">
        <f>IF(Roster!$S$23=0,"",Roster!$S$23)</f>
        <v>CHEERLEADERS</v>
      </c>
      <c r="I7" s="303"/>
      <c r="J7" s="304"/>
      <c r="K7" s="149"/>
      <c r="L7" s="481" t="str">
        <f>IF(Roster!$S$24=0,"",Roster!$S$24)</f>
        <v>ASSISTANT COACHES</v>
      </c>
      <c r="M7" s="303"/>
      <c r="N7" s="304"/>
      <c r="O7" s="146"/>
      <c r="Q7" s="150" t="str">
        <f>IF(Roster!$L$1=0,"",Roster!$L$1)</f>
        <v>ST</v>
      </c>
      <c r="R7" s="149"/>
      <c r="S7" s="492"/>
      <c r="T7" s="492"/>
      <c r="U7" s="492"/>
      <c r="V7" s="492"/>
      <c r="W7" s="492"/>
      <c r="X7" s="492"/>
      <c r="Y7" s="492"/>
      <c r="Z7" s="492"/>
      <c r="AA7" s="492"/>
      <c r="AB7" s="492"/>
      <c r="AC7" s="492"/>
      <c r="AD7" s="146"/>
      <c r="AF7" s="150" t="str">
        <f>IF(Roster!$L$1=0,"",Roster!$L$1)</f>
        <v>ST</v>
      </c>
      <c r="AG7" s="149"/>
      <c r="AH7" s="492"/>
      <c r="AI7" s="492"/>
      <c r="AJ7" s="492"/>
      <c r="AK7" s="492"/>
      <c r="AL7" s="492"/>
      <c r="AM7" s="492"/>
      <c r="AN7" s="492"/>
      <c r="AO7" s="492"/>
      <c r="AP7" s="492"/>
      <c r="AQ7" s="492"/>
      <c r="AR7" s="492"/>
      <c r="AS7" s="146"/>
      <c r="AU7" s="150" t="str">
        <f>IF(Roster!$L$1=0,"",Roster!$L$1)</f>
        <v>ST</v>
      </c>
      <c r="AV7" s="149"/>
      <c r="AW7" s="492"/>
      <c r="AX7" s="492"/>
      <c r="AY7" s="492"/>
      <c r="AZ7" s="492"/>
      <c r="BA7" s="492"/>
      <c r="BB7" s="492"/>
      <c r="BC7" s="492"/>
      <c r="BD7" s="492"/>
      <c r="BE7" s="492"/>
      <c r="BF7" s="492"/>
      <c r="BG7" s="492"/>
      <c r="BH7" s="146"/>
    </row>
    <row r="8" spans="2:60" ht="37.5" customHeight="1" x14ac:dyDescent="0.2">
      <c r="B8" s="290"/>
      <c r="C8" s="153"/>
      <c r="D8" s="478">
        <f>Roster!$X$22</f>
        <v>1</v>
      </c>
      <c r="E8" s="303"/>
      <c r="F8" s="304"/>
      <c r="G8" s="149"/>
      <c r="H8" s="478">
        <f>Roster!$X$23</f>
        <v>0</v>
      </c>
      <c r="I8" s="303"/>
      <c r="J8" s="304"/>
      <c r="K8" s="149"/>
      <c r="L8" s="478">
        <f>Roster!$X$24</f>
        <v>0</v>
      </c>
      <c r="M8" s="303"/>
      <c r="N8" s="304"/>
      <c r="O8" s="146"/>
      <c r="Q8" s="152" t="str">
        <f>IF(Roster!$L$2=0,"",Roster!$L$2)</f>
        <v/>
      </c>
      <c r="R8" s="149"/>
      <c r="S8" s="492"/>
      <c r="T8" s="492"/>
      <c r="U8" s="492"/>
      <c r="V8" s="492"/>
      <c r="W8" s="492"/>
      <c r="X8" s="492"/>
      <c r="Y8" s="492"/>
      <c r="Z8" s="492"/>
      <c r="AA8" s="492"/>
      <c r="AB8" s="492"/>
      <c r="AC8" s="492"/>
      <c r="AD8" s="146"/>
      <c r="AF8" s="152">
        <f>IF(Roster!$L$3=0,"",Roster!$L$3)</f>
        <v>5</v>
      </c>
      <c r="AG8" s="149"/>
      <c r="AH8" s="492"/>
      <c r="AI8" s="492"/>
      <c r="AJ8" s="492"/>
      <c r="AK8" s="492"/>
      <c r="AL8" s="492"/>
      <c r="AM8" s="492"/>
      <c r="AN8" s="492"/>
      <c r="AO8" s="492"/>
      <c r="AP8" s="492"/>
      <c r="AQ8" s="492"/>
      <c r="AR8" s="492"/>
      <c r="AS8" s="146"/>
      <c r="AU8" s="152">
        <f>IF(Roster!$L$4=0,"",Roster!$L$4)</f>
        <v>5</v>
      </c>
      <c r="AV8" s="149"/>
      <c r="AW8" s="492"/>
      <c r="AX8" s="492"/>
      <c r="AY8" s="492"/>
      <c r="AZ8" s="492"/>
      <c r="BA8" s="492"/>
      <c r="BB8" s="492"/>
      <c r="BC8" s="492"/>
      <c r="BD8" s="492"/>
      <c r="BE8" s="492"/>
      <c r="BF8" s="492"/>
      <c r="BG8" s="492"/>
      <c r="BH8" s="146"/>
    </row>
    <row r="9" spans="2:60" ht="11.25" customHeight="1" x14ac:dyDescent="0.2">
      <c r="B9" s="290"/>
      <c r="C9" s="148"/>
      <c r="D9" s="481" t="str">
        <f>IF(Roster!$S$25=0,"",Roster!$S$25)</f>
        <v>BLOODWEISER KEGS</v>
      </c>
      <c r="E9" s="303"/>
      <c r="F9" s="304"/>
      <c r="G9" s="149"/>
      <c r="H9" s="481" t="str">
        <f>IF(Roster!$S$29=0,"",Roster!$S$29)</f>
        <v>BRIBES</v>
      </c>
      <c r="I9" s="303"/>
      <c r="J9" s="304"/>
      <c r="K9" s="149"/>
      <c r="L9" s="481" t="str">
        <f>IF(Roster!$S$30=0,"",Roster!$S$30)</f>
        <v>MASTER CHEF</v>
      </c>
      <c r="M9" s="303"/>
      <c r="N9" s="304"/>
      <c r="O9" s="146"/>
      <c r="Q9" s="150" t="str">
        <f>IF(Roster!$M$1=0,"",Roster!$M$1)</f>
        <v>AG</v>
      </c>
      <c r="R9" s="149"/>
      <c r="S9" s="492"/>
      <c r="T9" s="492"/>
      <c r="U9" s="492"/>
      <c r="V9" s="492"/>
      <c r="W9" s="492"/>
      <c r="X9" s="492"/>
      <c r="Y9" s="492"/>
      <c r="Z9" s="492"/>
      <c r="AA9" s="492"/>
      <c r="AB9" s="492"/>
      <c r="AC9" s="492"/>
      <c r="AD9" s="146"/>
      <c r="AF9" s="150" t="str">
        <f>IF(Roster!$M$1=0,"",Roster!$M$1)</f>
        <v>AG</v>
      </c>
      <c r="AG9" s="149"/>
      <c r="AH9" s="492"/>
      <c r="AI9" s="492"/>
      <c r="AJ9" s="492"/>
      <c r="AK9" s="492"/>
      <c r="AL9" s="492"/>
      <c r="AM9" s="492"/>
      <c r="AN9" s="492"/>
      <c r="AO9" s="492"/>
      <c r="AP9" s="492"/>
      <c r="AQ9" s="492"/>
      <c r="AR9" s="492"/>
      <c r="AS9" s="146"/>
      <c r="AU9" s="150" t="str">
        <f>IF(Roster!$M$1=0,"",Roster!$M$1)</f>
        <v>AG</v>
      </c>
      <c r="AV9" s="149"/>
      <c r="AW9" s="492"/>
      <c r="AX9" s="492"/>
      <c r="AY9" s="492"/>
      <c r="AZ9" s="492"/>
      <c r="BA9" s="492"/>
      <c r="BB9" s="492"/>
      <c r="BC9" s="492"/>
      <c r="BD9" s="492"/>
      <c r="BE9" s="492"/>
      <c r="BF9" s="492"/>
      <c r="BG9" s="492"/>
      <c r="BH9" s="146"/>
    </row>
    <row r="10" spans="2:60" ht="37.5" customHeight="1" x14ac:dyDescent="0.2">
      <c r="B10" s="290"/>
      <c r="C10" s="153"/>
      <c r="D10" s="478">
        <f>Roster!$X$25</f>
        <v>0</v>
      </c>
      <c r="E10" s="303"/>
      <c r="F10" s="304"/>
      <c r="G10" s="149"/>
      <c r="H10" s="478">
        <f>Roster!$X$29</f>
        <v>0</v>
      </c>
      <c r="I10" s="303"/>
      <c r="J10" s="304"/>
      <c r="K10" s="149"/>
      <c r="L10" s="478">
        <f>Roster!$X$30</f>
        <v>0</v>
      </c>
      <c r="M10" s="303"/>
      <c r="N10" s="304"/>
      <c r="O10" s="146"/>
      <c r="Q10" s="152" t="str">
        <f>IF(Roster!$M$2=0&amp;"+","",Roster!$M$2)</f>
        <v/>
      </c>
      <c r="R10" s="149"/>
      <c r="S10" s="492"/>
      <c r="T10" s="492"/>
      <c r="U10" s="492"/>
      <c r="V10" s="492"/>
      <c r="W10" s="492"/>
      <c r="X10" s="492"/>
      <c r="Y10" s="492"/>
      <c r="Z10" s="492"/>
      <c r="AA10" s="492"/>
      <c r="AB10" s="492"/>
      <c r="AC10" s="492"/>
      <c r="AD10" s="146"/>
      <c r="AF10" s="152" t="str">
        <f>IF(Roster!$M$3=0&amp;"+","",Roster!$M$3)</f>
        <v>4+</v>
      </c>
      <c r="AG10" s="149"/>
      <c r="AH10" s="492"/>
      <c r="AI10" s="492"/>
      <c r="AJ10" s="492"/>
      <c r="AK10" s="492"/>
      <c r="AL10" s="492"/>
      <c r="AM10" s="492"/>
      <c r="AN10" s="492"/>
      <c r="AO10" s="492"/>
      <c r="AP10" s="492"/>
      <c r="AQ10" s="492"/>
      <c r="AR10" s="492"/>
      <c r="AS10" s="146"/>
      <c r="AU10" s="152" t="str">
        <f>IF(Roster!$M$4=0&amp;"+","",Roster!$M$4)</f>
        <v>4+</v>
      </c>
      <c r="AV10" s="149"/>
      <c r="AW10" s="492"/>
      <c r="AX10" s="492"/>
      <c r="AY10" s="492"/>
      <c r="AZ10" s="492"/>
      <c r="BA10" s="492"/>
      <c r="BB10" s="492"/>
      <c r="BC10" s="492"/>
      <c r="BD10" s="492"/>
      <c r="BE10" s="492"/>
      <c r="BF10" s="492"/>
      <c r="BG10" s="492"/>
      <c r="BH10" s="146"/>
    </row>
    <row r="11" spans="2:60" ht="11.25" customHeight="1" x14ac:dyDescent="0.2">
      <c r="B11" s="290"/>
      <c r="C11" s="150"/>
      <c r="D11" s="491" t="str">
        <f>IF(Roster!$S$31=0,"",Roster!$S$31)</f>
        <v>RIOTOUS ROOKIES</v>
      </c>
      <c r="E11" s="303"/>
      <c r="F11" s="304"/>
      <c r="G11" s="154"/>
      <c r="H11" s="491" t="str">
        <f>IF(Roster!$AE$25=0,"",Roster!$AE$25)</f>
        <v>WIZARDS</v>
      </c>
      <c r="I11" s="303"/>
      <c r="J11" s="304"/>
      <c r="K11" s="154"/>
      <c r="L11" s="481" t="str">
        <f>IF(Roster!$AE$24=0,"",Roster!$AE$24)</f>
        <v>WEATHER MAGE</v>
      </c>
      <c r="M11" s="303"/>
      <c r="N11" s="304"/>
      <c r="O11" s="155"/>
      <c r="Q11" s="150" t="str">
        <f>IF(Roster!$N$1=0,"",Roster!$N$1)</f>
        <v>PA</v>
      </c>
      <c r="R11" s="149"/>
      <c r="S11" s="492"/>
      <c r="T11" s="492"/>
      <c r="U11" s="492"/>
      <c r="V11" s="492"/>
      <c r="W11" s="492"/>
      <c r="X11" s="492"/>
      <c r="Y11" s="492"/>
      <c r="Z11" s="492"/>
      <c r="AA11" s="492"/>
      <c r="AB11" s="492"/>
      <c r="AC11" s="492"/>
      <c r="AD11" s="155"/>
      <c r="AF11" s="150" t="str">
        <f>IF(Roster!$N$1=0,"",Roster!$N$1)</f>
        <v>PA</v>
      </c>
      <c r="AG11" s="149"/>
      <c r="AH11" s="492"/>
      <c r="AI11" s="492"/>
      <c r="AJ11" s="492"/>
      <c r="AK11" s="492"/>
      <c r="AL11" s="492"/>
      <c r="AM11" s="492"/>
      <c r="AN11" s="492"/>
      <c r="AO11" s="492"/>
      <c r="AP11" s="492"/>
      <c r="AQ11" s="492"/>
      <c r="AR11" s="492"/>
      <c r="AS11" s="155"/>
      <c r="AU11" s="150" t="str">
        <f>IF(Roster!$N$1=0,"",Roster!$N$1)</f>
        <v>PA</v>
      </c>
      <c r="AV11" s="149"/>
      <c r="AW11" s="492"/>
      <c r="AX11" s="492"/>
      <c r="AY11" s="492"/>
      <c r="AZ11" s="492"/>
      <c r="BA11" s="492"/>
      <c r="BB11" s="492"/>
      <c r="BC11" s="492"/>
      <c r="BD11" s="492"/>
      <c r="BE11" s="492"/>
      <c r="BF11" s="492"/>
      <c r="BG11" s="492"/>
      <c r="BH11" s="155"/>
    </row>
    <row r="12" spans="2:60" ht="6" customHeight="1" x14ac:dyDescent="0.2">
      <c r="B12" s="290"/>
      <c r="C12" s="151"/>
      <c r="D12" s="495">
        <f>Roster!$X$31</f>
        <v>0</v>
      </c>
      <c r="E12" s="496"/>
      <c r="F12" s="497"/>
      <c r="G12" s="156"/>
      <c r="H12" s="495">
        <f>Roster!$AJ$25</f>
        <v>0</v>
      </c>
      <c r="I12" s="496"/>
      <c r="J12" s="497"/>
      <c r="K12" s="156"/>
      <c r="L12" s="495">
        <f>Roster!$AJ$24</f>
        <v>0</v>
      </c>
      <c r="M12" s="496"/>
      <c r="N12" s="497"/>
      <c r="O12" s="157"/>
      <c r="Q12" s="474" t="str">
        <f>IF(Roster!$N$2=0&amp;"+","",Roster!$N$2)</f>
        <v/>
      </c>
      <c r="R12" s="149"/>
      <c r="S12" s="492"/>
      <c r="T12" s="492"/>
      <c r="U12" s="492"/>
      <c r="V12" s="492"/>
      <c r="W12" s="492"/>
      <c r="X12" s="492"/>
      <c r="Y12" s="492"/>
      <c r="Z12" s="492"/>
      <c r="AA12" s="492"/>
      <c r="AB12" s="492"/>
      <c r="AC12" s="492"/>
      <c r="AD12" s="157"/>
      <c r="AF12" s="474" t="str">
        <f>IF(Roster!$N$3=0&amp;"+","",Roster!$N$3)</f>
        <v>5+</v>
      </c>
      <c r="AG12" s="149"/>
      <c r="AH12" s="492"/>
      <c r="AI12" s="492"/>
      <c r="AJ12" s="492"/>
      <c r="AK12" s="492"/>
      <c r="AL12" s="492"/>
      <c r="AM12" s="492"/>
      <c r="AN12" s="492"/>
      <c r="AO12" s="492"/>
      <c r="AP12" s="492"/>
      <c r="AQ12" s="492"/>
      <c r="AR12" s="492"/>
      <c r="AS12" s="157"/>
      <c r="AU12" s="474" t="str">
        <f>IF(Roster!$N$4=0&amp;"+","",Roster!$N$4)</f>
        <v>5+</v>
      </c>
      <c r="AV12" s="149"/>
      <c r="AW12" s="492"/>
      <c r="AX12" s="492"/>
      <c r="AY12" s="492"/>
      <c r="AZ12" s="492"/>
      <c r="BA12" s="492"/>
      <c r="BB12" s="492"/>
      <c r="BC12" s="492"/>
      <c r="BD12" s="492"/>
      <c r="BE12" s="492"/>
      <c r="BF12" s="492"/>
      <c r="BG12" s="492"/>
      <c r="BH12" s="157"/>
    </row>
    <row r="13" spans="2:60" ht="4.5" customHeight="1" x14ac:dyDescent="0.2">
      <c r="B13" s="290"/>
      <c r="C13" s="151"/>
      <c r="D13" s="498"/>
      <c r="E13" s="385"/>
      <c r="F13" s="499"/>
      <c r="G13" s="156"/>
      <c r="H13" s="498"/>
      <c r="I13" s="385"/>
      <c r="J13" s="499"/>
      <c r="K13" s="156"/>
      <c r="L13" s="498"/>
      <c r="M13" s="385"/>
      <c r="N13" s="499"/>
      <c r="O13" s="157"/>
      <c r="Q13" s="290"/>
      <c r="R13" s="149"/>
      <c r="S13" s="146"/>
      <c r="T13" s="156"/>
      <c r="U13" s="146"/>
      <c r="V13" s="156"/>
      <c r="W13" s="146"/>
      <c r="X13" s="156"/>
      <c r="Y13" s="146"/>
      <c r="Z13" s="156"/>
      <c r="AA13" s="146"/>
      <c r="AB13" s="156"/>
      <c r="AC13" s="146"/>
      <c r="AD13" s="157"/>
      <c r="AF13" s="290"/>
      <c r="AG13" s="149"/>
      <c r="AH13" s="146"/>
      <c r="AI13" s="156"/>
      <c r="AJ13" s="146"/>
      <c r="AK13" s="156"/>
      <c r="AL13" s="146"/>
      <c r="AM13" s="156"/>
      <c r="AN13" s="146"/>
      <c r="AO13" s="156"/>
      <c r="AP13" s="146"/>
      <c r="AQ13" s="156"/>
      <c r="AR13" s="146"/>
      <c r="AS13" s="157"/>
      <c r="AU13" s="290"/>
      <c r="AV13" s="149"/>
      <c r="AW13" s="146"/>
      <c r="AX13" s="156"/>
      <c r="AY13" s="146"/>
      <c r="AZ13" s="156"/>
      <c r="BA13" s="146"/>
      <c r="BB13" s="156"/>
      <c r="BC13" s="146"/>
      <c r="BD13" s="156"/>
      <c r="BE13" s="146"/>
      <c r="BF13" s="156"/>
      <c r="BG13" s="146"/>
      <c r="BH13" s="157"/>
    </row>
    <row r="14" spans="2:60" ht="11.25" customHeight="1" x14ac:dyDescent="0.2">
      <c r="B14" s="290"/>
      <c r="C14" s="151"/>
      <c r="D14" s="498"/>
      <c r="E14" s="385"/>
      <c r="F14" s="499"/>
      <c r="G14" s="156"/>
      <c r="H14" s="498"/>
      <c r="I14" s="385"/>
      <c r="J14" s="499"/>
      <c r="K14" s="156"/>
      <c r="L14" s="498"/>
      <c r="M14" s="385"/>
      <c r="N14" s="499"/>
      <c r="O14" s="157"/>
      <c r="Q14" s="290"/>
      <c r="R14" s="149"/>
      <c r="S14" s="158" t="str">
        <f>IF(Roster!$AD$1=0,"",Roster!$AD$1)</f>
        <v>TD</v>
      </c>
      <c r="T14" s="156"/>
      <c r="U14" s="158" t="str">
        <f>IF(Roster!$K$25="Español","HER",(IF(Roster!$K$25="Deutsch","VER",(IF(Roster!$K$25="Français","BLES","CAS")))))</f>
        <v>CAS</v>
      </c>
      <c r="V14" s="156"/>
      <c r="W14" s="158" t="str">
        <f>IF(Roster!$AG$1=0,"",Roster!$AG$1)</f>
        <v>BH</v>
      </c>
      <c r="X14" s="156"/>
      <c r="Y14" s="158" t="str">
        <f>IF(Roster!$AH$1=0,"",Roster!$AH$1)</f>
        <v>SI</v>
      </c>
      <c r="Z14" s="156"/>
      <c r="AA14" s="158" t="str">
        <f>IF(Roster!$AI$1=0,"",Roster!$AI$1)</f>
        <v>KILL</v>
      </c>
      <c r="AB14" s="156"/>
      <c r="AC14" s="158" t="str">
        <f>IF(Roster!$AC$1=0,"",Roster!$AC$1)</f>
        <v>CP</v>
      </c>
      <c r="AD14" s="157"/>
      <c r="AF14" s="290"/>
      <c r="AG14" s="149"/>
      <c r="AH14" s="158" t="str">
        <f>IF(Roster!$AD$1=0,"",Roster!$AD$1)</f>
        <v>TD</v>
      </c>
      <c r="AI14" s="156"/>
      <c r="AJ14" s="158" t="str">
        <f>IF(Roster!$K$25="Español","HER",(IF(Roster!$K$25="Deutsch","VER",(IF(Roster!$K$25="Français","BLES","CAS")))))</f>
        <v>CAS</v>
      </c>
      <c r="AK14" s="156"/>
      <c r="AL14" s="158" t="str">
        <f>IF(Roster!$AG$1=0,"",Roster!$AG$1)</f>
        <v>BH</v>
      </c>
      <c r="AM14" s="156"/>
      <c r="AN14" s="158" t="str">
        <f>IF(Roster!$AH$1=0,"",Roster!$AH$1)</f>
        <v>SI</v>
      </c>
      <c r="AO14" s="156"/>
      <c r="AP14" s="158" t="str">
        <f>IF(Roster!$AI$1=0,"",Roster!$AI$1)</f>
        <v>KILL</v>
      </c>
      <c r="AQ14" s="156"/>
      <c r="AR14" s="158" t="str">
        <f>IF(Roster!$AC$1=0,"",Roster!$AC$1)</f>
        <v>CP</v>
      </c>
      <c r="AS14" s="157"/>
      <c r="AU14" s="290"/>
      <c r="AV14" s="149"/>
      <c r="AW14" s="158" t="str">
        <f>IF(Roster!$AD$1=0,"",Roster!$AD$1)</f>
        <v>TD</v>
      </c>
      <c r="AX14" s="156"/>
      <c r="AY14" s="158" t="str">
        <f>IF(Roster!$K$25="Español","HER",(IF(Roster!$K$25="Deutsch","VER",(IF(Roster!$K$25="Français","BLES","CAS")))))</f>
        <v>CAS</v>
      </c>
      <c r="AZ14" s="156"/>
      <c r="BA14" s="158" t="str">
        <f>IF(Roster!$AG$1=0,"",Roster!$AG$1)</f>
        <v>BH</v>
      </c>
      <c r="BB14" s="156"/>
      <c r="BC14" s="158" t="str">
        <f>IF(Roster!$AH$1=0,"",Roster!$AH$1)</f>
        <v>SI</v>
      </c>
      <c r="BD14" s="156"/>
      <c r="BE14" s="158" t="str">
        <f>IF(Roster!$AI$1=0,"",Roster!$AI$1)</f>
        <v>KILL</v>
      </c>
      <c r="BF14" s="156"/>
      <c r="BG14" s="158" t="str">
        <f>IF(Roster!$AC$1=0,"",Roster!$AC$1)</f>
        <v>CP</v>
      </c>
      <c r="BH14" s="157"/>
    </row>
    <row r="15" spans="2:60" ht="15" customHeight="1" x14ac:dyDescent="0.2">
      <c r="B15" s="290"/>
      <c r="C15" s="151"/>
      <c r="D15" s="498"/>
      <c r="E15" s="385"/>
      <c r="F15" s="499"/>
      <c r="G15" s="151"/>
      <c r="H15" s="498"/>
      <c r="I15" s="385"/>
      <c r="J15" s="499"/>
      <c r="K15" s="151"/>
      <c r="L15" s="498"/>
      <c r="M15" s="385"/>
      <c r="N15" s="499"/>
      <c r="O15" s="157"/>
      <c r="Q15" s="290"/>
      <c r="R15" s="151"/>
      <c r="S15" s="159" t="str">
        <f>IF(Roster!$AD$2=0,"",Roster!$AD$2)</f>
        <v/>
      </c>
      <c r="T15" s="151"/>
      <c r="U15" s="159" t="str">
        <f>IF((SUM(W15,Y15,AA15))=0,"",(SUM(W15,Y15,AA15)))</f>
        <v/>
      </c>
      <c r="V15" s="151"/>
      <c r="W15" s="159" t="str">
        <f>IF(Roster!$AG$2=0,"",Roster!$AG$2)</f>
        <v/>
      </c>
      <c r="X15" s="151"/>
      <c r="Y15" s="159" t="str">
        <f>IF(Roster!$AH$2=0,"",Roster!$AH$2)</f>
        <v/>
      </c>
      <c r="Z15" s="151"/>
      <c r="AA15" s="159" t="str">
        <f>IF(Roster!$AI$2=0,"",Roster!$AI$2)</f>
        <v/>
      </c>
      <c r="AB15" s="151"/>
      <c r="AC15" s="159" t="str">
        <f>IF(Roster!$AC$2=0,"",Roster!$AC$2)</f>
        <v/>
      </c>
      <c r="AD15" s="157"/>
      <c r="AF15" s="290"/>
      <c r="AG15" s="151"/>
      <c r="AH15" s="159" t="str">
        <f>IF(Roster!$AD$3=0,"",Roster!$AD$3)</f>
        <v/>
      </c>
      <c r="AI15" s="151"/>
      <c r="AJ15" s="159">
        <f>IF((SUM(AL15,AN15,AP15))=0,"",(SUM(AL15,AN15,AP15)))</f>
        <v>1</v>
      </c>
      <c r="AK15" s="151"/>
      <c r="AL15" s="159" t="str">
        <f>IF(Roster!$AG$3=0,"",Roster!$AG$3)</f>
        <v/>
      </c>
      <c r="AM15" s="151"/>
      <c r="AN15" s="159">
        <f>IF(Roster!$AH$3=0,"",Roster!$AH$3)</f>
        <v>1</v>
      </c>
      <c r="AO15" s="151"/>
      <c r="AP15" s="159" t="str">
        <f>IF(Roster!$AI$3=0,"",Roster!$AI$3)</f>
        <v/>
      </c>
      <c r="AQ15" s="151"/>
      <c r="AR15" s="159" t="str">
        <f>IF(Roster!$AC$3=0,"",Roster!$AC$3)</f>
        <v/>
      </c>
      <c r="AS15" s="157"/>
      <c r="AU15" s="290"/>
      <c r="AV15" s="151"/>
      <c r="AW15" s="159" t="str">
        <f>IF(Roster!$AD$4=0,"",Roster!$AD$4)</f>
        <v/>
      </c>
      <c r="AX15" s="151"/>
      <c r="AY15" s="159">
        <f>IF((SUM(BA15,BC15,BE15))=0,"",(SUM(BA15,BC15,BE15)))</f>
        <v>3</v>
      </c>
      <c r="AZ15" s="151"/>
      <c r="BA15" s="159">
        <f>IF(Roster!$AG$4=0,"",Roster!$AG$4)</f>
        <v>3</v>
      </c>
      <c r="BB15" s="151"/>
      <c r="BC15" s="159" t="str">
        <f>IF(Roster!$AH$4=0,"",Roster!$AH$4)</f>
        <v/>
      </c>
      <c r="BD15" s="151"/>
      <c r="BE15" s="159" t="str">
        <f>IF(Roster!$AI$4=0,"",Roster!$AI$4)</f>
        <v/>
      </c>
      <c r="BF15" s="151"/>
      <c r="BG15" s="159" t="str">
        <f>IF(Roster!$AC$4=0,"",Roster!$AC$4)</f>
        <v/>
      </c>
      <c r="BH15" s="157"/>
    </row>
    <row r="16" spans="2:60" ht="4.5" customHeight="1" x14ac:dyDescent="0.2">
      <c r="B16" s="290"/>
      <c r="C16" s="151"/>
      <c r="D16" s="500"/>
      <c r="E16" s="501"/>
      <c r="F16" s="291"/>
      <c r="G16" s="151"/>
      <c r="H16" s="500"/>
      <c r="I16" s="501"/>
      <c r="J16" s="291"/>
      <c r="K16" s="151"/>
      <c r="L16" s="500"/>
      <c r="M16" s="501"/>
      <c r="N16" s="291"/>
      <c r="O16" s="157"/>
      <c r="Q16" s="452"/>
      <c r="R16" s="151"/>
      <c r="S16" s="160"/>
      <c r="T16" s="151"/>
      <c r="U16" s="160"/>
      <c r="V16" s="151"/>
      <c r="W16" s="160"/>
      <c r="X16" s="151"/>
      <c r="Y16" s="160"/>
      <c r="Z16" s="151"/>
      <c r="AA16" s="160"/>
      <c r="AB16" s="151"/>
      <c r="AC16" s="160"/>
      <c r="AD16" s="157"/>
      <c r="AF16" s="452"/>
      <c r="AG16" s="151"/>
      <c r="AH16" s="160"/>
      <c r="AI16" s="151"/>
      <c r="AJ16" s="160"/>
      <c r="AK16" s="151"/>
      <c r="AL16" s="160"/>
      <c r="AM16" s="151"/>
      <c r="AN16" s="160"/>
      <c r="AO16" s="151"/>
      <c r="AP16" s="160"/>
      <c r="AQ16" s="151"/>
      <c r="AR16" s="160"/>
      <c r="AS16" s="157"/>
      <c r="AU16" s="452"/>
      <c r="AV16" s="151"/>
      <c r="AW16" s="160"/>
      <c r="AX16" s="151"/>
      <c r="AY16" s="160"/>
      <c r="AZ16" s="151"/>
      <c r="BA16" s="160"/>
      <c r="BB16" s="151"/>
      <c r="BC16" s="160"/>
      <c r="BD16" s="151"/>
      <c r="BE16" s="160"/>
      <c r="BF16" s="151"/>
      <c r="BG16" s="160"/>
      <c r="BH16" s="157"/>
    </row>
    <row r="17" spans="2:60" ht="11.25" customHeight="1" x14ac:dyDescent="0.2">
      <c r="B17" s="290"/>
      <c r="C17" s="150"/>
      <c r="D17" s="481" t="str">
        <f>IF(Roster!$S$26=0,"",Roster!$S$26)</f>
        <v>SPECIAL CARD</v>
      </c>
      <c r="E17" s="303"/>
      <c r="F17" s="304"/>
      <c r="G17" s="150"/>
      <c r="H17" s="491" t="str">
        <f>IF(Roster!$AE$26=0,"",Roster!$AE$26)</f>
        <v>(IN)FAMOUS COACHES</v>
      </c>
      <c r="I17" s="303"/>
      <c r="J17" s="304"/>
      <c r="K17" s="150"/>
      <c r="L17" s="491" t="str">
        <f>IF(Roster!$AE$27=0,"",Roster!$AE$27)</f>
        <v>(IN)FAMOUS COACHES</v>
      </c>
      <c r="M17" s="303"/>
      <c r="N17" s="304"/>
      <c r="O17" s="146"/>
      <c r="Q17" s="150" t="str">
        <f>IF(Roster!$O$1=0,"",Roster!$O$1)</f>
        <v>AV</v>
      </c>
      <c r="R17" s="150"/>
      <c r="S17" s="158" t="str">
        <f>IF(Roster!$AE$1=0,"",Roster!$AE$1)</f>
        <v>DEF</v>
      </c>
      <c r="T17" s="150"/>
      <c r="U17" s="158" t="str">
        <f>IF(Roster!$AF$1=0,"",Roster!$AF$1)</f>
        <v>INT</v>
      </c>
      <c r="V17" s="150"/>
      <c r="W17" s="158" t="str">
        <f>IF(Roster!$AB$1=0,"",Roster!$AB$1)</f>
        <v>SPE</v>
      </c>
      <c r="X17" s="150"/>
      <c r="Y17" s="158" t="str">
        <f>IF(Roster!$AJ$1=0,"",Roster!$AJ$1)</f>
        <v>MVP</v>
      </c>
      <c r="Z17" s="150"/>
      <c r="AA17" s="204" t="s">
        <v>257</v>
      </c>
      <c r="AB17" s="150"/>
      <c r="AC17" s="205" t="str">
        <f>IF(Roster!$K$25="Español","LPP/RT",(IF(Roster!$K$25="Deutsch","VNS/AD",(IF(Roster!$K$25="Français","RPM/RT","MNG/TR")))))</f>
        <v>MNG/TR</v>
      </c>
      <c r="AD17" s="146"/>
      <c r="AF17" s="150" t="str">
        <f>IF(Roster!$O$1=0,"",Roster!$O$1)</f>
        <v>AV</v>
      </c>
      <c r="AG17" s="150"/>
      <c r="AH17" s="158" t="str">
        <f>IF(Roster!$AE$1=0,"",Roster!$AE$1)</f>
        <v>DEF</v>
      </c>
      <c r="AI17" s="150"/>
      <c r="AJ17" s="158" t="str">
        <f>IF(Roster!$AF$1=0,"",Roster!$AF$1)</f>
        <v>INT</v>
      </c>
      <c r="AK17" s="150"/>
      <c r="AL17" s="158" t="str">
        <f>IF(Roster!$AB$1=0,"",Roster!$AB$1)</f>
        <v>SPE</v>
      </c>
      <c r="AM17" s="150"/>
      <c r="AN17" s="158" t="str">
        <f>IF(Roster!$AJ$1=0,"",Roster!$AJ$1)</f>
        <v>MVP</v>
      </c>
      <c r="AO17" s="150"/>
      <c r="AP17" s="204" t="s">
        <v>257</v>
      </c>
      <c r="AQ17" s="150"/>
      <c r="AR17" s="205" t="str">
        <f>IF(Roster!$K$25="Español","LPP/RT",(IF(Roster!$K$25="Deutsch","VNS/AD",(IF(Roster!$K$25="Français","RPM/RT","MNG/TR")))))</f>
        <v>MNG/TR</v>
      </c>
      <c r="AS17" s="146"/>
      <c r="AU17" s="150" t="str">
        <f>IF(Roster!$O$1=0,"",Roster!$O$1)</f>
        <v>AV</v>
      </c>
      <c r="AV17" s="150"/>
      <c r="AW17" s="158" t="str">
        <f>IF(Roster!$AE$1=0,"",Roster!$AE$1)</f>
        <v>DEF</v>
      </c>
      <c r="AX17" s="150"/>
      <c r="AY17" s="158" t="str">
        <f>IF(Roster!$AF$1=0,"",Roster!$AF$1)</f>
        <v>INT</v>
      </c>
      <c r="AZ17" s="150"/>
      <c r="BA17" s="158" t="str">
        <f>IF(Roster!$AB$1=0,"",Roster!$AB$1)</f>
        <v>SPE</v>
      </c>
      <c r="BB17" s="150"/>
      <c r="BC17" s="158" t="str">
        <f>IF(Roster!$AJ$1=0,"",Roster!$AJ$1)</f>
        <v>MVP</v>
      </c>
      <c r="BD17" s="150"/>
      <c r="BE17" s="204" t="s">
        <v>257</v>
      </c>
      <c r="BF17" s="150"/>
      <c r="BG17" s="205" t="str">
        <f>IF(Roster!$K$25="Español","LPP/RT",(IF(Roster!$K$25="Deutsch","VNS/AD",(IF(Roster!$K$25="Français","RPM/RT","MNG/TR")))))</f>
        <v>MNG/TR</v>
      </c>
      <c r="BH17" s="146"/>
    </row>
    <row r="18" spans="2:60" ht="15" customHeight="1" x14ac:dyDescent="0.2">
      <c r="B18" s="290"/>
      <c r="C18" s="151"/>
      <c r="D18" s="495">
        <f>Roster!$X$26</f>
        <v>0</v>
      </c>
      <c r="E18" s="496"/>
      <c r="F18" s="497"/>
      <c r="G18" s="151"/>
      <c r="H18" s="495">
        <f>Roster!$AJ$26</f>
        <v>0</v>
      </c>
      <c r="I18" s="496"/>
      <c r="J18" s="497"/>
      <c r="K18" s="151"/>
      <c r="L18" s="495">
        <f>Roster!$AJ$27</f>
        <v>0</v>
      </c>
      <c r="M18" s="496"/>
      <c r="N18" s="497"/>
      <c r="O18" s="161"/>
      <c r="Q18" s="474" t="str">
        <f>IF(Roster!$O$2=0&amp;"+","",Roster!$O$2)</f>
        <v/>
      </c>
      <c r="R18" s="151"/>
      <c r="S18" s="159" t="str">
        <f>IF(Roster!$AE$2=0,"",Roster!$AE$2)</f>
        <v/>
      </c>
      <c r="T18" s="151"/>
      <c r="U18" s="159" t="str">
        <f>IF(Roster!$AF$2=0,"",Roster!$AF$2)</f>
        <v/>
      </c>
      <c r="V18" s="151"/>
      <c r="W18" s="159" t="str">
        <f>IF(Roster!$AB$2=0,"",Roster!$AB$2)</f>
        <v/>
      </c>
      <c r="X18" s="151"/>
      <c r="Y18" s="159" t="str">
        <f>IF(Roster!$AJ$2=0,"",Roster!$AJ$2)</f>
        <v/>
      </c>
      <c r="Z18" s="151"/>
      <c r="AA18" s="159" t="str">
        <f>IF(Roster!$AK$2=0,"",Roster!$AK$2)</f>
        <v/>
      </c>
      <c r="AB18" s="151"/>
      <c r="AC18" s="159" t="str">
        <f>IF(Roster!$AA$2=0,"",Roster!$AA$2)</f>
        <v/>
      </c>
      <c r="AD18" s="161"/>
      <c r="AF18" s="474" t="str">
        <f>IF(Roster!$O$3=0&amp;"+","",Roster!$O$3)</f>
        <v>10+</v>
      </c>
      <c r="AG18" s="151"/>
      <c r="AH18" s="159" t="str">
        <f>IF(Roster!$AE$3=0,"",Roster!$AE$3)</f>
        <v/>
      </c>
      <c r="AI18" s="151"/>
      <c r="AJ18" s="159" t="str">
        <f>IF(Roster!$AF$3=0,"",Roster!$AF$3)</f>
        <v/>
      </c>
      <c r="AK18" s="151"/>
      <c r="AL18" s="159" t="str">
        <f>IF(Roster!$AB$3=0,"",Roster!$AB$3)</f>
        <v/>
      </c>
      <c r="AM18" s="151"/>
      <c r="AN18" s="159">
        <f>IF(Roster!$AJ$3=0,"",Roster!$AJ$3)</f>
        <v>1</v>
      </c>
      <c r="AO18" s="151"/>
      <c r="AP18" s="159">
        <f>IF(Roster!$AK$3=0,"",Roster!$AK$3)</f>
        <v>6</v>
      </c>
      <c r="AQ18" s="151"/>
      <c r="AR18" s="159" t="str">
        <f>IF(Roster!$AA$3=0,"",Roster!$AA$3)</f>
        <v/>
      </c>
      <c r="AS18" s="161"/>
      <c r="AU18" s="474" t="str">
        <f>IF(Roster!$O$4=0&amp;"+","",Roster!$O$4)</f>
        <v>10+</v>
      </c>
      <c r="AV18" s="151"/>
      <c r="AW18" s="159" t="str">
        <f>IF(Roster!$AE$4=0,"",Roster!$AE$4)</f>
        <v/>
      </c>
      <c r="AX18" s="151"/>
      <c r="AY18" s="159" t="str">
        <f>IF(Roster!$AF$4=0,"",Roster!$AF$4)</f>
        <v/>
      </c>
      <c r="AZ18" s="151"/>
      <c r="BA18" s="159" t="str">
        <f>IF(Roster!$AB$4=0,"",Roster!$AB$4)</f>
        <v/>
      </c>
      <c r="BB18" s="151"/>
      <c r="BC18" s="159">
        <f>IF(Roster!$AJ$4=0,"",Roster!$AJ$4)</f>
        <v>1</v>
      </c>
      <c r="BD18" s="151"/>
      <c r="BE18" s="159">
        <f>IF(Roster!$AK$4=0,"",Roster!$AK$4)</f>
        <v>10</v>
      </c>
      <c r="BF18" s="151"/>
      <c r="BG18" s="159" t="str">
        <f>IF(Roster!$AA$4=0,"",Roster!$AA$4)</f>
        <v/>
      </c>
      <c r="BH18" s="161"/>
    </row>
    <row r="19" spans="2:60" ht="4.5" customHeight="1" x14ac:dyDescent="0.2">
      <c r="B19" s="290"/>
      <c r="C19" s="151"/>
      <c r="D19" s="498"/>
      <c r="E19" s="385"/>
      <c r="F19" s="499"/>
      <c r="G19" s="151"/>
      <c r="H19" s="498"/>
      <c r="I19" s="385"/>
      <c r="J19" s="499"/>
      <c r="K19" s="151"/>
      <c r="L19" s="498"/>
      <c r="M19" s="385"/>
      <c r="N19" s="499"/>
      <c r="O19" s="161"/>
      <c r="Q19" s="290"/>
      <c r="R19" s="151"/>
      <c r="S19" s="151"/>
      <c r="T19" s="151"/>
      <c r="U19" s="151"/>
      <c r="V19" s="151"/>
      <c r="W19" s="151"/>
      <c r="X19" s="151"/>
      <c r="Y19" s="151"/>
      <c r="Z19" s="151"/>
      <c r="AA19" s="151"/>
      <c r="AB19" s="151"/>
      <c r="AC19" s="157"/>
      <c r="AD19" s="161"/>
      <c r="AF19" s="290"/>
      <c r="AG19" s="151"/>
      <c r="AH19" s="151"/>
      <c r="AI19" s="151"/>
      <c r="AJ19" s="151"/>
      <c r="AK19" s="151"/>
      <c r="AL19" s="151"/>
      <c r="AM19" s="151"/>
      <c r="AN19" s="151"/>
      <c r="AO19" s="151"/>
      <c r="AP19" s="151"/>
      <c r="AQ19" s="151"/>
      <c r="AR19" s="157"/>
      <c r="AS19" s="161"/>
      <c r="AU19" s="290"/>
      <c r="AV19" s="151"/>
      <c r="AW19" s="151"/>
      <c r="AX19" s="151"/>
      <c r="AY19" s="151"/>
      <c r="AZ19" s="151"/>
      <c r="BA19" s="151"/>
      <c r="BB19" s="151"/>
      <c r="BC19" s="151"/>
      <c r="BD19" s="151"/>
      <c r="BE19" s="151"/>
      <c r="BF19" s="151"/>
      <c r="BG19" s="157"/>
      <c r="BH19" s="161"/>
    </row>
    <row r="20" spans="2:60" ht="11.25" customHeight="1" x14ac:dyDescent="0.2">
      <c r="B20" s="290"/>
      <c r="C20" s="151"/>
      <c r="D20" s="498"/>
      <c r="E20" s="385"/>
      <c r="F20" s="499"/>
      <c r="G20" s="155"/>
      <c r="H20" s="498"/>
      <c r="I20" s="385"/>
      <c r="J20" s="499"/>
      <c r="K20" s="155"/>
      <c r="L20" s="498"/>
      <c r="M20" s="385"/>
      <c r="N20" s="499"/>
      <c r="O20" s="161"/>
      <c r="Q20" s="290"/>
      <c r="R20" s="151"/>
      <c r="S20" s="475" t="str">
        <f>IF(Roster!$K$25="Italiano","ABILITÀ &amp; TRATTI",(IF(Roster!$K$25="Español","HABILIDADES Y RASGOS","SKILLS &amp; TRAITS")))</f>
        <v>SKILLS &amp; TRAITS</v>
      </c>
      <c r="T20" s="303"/>
      <c r="U20" s="303"/>
      <c r="V20" s="303"/>
      <c r="W20" s="303"/>
      <c r="X20" s="303"/>
      <c r="Y20" s="303"/>
      <c r="Z20" s="303"/>
      <c r="AA20" s="303"/>
      <c r="AB20" s="303"/>
      <c r="AC20" s="304"/>
      <c r="AD20" s="161"/>
      <c r="AF20" s="290"/>
      <c r="AG20" s="151"/>
      <c r="AH20" s="475" t="str">
        <f>IF(Roster!$K$25="Italiano","ABILITÀ &amp; TRATTI",(IF(Roster!$K$25="Español","HABILIDADES Y RASGOS","SKILLS &amp; TRAITS")))</f>
        <v>SKILLS &amp; TRAITS</v>
      </c>
      <c r="AI20" s="303"/>
      <c r="AJ20" s="303"/>
      <c r="AK20" s="303"/>
      <c r="AL20" s="303"/>
      <c r="AM20" s="303"/>
      <c r="AN20" s="303"/>
      <c r="AO20" s="303"/>
      <c r="AP20" s="303"/>
      <c r="AQ20" s="303"/>
      <c r="AR20" s="304"/>
      <c r="AS20" s="161"/>
      <c r="AU20" s="290"/>
      <c r="AV20" s="151"/>
      <c r="AW20" s="475" t="str">
        <f>IF(Roster!$K$25="Italiano","ABILITÀ &amp; TRATTI",(IF(Roster!$K$25="Español","HABILIDADES Y RASGOS","SKILLS &amp; TRAITS")))</f>
        <v>SKILLS &amp; TRAITS</v>
      </c>
      <c r="AX20" s="303"/>
      <c r="AY20" s="303"/>
      <c r="AZ20" s="303"/>
      <c r="BA20" s="303"/>
      <c r="BB20" s="303"/>
      <c r="BC20" s="303"/>
      <c r="BD20" s="303"/>
      <c r="BE20" s="303"/>
      <c r="BF20" s="303"/>
      <c r="BG20" s="304"/>
      <c r="BH20" s="161"/>
    </row>
    <row r="21" spans="2:60" ht="6.75" customHeight="1" x14ac:dyDescent="0.2">
      <c r="B21" s="290"/>
      <c r="C21" s="151"/>
      <c r="D21" s="500"/>
      <c r="E21" s="501"/>
      <c r="F21" s="291"/>
      <c r="G21" s="162"/>
      <c r="H21" s="500"/>
      <c r="I21" s="501"/>
      <c r="J21" s="291"/>
      <c r="K21" s="162"/>
      <c r="L21" s="500"/>
      <c r="M21" s="501"/>
      <c r="N21" s="291"/>
      <c r="O21" s="161"/>
      <c r="Q21" s="452"/>
      <c r="R21" s="151"/>
      <c r="S21" s="482" t="str">
        <f>IF(Roster!$P$2=0&amp;BF2,"",Roster!$P$2)</f>
        <v/>
      </c>
      <c r="T21" s="483"/>
      <c r="U21" s="483"/>
      <c r="V21" s="483"/>
      <c r="W21" s="483"/>
      <c r="X21" s="483"/>
      <c r="Y21" s="483"/>
      <c r="Z21" s="483"/>
      <c r="AA21" s="483"/>
      <c r="AB21" s="483"/>
      <c r="AC21" s="484"/>
      <c r="AD21" s="161"/>
      <c r="AF21" s="452"/>
      <c r="AG21" s="151"/>
      <c r="AH21" s="482" t="str">
        <f>IF(Roster!$P$3=0&amp;BF3,"",Roster!$P$3)</f>
        <v>Bone Head, Mighty Blow (+1), Thick Skull, Throw Team-mate, Stand Firm</v>
      </c>
      <c r="AI21" s="483"/>
      <c r="AJ21" s="483"/>
      <c r="AK21" s="483"/>
      <c r="AL21" s="483"/>
      <c r="AM21" s="483"/>
      <c r="AN21" s="483"/>
      <c r="AO21" s="483"/>
      <c r="AP21" s="483"/>
      <c r="AQ21" s="483"/>
      <c r="AR21" s="484"/>
      <c r="AS21" s="161"/>
      <c r="AU21" s="452"/>
      <c r="AV21" s="151"/>
      <c r="AW21" s="482" t="str">
        <f>IF(Roster!$P$4=0&amp;BF4,"",Roster!$P$4)</f>
        <v>Bone Head, Mighty Blow (+1), Thick Skull, Throw Team-mate, Pile Diver, Guard</v>
      </c>
      <c r="AX21" s="483"/>
      <c r="AY21" s="483"/>
      <c r="AZ21" s="483"/>
      <c r="BA21" s="483"/>
      <c r="BB21" s="483"/>
      <c r="BC21" s="483"/>
      <c r="BD21" s="483"/>
      <c r="BE21" s="483"/>
      <c r="BF21" s="483"/>
      <c r="BG21" s="484"/>
      <c r="BH21" s="161"/>
    </row>
    <row r="22" spans="2:60" ht="11.25" customHeight="1" x14ac:dyDescent="0.2">
      <c r="B22" s="290"/>
      <c r="C22" s="148"/>
      <c r="D22" s="491" t="str">
        <f>IF(Roster!$AE$28=0,"",Roster!$AE$28)</f>
        <v>BIASED REFEREE</v>
      </c>
      <c r="E22" s="303"/>
      <c r="F22" s="304"/>
      <c r="G22" s="162"/>
      <c r="H22" s="491" t="str">
        <f>IF(Roster!$AE$29=0,"",Roster!$AE$29)</f>
        <v>OTHER INDUCEMENTS</v>
      </c>
      <c r="I22" s="303"/>
      <c r="J22" s="304"/>
      <c r="K22" s="162"/>
      <c r="L22" s="481" t="str">
        <f>IF(Roster!$AE$31=0,"",Roster!$AE$31)</f>
        <v>WANDERING APO</v>
      </c>
      <c r="M22" s="303"/>
      <c r="N22" s="304"/>
      <c r="O22" s="162"/>
      <c r="Q22" s="150" t="str">
        <f>IF(Roster!$AO$1=0,"",Roster!$AO$1)</f>
        <v>COST</v>
      </c>
      <c r="R22" s="150"/>
      <c r="S22" s="485"/>
      <c r="T22" s="486"/>
      <c r="U22" s="486"/>
      <c r="V22" s="486"/>
      <c r="W22" s="486"/>
      <c r="X22" s="486"/>
      <c r="Y22" s="486"/>
      <c r="Z22" s="486"/>
      <c r="AA22" s="486"/>
      <c r="AB22" s="486"/>
      <c r="AC22" s="487"/>
      <c r="AD22" s="162"/>
      <c r="AF22" s="150" t="str">
        <f>IF(Roster!$AO$1=0,"",Roster!$AO$1)</f>
        <v>COST</v>
      </c>
      <c r="AG22" s="150"/>
      <c r="AH22" s="485"/>
      <c r="AI22" s="486"/>
      <c r="AJ22" s="486"/>
      <c r="AK22" s="486"/>
      <c r="AL22" s="486"/>
      <c r="AM22" s="486"/>
      <c r="AN22" s="486"/>
      <c r="AO22" s="486"/>
      <c r="AP22" s="486"/>
      <c r="AQ22" s="486"/>
      <c r="AR22" s="487"/>
      <c r="AS22" s="162"/>
      <c r="AU22" s="150" t="str">
        <f>IF(Roster!$AO$1=0,"",Roster!$AO$1)</f>
        <v>COST</v>
      </c>
      <c r="AV22" s="150"/>
      <c r="AW22" s="485"/>
      <c r="AX22" s="486"/>
      <c r="AY22" s="486"/>
      <c r="AZ22" s="486"/>
      <c r="BA22" s="486"/>
      <c r="BB22" s="486"/>
      <c r="BC22" s="486"/>
      <c r="BD22" s="486"/>
      <c r="BE22" s="486"/>
      <c r="BF22" s="486"/>
      <c r="BG22" s="487"/>
      <c r="BH22" s="162"/>
    </row>
    <row r="23" spans="2:60" ht="34.5" customHeight="1" x14ac:dyDescent="0.2">
      <c r="B23" s="452"/>
      <c r="C23" s="163"/>
      <c r="D23" s="479">
        <f>Roster!$AJ$28</f>
        <v>0</v>
      </c>
      <c r="E23" s="303"/>
      <c r="F23" s="304"/>
      <c r="G23" s="162"/>
      <c r="H23" s="479">
        <f>Roster!$AJ$29</f>
        <v>0</v>
      </c>
      <c r="I23" s="303"/>
      <c r="J23" s="304"/>
      <c r="K23" s="162"/>
      <c r="L23" s="479">
        <f>Roster!$AJ$31</f>
        <v>0</v>
      </c>
      <c r="M23" s="303"/>
      <c r="N23" s="304"/>
      <c r="O23" s="162"/>
      <c r="Q23" s="164" t="str">
        <f>IF(Roster!$AO$2=0,"",Roster!$AO$2)</f>
        <v/>
      </c>
      <c r="R23" s="165"/>
      <c r="S23" s="488"/>
      <c r="T23" s="489"/>
      <c r="U23" s="489"/>
      <c r="V23" s="489"/>
      <c r="W23" s="489"/>
      <c r="X23" s="489"/>
      <c r="Y23" s="489"/>
      <c r="Z23" s="489"/>
      <c r="AA23" s="489"/>
      <c r="AB23" s="489"/>
      <c r="AC23" s="490"/>
      <c r="AD23" s="162"/>
      <c r="AF23" s="164">
        <f>IF(Roster!$AO$3=0,"",Roster!$AO$3)</f>
        <v>150000</v>
      </c>
      <c r="AG23" s="165"/>
      <c r="AH23" s="488"/>
      <c r="AI23" s="489"/>
      <c r="AJ23" s="489"/>
      <c r="AK23" s="489"/>
      <c r="AL23" s="489"/>
      <c r="AM23" s="489"/>
      <c r="AN23" s="489"/>
      <c r="AO23" s="489"/>
      <c r="AP23" s="489"/>
      <c r="AQ23" s="489"/>
      <c r="AR23" s="490"/>
      <c r="AS23" s="162"/>
      <c r="AU23" s="164">
        <f>IF(Roster!$AO$4=0,"",Roster!$AO$4)</f>
        <v>160000</v>
      </c>
      <c r="AV23" s="165"/>
      <c r="AW23" s="488"/>
      <c r="AX23" s="489"/>
      <c r="AY23" s="489"/>
      <c r="AZ23" s="489"/>
      <c r="BA23" s="489"/>
      <c r="BB23" s="489"/>
      <c r="BC23" s="489"/>
      <c r="BD23" s="489"/>
      <c r="BE23" s="489"/>
      <c r="BF23" s="489"/>
      <c r="BG23" s="490"/>
      <c r="BH23" s="162"/>
    </row>
    <row r="24" spans="2:60" ht="4.5" customHeight="1" x14ac:dyDescent="0.2">
      <c r="B24" s="502"/>
      <c r="C24" s="303"/>
      <c r="D24" s="303"/>
      <c r="E24" s="303"/>
      <c r="F24" s="303"/>
      <c r="G24" s="303"/>
      <c r="H24" s="303"/>
      <c r="I24" s="303"/>
      <c r="J24" s="303"/>
      <c r="K24" s="303"/>
      <c r="L24" s="303"/>
      <c r="M24" s="303"/>
      <c r="N24" s="304"/>
      <c r="O24" s="162"/>
      <c r="Q24" s="502"/>
      <c r="R24" s="303"/>
      <c r="S24" s="303"/>
      <c r="T24" s="303"/>
      <c r="U24" s="303"/>
      <c r="V24" s="303"/>
      <c r="W24" s="303"/>
      <c r="X24" s="303"/>
      <c r="Y24" s="303"/>
      <c r="Z24" s="303"/>
      <c r="AA24" s="303"/>
      <c r="AB24" s="303"/>
      <c r="AC24" s="304"/>
      <c r="AD24" s="162"/>
      <c r="AF24" s="502"/>
      <c r="AG24" s="303"/>
      <c r="AH24" s="303"/>
      <c r="AI24" s="303"/>
      <c r="AJ24" s="303"/>
      <c r="AK24" s="303"/>
      <c r="AL24" s="303"/>
      <c r="AM24" s="303"/>
      <c r="AN24" s="303"/>
      <c r="AO24" s="303"/>
      <c r="AP24" s="303"/>
      <c r="AQ24" s="303"/>
      <c r="AR24" s="304"/>
      <c r="AS24" s="162"/>
      <c r="AU24" s="146"/>
      <c r="AV24" s="146"/>
      <c r="AW24" s="146"/>
      <c r="AX24" s="146"/>
      <c r="AY24" s="146"/>
      <c r="AZ24" s="146"/>
      <c r="BA24" s="146"/>
      <c r="BB24" s="146"/>
      <c r="BC24" s="146"/>
      <c r="BD24" s="146"/>
      <c r="BE24" s="146"/>
      <c r="BF24" s="146"/>
      <c r="BG24" s="162"/>
      <c r="BH24" s="162"/>
    </row>
    <row r="25" spans="2:60" ht="11.25" customHeight="1" x14ac:dyDescent="0.2"/>
    <row r="26" spans="2:60" ht="4.5" customHeight="1" x14ac:dyDescent="0.2">
      <c r="B26" s="477" t="str">
        <f>IF(Roster!$A$5=0,"","#"&amp;Roster!$A$5)</f>
        <v>#4</v>
      </c>
      <c r="C26" s="146"/>
      <c r="D26" s="146"/>
      <c r="E26" s="146"/>
      <c r="F26" s="146"/>
      <c r="G26" s="146"/>
      <c r="H26" s="146"/>
      <c r="I26" s="146"/>
      <c r="J26" s="146"/>
      <c r="K26" s="146"/>
      <c r="L26" s="146"/>
      <c r="M26" s="146"/>
      <c r="N26" s="146"/>
      <c r="O26" s="146"/>
      <c r="Q26" s="477" t="str">
        <f>IF(Roster!$A$6=0,"","#"&amp;Roster!$A$6)</f>
        <v>#5</v>
      </c>
      <c r="R26" s="146"/>
      <c r="S26" s="146"/>
      <c r="T26" s="146"/>
      <c r="U26" s="146"/>
      <c r="V26" s="146"/>
      <c r="W26" s="146"/>
      <c r="X26" s="146"/>
      <c r="Y26" s="146"/>
      <c r="Z26" s="146"/>
      <c r="AA26" s="146"/>
      <c r="AB26" s="146"/>
      <c r="AC26" s="146"/>
      <c r="AD26" s="146"/>
      <c r="AF26" s="477" t="str">
        <f>IF(Roster!$A$7=0,"","#"&amp;Roster!$A$7)</f>
        <v>#6</v>
      </c>
      <c r="AG26" s="146"/>
      <c r="AH26" s="146"/>
      <c r="AI26" s="146"/>
      <c r="AJ26" s="146"/>
      <c r="AK26" s="146"/>
      <c r="AL26" s="146"/>
      <c r="AM26" s="146"/>
      <c r="AN26" s="146"/>
      <c r="AO26" s="146"/>
      <c r="AP26" s="146"/>
      <c r="AQ26" s="146"/>
      <c r="AR26" s="146"/>
      <c r="AS26" s="146"/>
      <c r="AU26" s="477" t="str">
        <f>IF(Roster!$A$8=0,"","#"&amp;Roster!$A$8)</f>
        <v>#7</v>
      </c>
      <c r="AV26" s="146"/>
      <c r="AW26" s="146"/>
      <c r="AX26" s="146"/>
      <c r="AY26" s="146"/>
      <c r="AZ26" s="146"/>
      <c r="BA26" s="146"/>
      <c r="BB26" s="146"/>
      <c r="BC26" s="146"/>
      <c r="BD26" s="146"/>
      <c r="BE26" s="146"/>
      <c r="BF26" s="146"/>
      <c r="BG26" s="146"/>
      <c r="BH26" s="146"/>
    </row>
    <row r="27" spans="2:60" ht="15" customHeight="1" x14ac:dyDescent="0.25">
      <c r="B27" s="290"/>
      <c r="C27" s="480" t="str">
        <f>IF(Roster!$B$5=0,"",Roster!$B$5)</f>
        <v>Ndonio</v>
      </c>
      <c r="D27" s="303"/>
      <c r="E27" s="303"/>
      <c r="F27" s="303"/>
      <c r="G27" s="303"/>
      <c r="H27" s="303"/>
      <c r="I27" s="303"/>
      <c r="J27" s="303"/>
      <c r="K27" s="303"/>
      <c r="L27" s="303"/>
      <c r="M27" s="303"/>
      <c r="N27" s="304"/>
      <c r="O27" s="146"/>
      <c r="Q27" s="290"/>
      <c r="R27" s="480" t="str">
        <f>IF(Roster!$B$6=0,"",Roster!$B$6)</f>
        <v>Naggitto</v>
      </c>
      <c r="S27" s="303"/>
      <c r="T27" s="303"/>
      <c r="U27" s="303"/>
      <c r="V27" s="303"/>
      <c r="W27" s="303"/>
      <c r="X27" s="303"/>
      <c r="Y27" s="303"/>
      <c r="Z27" s="303"/>
      <c r="AA27" s="303"/>
      <c r="AB27" s="303"/>
      <c r="AC27" s="304"/>
      <c r="AD27" s="146"/>
      <c r="AF27" s="290"/>
      <c r="AG27" s="480" t="str">
        <f>IF(Roster!$B$7=0,"",Roster!$B$7)</f>
        <v>Iasso</v>
      </c>
      <c r="AH27" s="303"/>
      <c r="AI27" s="303"/>
      <c r="AJ27" s="303"/>
      <c r="AK27" s="303"/>
      <c r="AL27" s="303"/>
      <c r="AM27" s="303"/>
      <c r="AN27" s="303"/>
      <c r="AO27" s="303"/>
      <c r="AP27" s="303"/>
      <c r="AQ27" s="303"/>
      <c r="AR27" s="304"/>
      <c r="AS27" s="146"/>
      <c r="AU27" s="290"/>
      <c r="AV27" s="480" t="str">
        <f>IF(Roster!$B$8=0,"",Roster!$B$8)</f>
        <v>Aitano</v>
      </c>
      <c r="AW27" s="303"/>
      <c r="AX27" s="303"/>
      <c r="AY27" s="303"/>
      <c r="AZ27" s="303"/>
      <c r="BA27" s="303"/>
      <c r="BB27" s="303"/>
      <c r="BC27" s="303"/>
      <c r="BD27" s="303"/>
      <c r="BE27" s="303"/>
      <c r="BF27" s="303"/>
      <c r="BG27" s="304"/>
      <c r="BH27" s="146"/>
    </row>
    <row r="28" spans="2:60" ht="11.25" customHeight="1" x14ac:dyDescent="0.2">
      <c r="B28" s="452"/>
      <c r="C28" s="481" t="str">
        <f>IF(Roster!$D$5=0,"",Roster!$D$5)</f>
        <v xml:space="preserve">Ogre </v>
      </c>
      <c r="D28" s="303"/>
      <c r="E28" s="303"/>
      <c r="F28" s="303"/>
      <c r="G28" s="303"/>
      <c r="H28" s="303"/>
      <c r="I28" s="303"/>
      <c r="J28" s="303"/>
      <c r="K28" s="303"/>
      <c r="L28" s="303"/>
      <c r="M28" s="303"/>
      <c r="N28" s="304"/>
      <c r="O28" s="147"/>
      <c r="Q28" s="452"/>
      <c r="R28" s="481" t="str">
        <f>IF(Roster!$D$6=0,"",Roster!$D$6)</f>
        <v xml:space="preserve">Ogre </v>
      </c>
      <c r="S28" s="303"/>
      <c r="T28" s="303"/>
      <c r="U28" s="303"/>
      <c r="V28" s="303"/>
      <c r="W28" s="303"/>
      <c r="X28" s="303"/>
      <c r="Y28" s="303"/>
      <c r="Z28" s="303"/>
      <c r="AA28" s="303"/>
      <c r="AB28" s="303"/>
      <c r="AC28" s="304"/>
      <c r="AD28" s="147"/>
      <c r="AF28" s="452"/>
      <c r="AG28" s="481" t="str">
        <f>IF(Roster!$D$7=0,"",Roster!$D$7)</f>
        <v xml:space="preserve">Ogre </v>
      </c>
      <c r="AH28" s="303"/>
      <c r="AI28" s="303"/>
      <c r="AJ28" s="303"/>
      <c r="AK28" s="303"/>
      <c r="AL28" s="303"/>
      <c r="AM28" s="303"/>
      <c r="AN28" s="303"/>
      <c r="AO28" s="303"/>
      <c r="AP28" s="303"/>
      <c r="AQ28" s="303"/>
      <c r="AR28" s="304"/>
      <c r="AS28" s="147"/>
      <c r="AU28" s="452"/>
      <c r="AV28" s="481" t="str">
        <f>IF(Roster!$D$8=0,"",Roster!$D$8)</f>
        <v>Gnoblar</v>
      </c>
      <c r="AW28" s="303"/>
      <c r="AX28" s="303"/>
      <c r="AY28" s="303"/>
      <c r="AZ28" s="303"/>
      <c r="BA28" s="303"/>
      <c r="BB28" s="303"/>
      <c r="BC28" s="303"/>
      <c r="BD28" s="303"/>
      <c r="BE28" s="303"/>
      <c r="BF28" s="303"/>
      <c r="BG28" s="304"/>
      <c r="BH28" s="147"/>
    </row>
    <row r="29" spans="2:60" ht="11.25" customHeight="1" x14ac:dyDescent="0.2">
      <c r="B29" s="150" t="str">
        <f>IF(Roster!$K$1=0,"",Roster!$K$1)</f>
        <v>MA</v>
      </c>
      <c r="C29" s="149"/>
      <c r="D29" s="492"/>
      <c r="E29" s="492"/>
      <c r="F29" s="492"/>
      <c r="G29" s="492"/>
      <c r="H29" s="492"/>
      <c r="I29" s="492"/>
      <c r="J29" s="492"/>
      <c r="K29" s="492"/>
      <c r="L29" s="492"/>
      <c r="M29" s="492"/>
      <c r="N29" s="492"/>
      <c r="O29" s="146"/>
      <c r="Q29" s="150" t="str">
        <f>IF(Roster!$K$1=0,"",Roster!$K$1)</f>
        <v>MA</v>
      </c>
      <c r="R29" s="149"/>
      <c r="S29" s="492"/>
      <c r="T29" s="492"/>
      <c r="U29" s="492"/>
      <c r="V29" s="492"/>
      <c r="W29" s="492"/>
      <c r="X29" s="492"/>
      <c r="Y29" s="492"/>
      <c r="Z29" s="492"/>
      <c r="AA29" s="492"/>
      <c r="AB29" s="492"/>
      <c r="AC29" s="492"/>
      <c r="AD29" s="146"/>
      <c r="AF29" s="150" t="str">
        <f>IF(Roster!$K$1=0,"",Roster!$K$1)</f>
        <v>MA</v>
      </c>
      <c r="AG29" s="149"/>
      <c r="AH29" s="492"/>
      <c r="AI29" s="492"/>
      <c r="AJ29" s="492"/>
      <c r="AK29" s="492"/>
      <c r="AL29" s="492"/>
      <c r="AM29" s="492"/>
      <c r="AN29" s="492"/>
      <c r="AO29" s="492"/>
      <c r="AP29" s="492"/>
      <c r="AQ29" s="492"/>
      <c r="AR29" s="492"/>
      <c r="AS29" s="146"/>
      <c r="AU29" s="150" t="str">
        <f>IF(Roster!$K$1=0,"",Roster!$K$1)</f>
        <v>MA</v>
      </c>
      <c r="AV29" s="149"/>
      <c r="AW29" s="492"/>
      <c r="AX29" s="492"/>
      <c r="AY29" s="492"/>
      <c r="AZ29" s="492"/>
      <c r="BA29" s="492"/>
      <c r="BB29" s="492"/>
      <c r="BC29" s="492"/>
      <c r="BD29" s="492"/>
      <c r="BE29" s="492"/>
      <c r="BF29" s="492"/>
      <c r="BG29" s="492"/>
      <c r="BH29" s="146"/>
    </row>
    <row r="30" spans="2:60" ht="37.5" customHeight="1" x14ac:dyDescent="0.2">
      <c r="B30" s="152">
        <f>IF(Roster!$K$5=0,"",Roster!$K$5)</f>
        <v>5</v>
      </c>
      <c r="C30" s="149"/>
      <c r="D30" s="492"/>
      <c r="E30" s="492"/>
      <c r="F30" s="492"/>
      <c r="G30" s="492"/>
      <c r="H30" s="492"/>
      <c r="I30" s="492"/>
      <c r="J30" s="492"/>
      <c r="K30" s="492"/>
      <c r="L30" s="492"/>
      <c r="M30" s="492"/>
      <c r="N30" s="492"/>
      <c r="O30" s="146"/>
      <c r="Q30" s="152">
        <f>IF(Roster!$K$6=0,"",Roster!$K$6)</f>
        <v>5</v>
      </c>
      <c r="R30" s="149"/>
      <c r="S30" s="492"/>
      <c r="T30" s="492"/>
      <c r="U30" s="492"/>
      <c r="V30" s="492"/>
      <c r="W30" s="492"/>
      <c r="X30" s="492"/>
      <c r="Y30" s="492"/>
      <c r="Z30" s="492"/>
      <c r="AA30" s="492"/>
      <c r="AB30" s="492"/>
      <c r="AC30" s="492"/>
      <c r="AD30" s="146"/>
      <c r="AF30" s="152">
        <f>IF(Roster!$K$7=0,"",Roster!$K$7)</f>
        <v>5</v>
      </c>
      <c r="AG30" s="149"/>
      <c r="AH30" s="492"/>
      <c r="AI30" s="492"/>
      <c r="AJ30" s="492"/>
      <c r="AK30" s="492"/>
      <c r="AL30" s="492"/>
      <c r="AM30" s="492"/>
      <c r="AN30" s="492"/>
      <c r="AO30" s="492"/>
      <c r="AP30" s="492"/>
      <c r="AQ30" s="492"/>
      <c r="AR30" s="492"/>
      <c r="AS30" s="146"/>
      <c r="AU30" s="152">
        <f>IF(Roster!$K$8=0,"",Roster!$K$8)</f>
        <v>5</v>
      </c>
      <c r="AV30" s="149"/>
      <c r="AW30" s="492"/>
      <c r="AX30" s="492"/>
      <c r="AY30" s="492"/>
      <c r="AZ30" s="492"/>
      <c r="BA30" s="492"/>
      <c r="BB30" s="492"/>
      <c r="BC30" s="492"/>
      <c r="BD30" s="492"/>
      <c r="BE30" s="492"/>
      <c r="BF30" s="492"/>
      <c r="BG30" s="492"/>
      <c r="BH30" s="146"/>
    </row>
    <row r="31" spans="2:60" ht="11.25" customHeight="1" x14ac:dyDescent="0.2">
      <c r="B31" s="150" t="str">
        <f>IF(Roster!$L$1=0,"",Roster!$L$1)</f>
        <v>ST</v>
      </c>
      <c r="C31" s="149"/>
      <c r="D31" s="492"/>
      <c r="E31" s="492"/>
      <c r="F31" s="492"/>
      <c r="G31" s="492"/>
      <c r="H31" s="492"/>
      <c r="I31" s="492"/>
      <c r="J31" s="492"/>
      <c r="K31" s="492"/>
      <c r="L31" s="492"/>
      <c r="M31" s="492"/>
      <c r="N31" s="492"/>
      <c r="O31" s="146"/>
      <c r="Q31" s="150" t="str">
        <f>IF(Roster!$L$1=0,"",Roster!$L$1)</f>
        <v>ST</v>
      </c>
      <c r="R31" s="149"/>
      <c r="S31" s="492"/>
      <c r="T31" s="492"/>
      <c r="U31" s="492"/>
      <c r="V31" s="492"/>
      <c r="W31" s="492"/>
      <c r="X31" s="492"/>
      <c r="Y31" s="492"/>
      <c r="Z31" s="492"/>
      <c r="AA31" s="492"/>
      <c r="AB31" s="492"/>
      <c r="AC31" s="492"/>
      <c r="AD31" s="146"/>
      <c r="AF31" s="150" t="str">
        <f>IF(Roster!$L$1=0,"",Roster!$L$1)</f>
        <v>ST</v>
      </c>
      <c r="AG31" s="149"/>
      <c r="AH31" s="492"/>
      <c r="AI31" s="492"/>
      <c r="AJ31" s="492"/>
      <c r="AK31" s="492"/>
      <c r="AL31" s="492"/>
      <c r="AM31" s="492"/>
      <c r="AN31" s="492"/>
      <c r="AO31" s="492"/>
      <c r="AP31" s="492"/>
      <c r="AQ31" s="492"/>
      <c r="AR31" s="492"/>
      <c r="AS31" s="146"/>
      <c r="AU31" s="150" t="str">
        <f>IF(Roster!$L$1=0,"",Roster!$L$1)</f>
        <v>ST</v>
      </c>
      <c r="AV31" s="149"/>
      <c r="AW31" s="492"/>
      <c r="AX31" s="492"/>
      <c r="AY31" s="492"/>
      <c r="AZ31" s="492"/>
      <c r="BA31" s="492"/>
      <c r="BB31" s="492"/>
      <c r="BC31" s="492"/>
      <c r="BD31" s="492"/>
      <c r="BE31" s="492"/>
      <c r="BF31" s="492"/>
      <c r="BG31" s="492"/>
      <c r="BH31" s="146"/>
    </row>
    <row r="32" spans="2:60" ht="37.5" customHeight="1" x14ac:dyDescent="0.2">
      <c r="B32" s="152">
        <f>IF(Roster!$L$5=0,"",Roster!$L$5)</f>
        <v>5</v>
      </c>
      <c r="C32" s="149"/>
      <c r="D32" s="492"/>
      <c r="E32" s="492"/>
      <c r="F32" s="492"/>
      <c r="G32" s="492"/>
      <c r="H32" s="492"/>
      <c r="I32" s="492"/>
      <c r="J32" s="492"/>
      <c r="K32" s="492"/>
      <c r="L32" s="492"/>
      <c r="M32" s="492"/>
      <c r="N32" s="492"/>
      <c r="O32" s="146"/>
      <c r="Q32" s="152">
        <f>IF(Roster!$L$6=0,"",Roster!$L$6)</f>
        <v>5</v>
      </c>
      <c r="R32" s="149"/>
      <c r="S32" s="492"/>
      <c r="T32" s="492"/>
      <c r="U32" s="492"/>
      <c r="V32" s="492"/>
      <c r="W32" s="492"/>
      <c r="X32" s="492"/>
      <c r="Y32" s="492"/>
      <c r="Z32" s="492"/>
      <c r="AA32" s="492"/>
      <c r="AB32" s="492"/>
      <c r="AC32" s="492"/>
      <c r="AD32" s="146"/>
      <c r="AF32" s="152">
        <f>IF(Roster!$L$7=0,"",Roster!$L$7)</f>
        <v>5</v>
      </c>
      <c r="AG32" s="149"/>
      <c r="AH32" s="492"/>
      <c r="AI32" s="492"/>
      <c r="AJ32" s="492"/>
      <c r="AK32" s="492"/>
      <c r="AL32" s="492"/>
      <c r="AM32" s="492"/>
      <c r="AN32" s="492"/>
      <c r="AO32" s="492"/>
      <c r="AP32" s="492"/>
      <c r="AQ32" s="492"/>
      <c r="AR32" s="492"/>
      <c r="AS32" s="146"/>
      <c r="AU32" s="152">
        <f>IF(Roster!$L$8=0,"",Roster!$L$8)</f>
        <v>1</v>
      </c>
      <c r="AV32" s="149"/>
      <c r="AW32" s="492"/>
      <c r="AX32" s="492"/>
      <c r="AY32" s="492"/>
      <c r="AZ32" s="492"/>
      <c r="BA32" s="492"/>
      <c r="BB32" s="492"/>
      <c r="BC32" s="492"/>
      <c r="BD32" s="492"/>
      <c r="BE32" s="492"/>
      <c r="BF32" s="492"/>
      <c r="BG32" s="492"/>
      <c r="BH32" s="146"/>
    </row>
    <row r="33" spans="2:60" ht="11.25" customHeight="1" x14ac:dyDescent="0.2">
      <c r="B33" s="150" t="str">
        <f>IF(Roster!$M$1=0,"",Roster!$M$1)</f>
        <v>AG</v>
      </c>
      <c r="C33" s="149"/>
      <c r="D33" s="492"/>
      <c r="E33" s="492"/>
      <c r="F33" s="492"/>
      <c r="G33" s="492"/>
      <c r="H33" s="492"/>
      <c r="I33" s="492"/>
      <c r="J33" s="492"/>
      <c r="K33" s="492"/>
      <c r="L33" s="492"/>
      <c r="M33" s="492"/>
      <c r="N33" s="492"/>
      <c r="O33" s="146"/>
      <c r="Q33" s="150" t="str">
        <f>IF(Roster!$M$1=0,"",Roster!$M$1)</f>
        <v>AG</v>
      </c>
      <c r="R33" s="149"/>
      <c r="S33" s="492"/>
      <c r="T33" s="492"/>
      <c r="U33" s="492"/>
      <c r="V33" s="492"/>
      <c r="W33" s="492"/>
      <c r="X33" s="492"/>
      <c r="Y33" s="492"/>
      <c r="Z33" s="492"/>
      <c r="AA33" s="492"/>
      <c r="AB33" s="492"/>
      <c r="AC33" s="492"/>
      <c r="AD33" s="146"/>
      <c r="AF33" s="150" t="str">
        <f>IF(Roster!$M$1=0,"",Roster!$M$1)</f>
        <v>AG</v>
      </c>
      <c r="AG33" s="149"/>
      <c r="AH33" s="492"/>
      <c r="AI33" s="492"/>
      <c r="AJ33" s="492"/>
      <c r="AK33" s="492"/>
      <c r="AL33" s="492"/>
      <c r="AM33" s="492"/>
      <c r="AN33" s="492"/>
      <c r="AO33" s="492"/>
      <c r="AP33" s="492"/>
      <c r="AQ33" s="492"/>
      <c r="AR33" s="492"/>
      <c r="AS33" s="146"/>
      <c r="AU33" s="150" t="str">
        <f>IF(Roster!$M$1=0,"",Roster!$M$1)</f>
        <v>AG</v>
      </c>
      <c r="AV33" s="149"/>
      <c r="AW33" s="492"/>
      <c r="AX33" s="492"/>
      <c r="AY33" s="492"/>
      <c r="AZ33" s="492"/>
      <c r="BA33" s="492"/>
      <c r="BB33" s="492"/>
      <c r="BC33" s="492"/>
      <c r="BD33" s="492"/>
      <c r="BE33" s="492"/>
      <c r="BF33" s="492"/>
      <c r="BG33" s="492"/>
      <c r="BH33" s="146"/>
    </row>
    <row r="34" spans="2:60" ht="37.5" customHeight="1" x14ac:dyDescent="0.2">
      <c r="B34" s="152" t="str">
        <f>IF(Roster!$M$5=0&amp;"+","",Roster!$M$5)</f>
        <v>4+</v>
      </c>
      <c r="C34" s="149"/>
      <c r="D34" s="492"/>
      <c r="E34" s="492"/>
      <c r="F34" s="492"/>
      <c r="G34" s="492"/>
      <c r="H34" s="492"/>
      <c r="I34" s="492"/>
      <c r="J34" s="492"/>
      <c r="K34" s="492"/>
      <c r="L34" s="492"/>
      <c r="M34" s="492"/>
      <c r="N34" s="492"/>
      <c r="O34" s="146"/>
      <c r="Q34" s="152" t="str">
        <f>IF(Roster!$M$6=0&amp;"+","",Roster!$M$6)</f>
        <v>4+</v>
      </c>
      <c r="R34" s="149"/>
      <c r="S34" s="492"/>
      <c r="T34" s="492"/>
      <c r="U34" s="492"/>
      <c r="V34" s="492"/>
      <c r="W34" s="492"/>
      <c r="X34" s="492"/>
      <c r="Y34" s="492"/>
      <c r="Z34" s="492"/>
      <c r="AA34" s="492"/>
      <c r="AB34" s="492"/>
      <c r="AC34" s="492"/>
      <c r="AD34" s="146"/>
      <c r="AF34" s="152" t="str">
        <f>IF(Roster!$M$7=0&amp;"+","",Roster!$M$7)</f>
        <v>4+</v>
      </c>
      <c r="AG34" s="149"/>
      <c r="AH34" s="492"/>
      <c r="AI34" s="492"/>
      <c r="AJ34" s="492"/>
      <c r="AK34" s="492"/>
      <c r="AL34" s="492"/>
      <c r="AM34" s="492"/>
      <c r="AN34" s="492"/>
      <c r="AO34" s="492"/>
      <c r="AP34" s="492"/>
      <c r="AQ34" s="492"/>
      <c r="AR34" s="492"/>
      <c r="AS34" s="146"/>
      <c r="AU34" s="152" t="str">
        <f>IF(Roster!$M$8=0&amp;"+","",Roster!$M$8)</f>
        <v>3+</v>
      </c>
      <c r="AV34" s="149"/>
      <c r="AW34" s="492"/>
      <c r="AX34" s="492"/>
      <c r="AY34" s="492"/>
      <c r="AZ34" s="492"/>
      <c r="BA34" s="492"/>
      <c r="BB34" s="492"/>
      <c r="BC34" s="492"/>
      <c r="BD34" s="492"/>
      <c r="BE34" s="492"/>
      <c r="BF34" s="492"/>
      <c r="BG34" s="492"/>
      <c r="BH34" s="146"/>
    </row>
    <row r="35" spans="2:60" ht="11.25" customHeight="1" x14ac:dyDescent="0.2">
      <c r="B35" s="150" t="str">
        <f>IF(Roster!$N$1=0,"",Roster!$N$1)</f>
        <v>PA</v>
      </c>
      <c r="C35" s="149"/>
      <c r="D35" s="492"/>
      <c r="E35" s="492"/>
      <c r="F35" s="492"/>
      <c r="G35" s="492"/>
      <c r="H35" s="492"/>
      <c r="I35" s="492"/>
      <c r="J35" s="492"/>
      <c r="K35" s="492"/>
      <c r="L35" s="492"/>
      <c r="M35" s="492"/>
      <c r="N35" s="492"/>
      <c r="O35" s="155"/>
      <c r="Q35" s="150" t="str">
        <f>IF(Roster!$N$1=0,"",Roster!$N$1)</f>
        <v>PA</v>
      </c>
      <c r="R35" s="149"/>
      <c r="S35" s="492"/>
      <c r="T35" s="492"/>
      <c r="U35" s="492"/>
      <c r="V35" s="492"/>
      <c r="W35" s="492"/>
      <c r="X35" s="492"/>
      <c r="Y35" s="492"/>
      <c r="Z35" s="492"/>
      <c r="AA35" s="492"/>
      <c r="AB35" s="492"/>
      <c r="AC35" s="492"/>
      <c r="AD35" s="155"/>
      <c r="AF35" s="150" t="str">
        <f>IF(Roster!$N$1=0,"",Roster!$N$1)</f>
        <v>PA</v>
      </c>
      <c r="AG35" s="149"/>
      <c r="AH35" s="492"/>
      <c r="AI35" s="492"/>
      <c r="AJ35" s="492"/>
      <c r="AK35" s="492"/>
      <c r="AL35" s="492"/>
      <c r="AM35" s="492"/>
      <c r="AN35" s="492"/>
      <c r="AO35" s="492"/>
      <c r="AP35" s="492"/>
      <c r="AQ35" s="492"/>
      <c r="AR35" s="492"/>
      <c r="AS35" s="155"/>
      <c r="AU35" s="150" t="str">
        <f>IF(Roster!$N$1=0,"",Roster!$N$1)</f>
        <v>PA</v>
      </c>
      <c r="AV35" s="149"/>
      <c r="AW35" s="492"/>
      <c r="AX35" s="492"/>
      <c r="AY35" s="492"/>
      <c r="AZ35" s="492"/>
      <c r="BA35" s="492"/>
      <c r="BB35" s="492"/>
      <c r="BC35" s="492"/>
      <c r="BD35" s="492"/>
      <c r="BE35" s="492"/>
      <c r="BF35" s="492"/>
      <c r="BG35" s="492"/>
      <c r="BH35" s="155"/>
    </row>
    <row r="36" spans="2:60" ht="6" customHeight="1" x14ac:dyDescent="0.2">
      <c r="B36" s="474" t="str">
        <f>IF(Roster!$N$5=0&amp;"+","",Roster!$N$5)</f>
        <v>5+</v>
      </c>
      <c r="C36" s="149"/>
      <c r="D36" s="492"/>
      <c r="E36" s="492"/>
      <c r="F36" s="492"/>
      <c r="G36" s="492"/>
      <c r="H36" s="492"/>
      <c r="I36" s="492"/>
      <c r="J36" s="492"/>
      <c r="K36" s="492"/>
      <c r="L36" s="492"/>
      <c r="M36" s="492"/>
      <c r="N36" s="492"/>
      <c r="O36" s="157"/>
      <c r="Q36" s="474" t="str">
        <f>IF(Roster!$N$6=0&amp;"+","",Roster!$N$6)</f>
        <v>5+</v>
      </c>
      <c r="R36" s="149"/>
      <c r="S36" s="492"/>
      <c r="T36" s="492"/>
      <c r="U36" s="492"/>
      <c r="V36" s="492"/>
      <c r="W36" s="492"/>
      <c r="X36" s="492"/>
      <c r="Y36" s="492"/>
      <c r="Z36" s="492"/>
      <c r="AA36" s="492"/>
      <c r="AB36" s="492"/>
      <c r="AC36" s="492"/>
      <c r="AD36" s="157"/>
      <c r="AF36" s="474" t="str">
        <f>IF(Roster!$N$7=0&amp;"+","",Roster!$N$7)</f>
        <v>5+</v>
      </c>
      <c r="AG36" s="149"/>
      <c r="AH36" s="492"/>
      <c r="AI36" s="492"/>
      <c r="AJ36" s="492"/>
      <c r="AK36" s="492"/>
      <c r="AL36" s="492"/>
      <c r="AM36" s="492"/>
      <c r="AN36" s="492"/>
      <c r="AO36" s="492"/>
      <c r="AP36" s="492"/>
      <c r="AQ36" s="492"/>
      <c r="AR36" s="492"/>
      <c r="AS36" s="157"/>
      <c r="AU36" s="474" t="str">
        <f>IF(Roster!$N$8=0&amp;"+","",Roster!$N$8)</f>
        <v>5+</v>
      </c>
      <c r="AV36" s="149"/>
      <c r="AW36" s="492"/>
      <c r="AX36" s="492"/>
      <c r="AY36" s="492"/>
      <c r="AZ36" s="492"/>
      <c r="BA36" s="492"/>
      <c r="BB36" s="492"/>
      <c r="BC36" s="492"/>
      <c r="BD36" s="492"/>
      <c r="BE36" s="492"/>
      <c r="BF36" s="492"/>
      <c r="BG36" s="492"/>
      <c r="BH36" s="157"/>
    </row>
    <row r="37" spans="2:60" ht="4.5" customHeight="1" x14ac:dyDescent="0.2">
      <c r="B37" s="290"/>
      <c r="C37" s="149"/>
      <c r="D37" s="146"/>
      <c r="E37" s="156"/>
      <c r="F37" s="146"/>
      <c r="G37" s="156"/>
      <c r="H37" s="146"/>
      <c r="I37" s="156"/>
      <c r="J37" s="146"/>
      <c r="K37" s="156"/>
      <c r="L37" s="146"/>
      <c r="M37" s="156"/>
      <c r="N37" s="146"/>
      <c r="O37" s="157"/>
      <c r="Q37" s="290"/>
      <c r="R37" s="149"/>
      <c r="S37" s="146"/>
      <c r="T37" s="156"/>
      <c r="U37" s="146"/>
      <c r="V37" s="156"/>
      <c r="W37" s="146"/>
      <c r="X37" s="156"/>
      <c r="Y37" s="146"/>
      <c r="Z37" s="156"/>
      <c r="AA37" s="146"/>
      <c r="AB37" s="156"/>
      <c r="AC37" s="146"/>
      <c r="AD37" s="157"/>
      <c r="AF37" s="290"/>
      <c r="AG37" s="149"/>
      <c r="AH37" s="146"/>
      <c r="AI37" s="156"/>
      <c r="AJ37" s="146"/>
      <c r="AK37" s="156"/>
      <c r="AL37" s="146"/>
      <c r="AM37" s="156"/>
      <c r="AN37" s="146"/>
      <c r="AO37" s="156"/>
      <c r="AP37" s="146"/>
      <c r="AQ37" s="156"/>
      <c r="AR37" s="146"/>
      <c r="AS37" s="157"/>
      <c r="AU37" s="290"/>
      <c r="AV37" s="149"/>
      <c r="AW37" s="146"/>
      <c r="AX37" s="156"/>
      <c r="AY37" s="146"/>
      <c r="AZ37" s="156"/>
      <c r="BA37" s="146"/>
      <c r="BB37" s="156"/>
      <c r="BC37" s="146"/>
      <c r="BD37" s="156"/>
      <c r="BE37" s="146"/>
      <c r="BF37" s="156"/>
      <c r="BG37" s="146"/>
      <c r="BH37" s="157"/>
    </row>
    <row r="38" spans="2:60" ht="11.25" customHeight="1" x14ac:dyDescent="0.2">
      <c r="B38" s="290"/>
      <c r="C38" s="149"/>
      <c r="D38" s="158" t="str">
        <f>IF(Roster!$AD$1=0,"",Roster!$AD$1)</f>
        <v>TD</v>
      </c>
      <c r="E38" s="156"/>
      <c r="F38" s="158" t="str">
        <f>IF(Roster!$K$25="Español","HER",(IF(Roster!$K$25="Deutsch","VER",(IF(Roster!$K$25="Français","BLES","CAS")))))</f>
        <v>CAS</v>
      </c>
      <c r="G38" s="156"/>
      <c r="H38" s="158" t="str">
        <f>IF(Roster!$AG$1=0,"",Roster!$AG$1)</f>
        <v>BH</v>
      </c>
      <c r="I38" s="156"/>
      <c r="J38" s="158" t="str">
        <f>IF(Roster!$AH$1=0,"",Roster!$AH$1)</f>
        <v>SI</v>
      </c>
      <c r="K38" s="156"/>
      <c r="L38" s="158" t="str">
        <f>IF(Roster!$AI$1=0,"",Roster!$AI$1)</f>
        <v>KILL</v>
      </c>
      <c r="M38" s="156"/>
      <c r="N38" s="158" t="str">
        <f>IF(Roster!$AC$1=0,"",Roster!$AC$1)</f>
        <v>CP</v>
      </c>
      <c r="O38" s="157"/>
      <c r="Q38" s="290"/>
      <c r="R38" s="149"/>
      <c r="S38" s="158" t="str">
        <f>IF(Roster!$AD$1=0,"",Roster!$AD$1)</f>
        <v>TD</v>
      </c>
      <c r="T38" s="156"/>
      <c r="U38" s="158" t="str">
        <f>IF(Roster!$K$25="Español","HER",(IF(Roster!$K$25="Deutsch","VER",(IF(Roster!$K$25="Français","BLES","CAS")))))</f>
        <v>CAS</v>
      </c>
      <c r="V38" s="156"/>
      <c r="W38" s="158" t="str">
        <f>IF(Roster!$AG$1=0,"",Roster!$AG$1)</f>
        <v>BH</v>
      </c>
      <c r="X38" s="156"/>
      <c r="Y38" s="158" t="str">
        <f>IF(Roster!$AH$1=0,"",Roster!$AH$1)</f>
        <v>SI</v>
      </c>
      <c r="Z38" s="156"/>
      <c r="AA38" s="158" t="str">
        <f>IF(Roster!$AI$1=0,"",Roster!$AI$1)</f>
        <v>KILL</v>
      </c>
      <c r="AB38" s="156"/>
      <c r="AC38" s="158" t="str">
        <f>IF(Roster!$AC$1=0,"",Roster!$AC$1)</f>
        <v>CP</v>
      </c>
      <c r="AD38" s="157"/>
      <c r="AF38" s="290"/>
      <c r="AG38" s="149"/>
      <c r="AH38" s="158" t="str">
        <f>IF(Roster!$AD$1=0,"",Roster!$AD$1)</f>
        <v>TD</v>
      </c>
      <c r="AI38" s="156"/>
      <c r="AJ38" s="158" t="str">
        <f>IF(Roster!$K$25="Español","HER",(IF(Roster!$K$25="Deutsch","VER",(IF(Roster!$K$25="Français","BLES","CAS")))))</f>
        <v>CAS</v>
      </c>
      <c r="AK38" s="156"/>
      <c r="AL38" s="158" t="str">
        <f>IF(Roster!$AG$1=0,"",Roster!$AG$1)</f>
        <v>BH</v>
      </c>
      <c r="AM38" s="156"/>
      <c r="AN38" s="158" t="str">
        <f>IF(Roster!$AH$1=0,"",Roster!$AH$1)</f>
        <v>SI</v>
      </c>
      <c r="AO38" s="156"/>
      <c r="AP38" s="158" t="str">
        <f>IF(Roster!$AI$1=0,"",Roster!$AI$1)</f>
        <v>KILL</v>
      </c>
      <c r="AQ38" s="156"/>
      <c r="AR38" s="158" t="str">
        <f>IF(Roster!$AC$1=0,"",Roster!$AC$1)</f>
        <v>CP</v>
      </c>
      <c r="AS38" s="157"/>
      <c r="AU38" s="290"/>
      <c r="AV38" s="149"/>
      <c r="AW38" s="158" t="str">
        <f>IF(Roster!$AD$1=0,"",Roster!$AD$1)</f>
        <v>TD</v>
      </c>
      <c r="AX38" s="156"/>
      <c r="AY38" s="158" t="str">
        <f>IF(Roster!$K$25="Español","HER",(IF(Roster!$K$25="Deutsch","VER",(IF(Roster!$K$25="Français","BLES","CAS")))))</f>
        <v>CAS</v>
      </c>
      <c r="AZ38" s="156"/>
      <c r="BA38" s="158" t="str">
        <f>IF(Roster!$AG$1=0,"",Roster!$AG$1)</f>
        <v>BH</v>
      </c>
      <c r="BB38" s="156"/>
      <c r="BC38" s="158" t="str">
        <f>IF(Roster!$AH$1=0,"",Roster!$AH$1)</f>
        <v>SI</v>
      </c>
      <c r="BD38" s="156"/>
      <c r="BE38" s="158" t="str">
        <f>IF(Roster!$AI$1=0,"",Roster!$AI$1)</f>
        <v>KILL</v>
      </c>
      <c r="BF38" s="156"/>
      <c r="BG38" s="158" t="str">
        <f>IF(Roster!$AC$1=0,"",Roster!$AC$1)</f>
        <v>CP</v>
      </c>
      <c r="BH38" s="157"/>
    </row>
    <row r="39" spans="2:60" ht="15" customHeight="1" x14ac:dyDescent="0.2">
      <c r="B39" s="290"/>
      <c r="C39" s="151"/>
      <c r="D39" s="159" t="str">
        <f>IF(Roster!$AD$5=0,"",Roster!$AD$5)</f>
        <v/>
      </c>
      <c r="E39" s="151"/>
      <c r="F39" s="159" t="str">
        <f>IF((SUM(H39,J39,L39))=0,"",(SUM(H39,J39,L39)))</f>
        <v/>
      </c>
      <c r="G39" s="151"/>
      <c r="H39" s="159" t="str">
        <f>IF(Roster!$AG$5=0,"",Roster!$AG$5)</f>
        <v/>
      </c>
      <c r="I39" s="151"/>
      <c r="J39" s="159" t="str">
        <f>IF(Roster!$AH$5=0,"",Roster!$AH$5)</f>
        <v/>
      </c>
      <c r="K39" s="151"/>
      <c r="L39" s="159" t="str">
        <f>IF(Roster!$AI$5=0,"",Roster!$AI$5)</f>
        <v/>
      </c>
      <c r="M39" s="151"/>
      <c r="N39" s="159" t="str">
        <f>IF(Roster!$AC$5=0,"",Roster!$AC$5)</f>
        <v/>
      </c>
      <c r="O39" s="157"/>
      <c r="Q39" s="290"/>
      <c r="R39" s="151"/>
      <c r="S39" s="159" t="str">
        <f>IF(Roster!$AD$6=0,"",Roster!$AD$6)</f>
        <v/>
      </c>
      <c r="T39" s="151"/>
      <c r="U39" s="159" t="str">
        <f>IF((SUM(W39,Y39,AA39))=0,"",(SUM(W39,Y39,AA39)))</f>
        <v/>
      </c>
      <c r="V39" s="151"/>
      <c r="W39" s="159" t="str">
        <f>IF(Roster!$AG$6=0,"",Roster!$AG$6)</f>
        <v/>
      </c>
      <c r="X39" s="151"/>
      <c r="Y39" s="159" t="str">
        <f>IF(Roster!$AH$6=0,"",Roster!$AH$6)</f>
        <v/>
      </c>
      <c r="Z39" s="151"/>
      <c r="AA39" s="159" t="str">
        <f>IF(Roster!$AI$6=0,"",Roster!$AI$6)</f>
        <v/>
      </c>
      <c r="AB39" s="151"/>
      <c r="AC39" s="159" t="str">
        <f>IF(Roster!$AC$6=0,"",Roster!$AC$6)</f>
        <v/>
      </c>
      <c r="AD39" s="157"/>
      <c r="AF39" s="290"/>
      <c r="AG39" s="151"/>
      <c r="AH39" s="159" t="str">
        <f>IF(Roster!$AD$7=0,"",Roster!$AD$7)</f>
        <v/>
      </c>
      <c r="AI39" s="151"/>
      <c r="AJ39" s="159">
        <f>IF((SUM(AL39,AN39,AP39))=0,"",(SUM(AL39,AN39,AP39)))</f>
        <v>2</v>
      </c>
      <c r="AK39" s="151"/>
      <c r="AL39" s="159">
        <f>IF(Roster!$AG$7=0,"",Roster!$AG$7)</f>
        <v>2</v>
      </c>
      <c r="AM39" s="151"/>
      <c r="AN39" s="159" t="str">
        <f>IF(Roster!$AH$7=0,"",Roster!$AH$7)</f>
        <v/>
      </c>
      <c r="AO39" s="151"/>
      <c r="AP39" s="159" t="str">
        <f>IF(Roster!$AI$7=0,"",Roster!$AI$7)</f>
        <v/>
      </c>
      <c r="AQ39" s="151"/>
      <c r="AR39" s="159" t="str">
        <f>IF(Roster!$AC$7=0,"",Roster!$AC$7)</f>
        <v/>
      </c>
      <c r="AS39" s="157"/>
      <c r="AU39" s="290"/>
      <c r="AV39" s="151"/>
      <c r="AW39" s="159" t="str">
        <f>IF(Roster!$AD$8=0,"",Roster!$AD$8)</f>
        <v/>
      </c>
      <c r="AX39" s="151"/>
      <c r="AY39" s="159" t="str">
        <f>IF((SUM(BA39,BC39,BE39))=0,"",(SUM(BA39,BC39,BE39)))</f>
        <v/>
      </c>
      <c r="AZ39" s="151"/>
      <c r="BA39" s="159" t="str">
        <f>IF(Roster!$AG$8=0,"",Roster!$AG$8)</f>
        <v/>
      </c>
      <c r="BB39" s="151"/>
      <c r="BC39" s="159" t="str">
        <f>IF(Roster!$AH$8=0,"",Roster!$AH$8)</f>
        <v/>
      </c>
      <c r="BD39" s="151"/>
      <c r="BE39" s="159" t="str">
        <f>IF(Roster!$AI$8=0,"",Roster!$AI$8)</f>
        <v/>
      </c>
      <c r="BF39" s="151"/>
      <c r="BG39" s="159" t="str">
        <f>IF(Roster!$AC$8=0,"",Roster!$AC$8)</f>
        <v/>
      </c>
      <c r="BH39" s="157"/>
    </row>
    <row r="40" spans="2:60" ht="4.5" customHeight="1" x14ac:dyDescent="0.2">
      <c r="B40" s="452"/>
      <c r="C40" s="151"/>
      <c r="D40" s="160"/>
      <c r="E40" s="151"/>
      <c r="F40" s="160"/>
      <c r="G40" s="151"/>
      <c r="H40" s="160"/>
      <c r="I40" s="151"/>
      <c r="J40" s="160"/>
      <c r="K40" s="151"/>
      <c r="L40" s="160"/>
      <c r="M40" s="151"/>
      <c r="N40" s="160"/>
      <c r="O40" s="157"/>
      <c r="Q40" s="452"/>
      <c r="R40" s="151"/>
      <c r="S40" s="160"/>
      <c r="T40" s="151"/>
      <c r="U40" s="160"/>
      <c r="V40" s="151"/>
      <c r="W40" s="160"/>
      <c r="X40" s="151"/>
      <c r="Y40" s="160"/>
      <c r="Z40" s="151"/>
      <c r="AA40" s="160"/>
      <c r="AB40" s="151"/>
      <c r="AC40" s="160"/>
      <c r="AD40" s="157"/>
      <c r="AF40" s="452"/>
      <c r="AG40" s="151"/>
      <c r="AH40" s="160"/>
      <c r="AI40" s="151"/>
      <c r="AJ40" s="160"/>
      <c r="AK40" s="151"/>
      <c r="AL40" s="160"/>
      <c r="AM40" s="151"/>
      <c r="AN40" s="160"/>
      <c r="AO40" s="151"/>
      <c r="AP40" s="160"/>
      <c r="AQ40" s="151"/>
      <c r="AR40" s="160"/>
      <c r="AS40" s="157"/>
      <c r="AU40" s="452"/>
      <c r="AV40" s="151"/>
      <c r="AW40" s="160"/>
      <c r="AX40" s="151"/>
      <c r="AY40" s="160"/>
      <c r="AZ40" s="151"/>
      <c r="BA40" s="160"/>
      <c r="BB40" s="151"/>
      <c r="BC40" s="160"/>
      <c r="BD40" s="151"/>
      <c r="BE40" s="160"/>
      <c r="BF40" s="151"/>
      <c r="BG40" s="160"/>
      <c r="BH40" s="157"/>
    </row>
    <row r="41" spans="2:60" ht="11.25" customHeight="1" x14ac:dyDescent="0.2">
      <c r="B41" s="150" t="str">
        <f>IF(Roster!$O$1=0,"",Roster!$O$1)</f>
        <v>AV</v>
      </c>
      <c r="C41" s="150"/>
      <c r="D41" s="158" t="str">
        <f>IF(Roster!$AE$1=0,"",Roster!$AE$1)</f>
        <v>DEF</v>
      </c>
      <c r="E41" s="150"/>
      <c r="F41" s="158" t="str">
        <f>IF(Roster!$AF$1=0,"",Roster!$AF$1)</f>
        <v>INT</v>
      </c>
      <c r="G41" s="150"/>
      <c r="H41" s="158" t="str">
        <f>IF(Roster!$AB$1=0,"",Roster!$AB$1)</f>
        <v>SPE</v>
      </c>
      <c r="I41" s="150"/>
      <c r="J41" s="158" t="str">
        <f>IF(Roster!$AJ$1=0,"",Roster!$AJ$1)</f>
        <v>MVP</v>
      </c>
      <c r="K41" s="150"/>
      <c r="L41" s="204" t="s">
        <v>257</v>
      </c>
      <c r="M41" s="150"/>
      <c r="N41" s="205" t="str">
        <f>IF(Roster!$K$25="Español","LPP/RT",(IF(Roster!$K$25="Deutsch","VNS/AD",(IF(Roster!$K$25="Français","RPM/RT","MNG/TR")))))</f>
        <v>MNG/TR</v>
      </c>
      <c r="O41" s="146"/>
      <c r="Q41" s="150" t="str">
        <f>IF(Roster!$O$1=0,"",Roster!$O$1)</f>
        <v>AV</v>
      </c>
      <c r="R41" s="150"/>
      <c r="S41" s="158" t="str">
        <f>IF(Roster!$AE$1=0,"",Roster!$AE$1)</f>
        <v>DEF</v>
      </c>
      <c r="T41" s="150"/>
      <c r="U41" s="158" t="str">
        <f>IF(Roster!$AF$1=0,"",Roster!$AF$1)</f>
        <v>INT</v>
      </c>
      <c r="V41" s="150"/>
      <c r="W41" s="158" t="str">
        <f>IF(Roster!$AB$1=0,"",Roster!$AB$1)</f>
        <v>SPE</v>
      </c>
      <c r="X41" s="150"/>
      <c r="Y41" s="158" t="str">
        <f>IF(Roster!$AJ$1=0,"",Roster!$AJ$1)</f>
        <v>MVP</v>
      </c>
      <c r="Z41" s="150"/>
      <c r="AA41" s="204" t="s">
        <v>257</v>
      </c>
      <c r="AB41" s="150"/>
      <c r="AC41" s="205" t="str">
        <f>IF(Roster!$K$25="Español","LPP/RT",(IF(Roster!$K$25="Deutsch","VNS/AD",(IF(Roster!$K$25="Français","RPM/RT","MNG/TR")))))</f>
        <v>MNG/TR</v>
      </c>
      <c r="AD41" s="146"/>
      <c r="AF41" s="150" t="str">
        <f>IF(Roster!$O$1=0,"",Roster!$O$1)</f>
        <v>AV</v>
      </c>
      <c r="AG41" s="150"/>
      <c r="AH41" s="158" t="str">
        <f>IF(Roster!$AE$1=0,"",Roster!$AE$1)</f>
        <v>DEF</v>
      </c>
      <c r="AI41" s="150"/>
      <c r="AJ41" s="158" t="str">
        <f>IF(Roster!$AF$1=0,"",Roster!$AF$1)</f>
        <v>INT</v>
      </c>
      <c r="AK41" s="150"/>
      <c r="AL41" s="158" t="str">
        <f>IF(Roster!$AB$1=0,"",Roster!$AB$1)</f>
        <v>SPE</v>
      </c>
      <c r="AM41" s="150"/>
      <c r="AN41" s="158" t="str">
        <f>IF(Roster!$AJ$1=0,"",Roster!$AJ$1)</f>
        <v>MVP</v>
      </c>
      <c r="AO41" s="150"/>
      <c r="AP41" s="204" t="s">
        <v>257</v>
      </c>
      <c r="AQ41" s="150"/>
      <c r="AR41" s="205" t="str">
        <f>IF(Roster!$K$25="Español","LPP/RT",(IF(Roster!$K$25="Deutsch","VNS/AD",(IF(Roster!$K$25="Français","RPM/RT","MNG/TR")))))</f>
        <v>MNG/TR</v>
      </c>
      <c r="AS41" s="146"/>
      <c r="AU41" s="150" t="str">
        <f>IF(Roster!$O$1=0,"",Roster!$O$1)</f>
        <v>AV</v>
      </c>
      <c r="AV41" s="150"/>
      <c r="AW41" s="158" t="str">
        <f>IF(Roster!$AE$1=0,"",Roster!$AE$1)</f>
        <v>DEF</v>
      </c>
      <c r="AX41" s="150"/>
      <c r="AY41" s="158" t="str">
        <f>IF(Roster!$AF$1=0,"",Roster!$AF$1)</f>
        <v>INT</v>
      </c>
      <c r="AZ41" s="150"/>
      <c r="BA41" s="158" t="str">
        <f>IF(Roster!$AB$1=0,"",Roster!$AB$1)</f>
        <v>SPE</v>
      </c>
      <c r="BB41" s="150"/>
      <c r="BC41" s="158" t="str">
        <f>IF(Roster!$AJ$1=0,"",Roster!$AJ$1)</f>
        <v>MVP</v>
      </c>
      <c r="BD41" s="150"/>
      <c r="BE41" s="204" t="s">
        <v>257</v>
      </c>
      <c r="BF41" s="150"/>
      <c r="BG41" s="205" t="str">
        <f>IF(Roster!$K$25="Español","LPP/RT",(IF(Roster!$K$25="Deutsch","VNS/AD",(IF(Roster!$K$25="Français","RPM/RT","MNG/TR")))))</f>
        <v>MNG/TR</v>
      </c>
      <c r="BH41" s="146"/>
    </row>
    <row r="42" spans="2:60" ht="15" customHeight="1" x14ac:dyDescent="0.2">
      <c r="B42" s="474" t="str">
        <f>IF(Roster!$O$5=0&amp;"+","",Roster!$O$5)</f>
        <v>10+</v>
      </c>
      <c r="C42" s="151"/>
      <c r="D42" s="159" t="str">
        <f>IF(Roster!$AE$5=0,"",Roster!$AE$5)</f>
        <v/>
      </c>
      <c r="E42" s="151"/>
      <c r="F42" s="159" t="str">
        <f>IF(Roster!$AF$5=0,"",Roster!$AF$5)</f>
        <v/>
      </c>
      <c r="G42" s="151"/>
      <c r="H42" s="159">
        <f>IF(Roster!$AB$5=0,"",Roster!$AB$5)</f>
        <v>1</v>
      </c>
      <c r="I42" s="151"/>
      <c r="J42" s="159" t="str">
        <f>IF(Roster!$AJ$5=0,"",Roster!$AJ$5)</f>
        <v/>
      </c>
      <c r="K42" s="151"/>
      <c r="L42" s="159">
        <f>IF(Roster!$AK$5=0,"",Roster!$AK$5)</f>
        <v>1</v>
      </c>
      <c r="M42" s="151"/>
      <c r="N42" s="159" t="str">
        <f>IF(Roster!$AA$5=0,"",Roster!$AA$5)</f>
        <v/>
      </c>
      <c r="O42" s="161"/>
      <c r="Q42" s="474" t="str">
        <f>IF(Roster!$O$6=0&amp;"+","",Roster!$O$6)</f>
        <v>10+</v>
      </c>
      <c r="R42" s="151"/>
      <c r="S42" s="159" t="str">
        <f>IF(Roster!$AE$6=0,"",Roster!$AE$6)</f>
        <v/>
      </c>
      <c r="T42" s="151"/>
      <c r="U42" s="159" t="str">
        <f>IF(Roster!$AF$6=0,"",Roster!$AF$6)</f>
        <v/>
      </c>
      <c r="V42" s="151"/>
      <c r="W42" s="159" t="str">
        <f>IF(Roster!$AB$6=0,"",Roster!$AB$6)</f>
        <v/>
      </c>
      <c r="X42" s="151"/>
      <c r="Y42" s="159" t="str">
        <f>IF(Roster!$AJ$6=0,"",Roster!$AJ$6)</f>
        <v/>
      </c>
      <c r="Z42" s="151"/>
      <c r="AA42" s="159" t="str">
        <f>IF(Roster!$AK$6=0,"",Roster!$AK$6)</f>
        <v/>
      </c>
      <c r="AB42" s="151"/>
      <c r="AC42" s="159" t="str">
        <f>IF(Roster!$AA$6=0,"",Roster!$AA$6)</f>
        <v/>
      </c>
      <c r="AD42" s="161"/>
      <c r="AF42" s="474" t="str">
        <f>IF(Roster!$O$7=0&amp;"+","",Roster!$O$7)</f>
        <v>10+</v>
      </c>
      <c r="AG42" s="151"/>
      <c r="AH42" s="159" t="str">
        <f>IF(Roster!$AE$7=0,"",Roster!$AE$7)</f>
        <v/>
      </c>
      <c r="AI42" s="151"/>
      <c r="AJ42" s="159" t="str">
        <f>IF(Roster!$AF$7=0,"",Roster!$AF$7)</f>
        <v/>
      </c>
      <c r="AK42" s="151"/>
      <c r="AL42" s="159" t="str">
        <f>IF(Roster!$AB$7=0,"",Roster!$AB$7)</f>
        <v/>
      </c>
      <c r="AM42" s="151"/>
      <c r="AN42" s="159" t="str">
        <f>IF(Roster!$AJ$7=0,"",Roster!$AJ$7)</f>
        <v/>
      </c>
      <c r="AO42" s="151"/>
      <c r="AP42" s="159">
        <f>IF(Roster!$AK$7=0,"",Roster!$AK$7)</f>
        <v>4</v>
      </c>
      <c r="AQ42" s="151"/>
      <c r="AR42" s="159" t="str">
        <f>IF(Roster!$AA$7=0,"",Roster!$AA$7)</f>
        <v/>
      </c>
      <c r="AS42" s="161"/>
      <c r="AU42" s="474" t="str">
        <f>IF(Roster!$O$8=0&amp;"+","",Roster!$O$8)</f>
        <v>6+</v>
      </c>
      <c r="AV42" s="151"/>
      <c r="AW42" s="159" t="str">
        <f>IF(Roster!$AE$8=0,"",Roster!$AE$8)</f>
        <v/>
      </c>
      <c r="AX42" s="151"/>
      <c r="AY42" s="159" t="str">
        <f>IF(Roster!$AF$8=0,"",Roster!$AF$8)</f>
        <v/>
      </c>
      <c r="AZ42" s="151"/>
      <c r="BA42" s="159" t="str">
        <f>IF(Roster!$AB$8=0,"",Roster!$AB$8)</f>
        <v/>
      </c>
      <c r="BB42" s="151"/>
      <c r="BC42" s="159" t="str">
        <f>IF(Roster!$AJ$8=0,"",Roster!$AJ$8)</f>
        <v/>
      </c>
      <c r="BD42" s="151"/>
      <c r="BE42" s="159" t="str">
        <f>IF(Roster!$AK$8=0,"",Roster!$AK$8)</f>
        <v/>
      </c>
      <c r="BF42" s="151"/>
      <c r="BG42" s="159" t="str">
        <f>IF(Roster!$AA$8=0,"",Roster!$AA$8)</f>
        <v/>
      </c>
      <c r="BH42" s="161"/>
    </row>
    <row r="43" spans="2:60" ht="4.5" customHeight="1" x14ac:dyDescent="0.2">
      <c r="B43" s="290"/>
      <c r="C43" s="151"/>
      <c r="D43" s="151"/>
      <c r="E43" s="151"/>
      <c r="F43" s="151"/>
      <c r="G43" s="151"/>
      <c r="H43" s="151"/>
      <c r="I43" s="151"/>
      <c r="J43" s="151"/>
      <c r="K43" s="151"/>
      <c r="L43" s="151"/>
      <c r="M43" s="151"/>
      <c r="N43" s="157"/>
      <c r="O43" s="161"/>
      <c r="Q43" s="290"/>
      <c r="R43" s="151"/>
      <c r="S43" s="151"/>
      <c r="T43" s="151"/>
      <c r="U43" s="151"/>
      <c r="V43" s="151"/>
      <c r="W43" s="151"/>
      <c r="X43" s="151"/>
      <c r="Y43" s="151"/>
      <c r="Z43" s="151"/>
      <c r="AA43" s="151"/>
      <c r="AB43" s="151"/>
      <c r="AC43" s="157"/>
      <c r="AD43" s="161"/>
      <c r="AF43" s="290"/>
      <c r="AG43" s="151"/>
      <c r="AH43" s="151"/>
      <c r="AI43" s="151"/>
      <c r="AJ43" s="151"/>
      <c r="AK43" s="151"/>
      <c r="AL43" s="151"/>
      <c r="AM43" s="151"/>
      <c r="AN43" s="151"/>
      <c r="AO43" s="151"/>
      <c r="AP43" s="151"/>
      <c r="AQ43" s="151"/>
      <c r="AR43" s="157"/>
      <c r="AS43" s="161"/>
      <c r="AU43" s="290"/>
      <c r="AV43" s="151"/>
      <c r="AW43" s="151"/>
      <c r="AX43" s="151"/>
      <c r="AY43" s="151"/>
      <c r="AZ43" s="151"/>
      <c r="BA43" s="151"/>
      <c r="BB43" s="151"/>
      <c r="BC43" s="151"/>
      <c r="BD43" s="151"/>
      <c r="BE43" s="151"/>
      <c r="BF43" s="151"/>
      <c r="BG43" s="157"/>
      <c r="BH43" s="161"/>
    </row>
    <row r="44" spans="2:60" ht="11.25" customHeight="1" x14ac:dyDescent="0.2">
      <c r="B44" s="290"/>
      <c r="C44" s="151"/>
      <c r="D44" s="475" t="str">
        <f>IF(Roster!$K$25="Italiano","ABILITÀ &amp; TRATTI",(IF(Roster!$K$25="Español","HABILIDADES Y RASGOS","SKILLS &amp; TRAITS")))</f>
        <v>SKILLS &amp; TRAITS</v>
      </c>
      <c r="E44" s="303"/>
      <c r="F44" s="303"/>
      <c r="G44" s="303"/>
      <c r="H44" s="303"/>
      <c r="I44" s="303"/>
      <c r="J44" s="303"/>
      <c r="K44" s="303"/>
      <c r="L44" s="303"/>
      <c r="M44" s="303"/>
      <c r="N44" s="304"/>
      <c r="O44" s="161"/>
      <c r="Q44" s="290"/>
      <c r="R44" s="151"/>
      <c r="S44" s="475" t="str">
        <f>IF(Roster!$K$25="Italiano","ABILITÀ &amp; TRATTI",(IF(Roster!$K$25="Español","HABILIDADES Y RASGOS","SKILLS &amp; TRAITS")))</f>
        <v>SKILLS &amp; TRAITS</v>
      </c>
      <c r="T44" s="303"/>
      <c r="U44" s="303"/>
      <c r="V44" s="303"/>
      <c r="W44" s="303"/>
      <c r="X44" s="303"/>
      <c r="Y44" s="303"/>
      <c r="Z44" s="303"/>
      <c r="AA44" s="303"/>
      <c r="AB44" s="303"/>
      <c r="AC44" s="304"/>
      <c r="AD44" s="161"/>
      <c r="AF44" s="290"/>
      <c r="AG44" s="151"/>
      <c r="AH44" s="475" t="str">
        <f>IF(Roster!$K$25="Italiano","ABILITÀ &amp; TRATTI",(IF(Roster!$K$25="Español","HABILIDADES Y RASGOS","SKILLS &amp; TRAITS")))</f>
        <v>SKILLS &amp; TRAITS</v>
      </c>
      <c r="AI44" s="303"/>
      <c r="AJ44" s="303"/>
      <c r="AK44" s="303"/>
      <c r="AL44" s="303"/>
      <c r="AM44" s="303"/>
      <c r="AN44" s="303"/>
      <c r="AO44" s="303"/>
      <c r="AP44" s="303"/>
      <c r="AQ44" s="303"/>
      <c r="AR44" s="304"/>
      <c r="AS44" s="161"/>
      <c r="AU44" s="290"/>
      <c r="AV44" s="151"/>
      <c r="AW44" s="475" t="str">
        <f>IF(Roster!$K$25="Italiano","ABILITÀ &amp; TRATTI",(IF(Roster!$K$25="Español","HABILIDADES Y RASGOS","SKILLS &amp; TRAITS")))</f>
        <v>SKILLS &amp; TRAITS</v>
      </c>
      <c r="AX44" s="303"/>
      <c r="AY44" s="303"/>
      <c r="AZ44" s="303"/>
      <c r="BA44" s="303"/>
      <c r="BB44" s="303"/>
      <c r="BC44" s="303"/>
      <c r="BD44" s="303"/>
      <c r="BE44" s="303"/>
      <c r="BF44" s="303"/>
      <c r="BG44" s="304"/>
      <c r="BH44" s="161"/>
    </row>
    <row r="45" spans="2:60" ht="6.75" customHeight="1" x14ac:dyDescent="0.2">
      <c r="B45" s="452"/>
      <c r="C45" s="151"/>
      <c r="D45" s="482" t="str">
        <f>IF(Roster!$P$5=0&amp;BF5,"",Roster!$P$5)</f>
        <v>Bone Head, Mighty Blow (+1), Thick Skull, Throw Team-mate</v>
      </c>
      <c r="E45" s="483"/>
      <c r="F45" s="483"/>
      <c r="G45" s="483"/>
      <c r="H45" s="483"/>
      <c r="I45" s="483"/>
      <c r="J45" s="483"/>
      <c r="K45" s="483"/>
      <c r="L45" s="483"/>
      <c r="M45" s="483"/>
      <c r="N45" s="484"/>
      <c r="O45" s="161"/>
      <c r="Q45" s="452"/>
      <c r="R45" s="151"/>
      <c r="S45" s="482" t="str">
        <f>IF(Roster!$P$6=0&amp;BF6,"",Roster!$P$6)</f>
        <v>Bone Head, Mighty Blow (+1), Thick Skull, Throw Team-mate</v>
      </c>
      <c r="T45" s="483"/>
      <c r="U45" s="483"/>
      <c r="V45" s="483"/>
      <c r="W45" s="483"/>
      <c r="X45" s="483"/>
      <c r="Y45" s="483"/>
      <c r="Z45" s="483"/>
      <c r="AA45" s="483"/>
      <c r="AB45" s="483"/>
      <c r="AC45" s="484"/>
      <c r="AD45" s="161"/>
      <c r="AF45" s="452"/>
      <c r="AG45" s="151"/>
      <c r="AH45" s="482" t="str">
        <f>IF(Roster!$P$7=0&amp;BF7,"",Roster!$P$7)</f>
        <v>Bone Head, Mighty Blow (+1), Thick Skull, Throw Team-mate, Juggernaut</v>
      </c>
      <c r="AI45" s="483"/>
      <c r="AJ45" s="483"/>
      <c r="AK45" s="483"/>
      <c r="AL45" s="483"/>
      <c r="AM45" s="483"/>
      <c r="AN45" s="483"/>
      <c r="AO45" s="483"/>
      <c r="AP45" s="483"/>
      <c r="AQ45" s="483"/>
      <c r="AR45" s="484"/>
      <c r="AS45" s="161"/>
      <c r="AU45" s="452"/>
      <c r="AV45" s="151"/>
      <c r="AW45" s="482" t="str">
        <f>IF(Roster!$P$8=0&amp;BF8,"",Roster!$P$8)</f>
        <v>Dodge, Right Stuff, Side Step, Stunty, Titchy</v>
      </c>
      <c r="AX45" s="483"/>
      <c r="AY45" s="483"/>
      <c r="AZ45" s="483"/>
      <c r="BA45" s="483"/>
      <c r="BB45" s="483"/>
      <c r="BC45" s="483"/>
      <c r="BD45" s="483"/>
      <c r="BE45" s="483"/>
      <c r="BF45" s="483"/>
      <c r="BG45" s="484"/>
      <c r="BH45" s="161"/>
    </row>
    <row r="46" spans="2:60" ht="11.25" customHeight="1" x14ac:dyDescent="0.2">
      <c r="B46" s="150" t="str">
        <f>IF(Roster!$AO$1=0,"",Roster!$AO$1)</f>
        <v>COST</v>
      </c>
      <c r="C46" s="150"/>
      <c r="D46" s="485"/>
      <c r="E46" s="486"/>
      <c r="F46" s="486"/>
      <c r="G46" s="486"/>
      <c r="H46" s="486"/>
      <c r="I46" s="486"/>
      <c r="J46" s="486"/>
      <c r="K46" s="486"/>
      <c r="L46" s="486"/>
      <c r="M46" s="486"/>
      <c r="N46" s="487"/>
      <c r="O46" s="162"/>
      <c r="Q46" s="150" t="str">
        <f>IF(Roster!$AO$1=0,"",Roster!$AO$1)</f>
        <v>COST</v>
      </c>
      <c r="R46" s="150"/>
      <c r="S46" s="485"/>
      <c r="T46" s="486"/>
      <c r="U46" s="486"/>
      <c r="V46" s="486"/>
      <c r="W46" s="486"/>
      <c r="X46" s="486"/>
      <c r="Y46" s="486"/>
      <c r="Z46" s="486"/>
      <c r="AA46" s="486"/>
      <c r="AB46" s="486"/>
      <c r="AC46" s="487"/>
      <c r="AD46" s="162"/>
      <c r="AF46" s="150" t="str">
        <f>IF(Roster!$AO$1=0,"",Roster!$AO$1)</f>
        <v>COST</v>
      </c>
      <c r="AG46" s="150"/>
      <c r="AH46" s="485"/>
      <c r="AI46" s="486"/>
      <c r="AJ46" s="486"/>
      <c r="AK46" s="486"/>
      <c r="AL46" s="486"/>
      <c r="AM46" s="486"/>
      <c r="AN46" s="486"/>
      <c r="AO46" s="486"/>
      <c r="AP46" s="486"/>
      <c r="AQ46" s="486"/>
      <c r="AR46" s="487"/>
      <c r="AS46" s="162"/>
      <c r="AU46" s="150" t="str">
        <f>IF(Roster!$AO$1=0,"",Roster!$AO$1)</f>
        <v>COST</v>
      </c>
      <c r="AV46" s="150"/>
      <c r="AW46" s="485"/>
      <c r="AX46" s="486"/>
      <c r="AY46" s="486"/>
      <c r="AZ46" s="486"/>
      <c r="BA46" s="486"/>
      <c r="BB46" s="486"/>
      <c r="BC46" s="486"/>
      <c r="BD46" s="486"/>
      <c r="BE46" s="486"/>
      <c r="BF46" s="486"/>
      <c r="BG46" s="487"/>
      <c r="BH46" s="162"/>
    </row>
    <row r="47" spans="2:60" ht="34.5" customHeight="1" x14ac:dyDescent="0.2">
      <c r="B47" s="164">
        <f>IF(Roster!$AO$5=0,"",Roster!$AO$5)</f>
        <v>140000</v>
      </c>
      <c r="C47" s="165"/>
      <c r="D47" s="488"/>
      <c r="E47" s="489"/>
      <c r="F47" s="489"/>
      <c r="G47" s="489"/>
      <c r="H47" s="489"/>
      <c r="I47" s="489"/>
      <c r="J47" s="489"/>
      <c r="K47" s="489"/>
      <c r="L47" s="489"/>
      <c r="M47" s="489"/>
      <c r="N47" s="490"/>
      <c r="O47" s="162"/>
      <c r="Q47" s="164">
        <f>IF(Roster!$AO$6=0,"",Roster!$AO$6)</f>
        <v>140000</v>
      </c>
      <c r="R47" s="165"/>
      <c r="S47" s="488"/>
      <c r="T47" s="489"/>
      <c r="U47" s="489"/>
      <c r="V47" s="489"/>
      <c r="W47" s="489"/>
      <c r="X47" s="489"/>
      <c r="Y47" s="489"/>
      <c r="Z47" s="489"/>
      <c r="AA47" s="489"/>
      <c r="AB47" s="489"/>
      <c r="AC47" s="490"/>
      <c r="AD47" s="162"/>
      <c r="AF47" s="164">
        <f>IF(Roster!$AO$7=0,"",Roster!$AO$7)</f>
        <v>150000</v>
      </c>
      <c r="AG47" s="165"/>
      <c r="AH47" s="488"/>
      <c r="AI47" s="489"/>
      <c r="AJ47" s="489"/>
      <c r="AK47" s="489"/>
      <c r="AL47" s="489"/>
      <c r="AM47" s="489"/>
      <c r="AN47" s="489"/>
      <c r="AO47" s="489"/>
      <c r="AP47" s="489"/>
      <c r="AQ47" s="489"/>
      <c r="AR47" s="490"/>
      <c r="AS47" s="162"/>
      <c r="AU47" s="164">
        <f>IF(Roster!$AO$8=0,"",Roster!$AO$8)</f>
        <v>15000</v>
      </c>
      <c r="AV47" s="165"/>
      <c r="AW47" s="488"/>
      <c r="AX47" s="489"/>
      <c r="AY47" s="489"/>
      <c r="AZ47" s="489"/>
      <c r="BA47" s="489"/>
      <c r="BB47" s="489"/>
      <c r="BC47" s="489"/>
      <c r="BD47" s="489"/>
      <c r="BE47" s="489"/>
      <c r="BF47" s="489"/>
      <c r="BG47" s="490"/>
      <c r="BH47" s="162"/>
    </row>
    <row r="48" spans="2:60" ht="4.5" customHeight="1" x14ac:dyDescent="0.2">
      <c r="B48" s="146"/>
      <c r="C48" s="146"/>
      <c r="D48" s="146"/>
      <c r="E48" s="146"/>
      <c r="F48" s="146"/>
      <c r="G48" s="146"/>
      <c r="H48" s="146"/>
      <c r="I48" s="146"/>
      <c r="J48" s="146"/>
      <c r="K48" s="146"/>
      <c r="L48" s="146"/>
      <c r="M48" s="146"/>
      <c r="N48" s="162"/>
      <c r="O48" s="162"/>
      <c r="Q48" s="146"/>
      <c r="R48" s="146"/>
      <c r="S48" s="146"/>
      <c r="T48" s="146"/>
      <c r="U48" s="146"/>
      <c r="V48" s="146"/>
      <c r="W48" s="146"/>
      <c r="X48" s="146"/>
      <c r="Y48" s="146"/>
      <c r="Z48" s="146"/>
      <c r="AA48" s="146"/>
      <c r="AB48" s="146"/>
      <c r="AC48" s="162"/>
      <c r="AD48" s="162"/>
      <c r="AF48" s="146"/>
      <c r="AG48" s="146"/>
      <c r="AH48" s="146"/>
      <c r="AI48" s="146"/>
      <c r="AJ48" s="146"/>
      <c r="AK48" s="146"/>
      <c r="AL48" s="146"/>
      <c r="AM48" s="146"/>
      <c r="AN48" s="146"/>
      <c r="AO48" s="146"/>
      <c r="AP48" s="146"/>
      <c r="AQ48" s="146"/>
      <c r="AR48" s="162"/>
      <c r="AS48" s="162"/>
      <c r="AU48" s="146"/>
      <c r="AV48" s="146"/>
      <c r="AW48" s="146"/>
      <c r="AX48" s="146"/>
      <c r="AY48" s="146"/>
      <c r="AZ48" s="146"/>
      <c r="BA48" s="146"/>
      <c r="BB48" s="146"/>
      <c r="BC48" s="146"/>
      <c r="BD48" s="146"/>
      <c r="BE48" s="146"/>
      <c r="BF48" s="146"/>
      <c r="BG48" s="162"/>
      <c r="BH48" s="162"/>
    </row>
    <row r="49" spans="2:60" ht="11.25" customHeight="1" x14ac:dyDescent="0.2"/>
    <row r="50" spans="2:60" ht="4.5" customHeight="1" x14ac:dyDescent="0.2">
      <c r="B50" s="477" t="str">
        <f>IF(Roster!$A$9=0,"","#"&amp;Roster!$A$9)</f>
        <v>#8</v>
      </c>
      <c r="C50" s="146"/>
      <c r="D50" s="146"/>
      <c r="E50" s="146"/>
      <c r="F50" s="146"/>
      <c r="G50" s="146"/>
      <c r="H50" s="146"/>
      <c r="I50" s="146"/>
      <c r="J50" s="146"/>
      <c r="K50" s="146"/>
      <c r="L50" s="146"/>
      <c r="M50" s="146"/>
      <c r="N50" s="146"/>
      <c r="O50" s="146"/>
      <c r="Q50" s="477" t="str">
        <f>IF(Roster!$A$10=0,"","#"&amp;Roster!$A$10)</f>
        <v>#9</v>
      </c>
      <c r="R50" s="146"/>
      <c r="S50" s="146"/>
      <c r="T50" s="146"/>
      <c r="U50" s="146"/>
      <c r="V50" s="146"/>
      <c r="W50" s="146"/>
      <c r="X50" s="146"/>
      <c r="Y50" s="146"/>
      <c r="Z50" s="146"/>
      <c r="AA50" s="146"/>
      <c r="AB50" s="146"/>
      <c r="AC50" s="146"/>
      <c r="AD50" s="146"/>
      <c r="AF50" s="477" t="str">
        <f>IF(Roster!$A$11=0,"","#"&amp;Roster!$A$11)</f>
        <v>#10</v>
      </c>
      <c r="AG50" s="146"/>
      <c r="AH50" s="146"/>
      <c r="AI50" s="146"/>
      <c r="AJ50" s="146"/>
      <c r="AK50" s="146"/>
      <c r="AL50" s="146"/>
      <c r="AM50" s="146"/>
      <c r="AN50" s="146"/>
      <c r="AO50" s="146"/>
      <c r="AP50" s="146"/>
      <c r="AQ50" s="146"/>
      <c r="AR50" s="146"/>
      <c r="AS50" s="146"/>
      <c r="AU50" s="477" t="str">
        <f>IF(Roster!$A$12=0,"","#"&amp;Roster!$A$12)</f>
        <v>#11</v>
      </c>
      <c r="AV50" s="146"/>
      <c r="AW50" s="146"/>
      <c r="AX50" s="146"/>
      <c r="AY50" s="146"/>
      <c r="AZ50" s="146"/>
      <c r="BA50" s="146"/>
      <c r="BB50" s="146"/>
      <c r="BC50" s="146"/>
      <c r="BD50" s="146"/>
      <c r="BE50" s="146"/>
      <c r="BF50" s="146"/>
      <c r="BG50" s="146"/>
      <c r="BH50" s="146"/>
    </row>
    <row r="51" spans="2:60" ht="15" customHeight="1" x14ac:dyDescent="0.25">
      <c r="B51" s="290"/>
      <c r="C51" s="480" t="str">
        <f>IF(Roster!$B$9=0,"",Roster!$B$9)</f>
        <v>Biaso</v>
      </c>
      <c r="D51" s="303"/>
      <c r="E51" s="303"/>
      <c r="F51" s="303"/>
      <c r="G51" s="303"/>
      <c r="H51" s="303"/>
      <c r="I51" s="303"/>
      <c r="J51" s="303"/>
      <c r="K51" s="303"/>
      <c r="L51" s="303"/>
      <c r="M51" s="303"/>
      <c r="N51" s="304"/>
      <c r="O51" s="146"/>
      <c r="Q51" s="290"/>
      <c r="R51" s="480" t="str">
        <f>IF(Roster!$B$10=0,"",Roster!$B$10)</f>
        <v>Calavria</v>
      </c>
      <c r="S51" s="303"/>
      <c r="T51" s="303"/>
      <c r="U51" s="303"/>
      <c r="V51" s="303"/>
      <c r="W51" s="303"/>
      <c r="X51" s="303"/>
      <c r="Y51" s="303"/>
      <c r="Z51" s="303"/>
      <c r="AA51" s="303"/>
      <c r="AB51" s="303"/>
      <c r="AC51" s="304"/>
      <c r="AD51" s="146"/>
      <c r="AF51" s="290"/>
      <c r="AG51" s="480" t="str">
        <f>IF(Roster!$B$11=0,"",Roster!$B$11)</f>
        <v>Mbrinnese</v>
      </c>
      <c r="AH51" s="303"/>
      <c r="AI51" s="303"/>
      <c r="AJ51" s="303"/>
      <c r="AK51" s="303"/>
      <c r="AL51" s="303"/>
      <c r="AM51" s="303"/>
      <c r="AN51" s="303"/>
      <c r="AO51" s="303"/>
      <c r="AP51" s="303"/>
      <c r="AQ51" s="303"/>
      <c r="AR51" s="304"/>
      <c r="AS51" s="146"/>
      <c r="AU51" s="290"/>
      <c r="AV51" s="480" t="str">
        <f>IF(Roster!$B$12=0,"",Roster!$B$12)</f>
        <v/>
      </c>
      <c r="AW51" s="303"/>
      <c r="AX51" s="303"/>
      <c r="AY51" s="303"/>
      <c r="AZ51" s="303"/>
      <c r="BA51" s="303"/>
      <c r="BB51" s="303"/>
      <c r="BC51" s="303"/>
      <c r="BD51" s="303"/>
      <c r="BE51" s="303"/>
      <c r="BF51" s="303"/>
      <c r="BG51" s="304"/>
      <c r="BH51" s="146"/>
    </row>
    <row r="52" spans="2:60" ht="11.25" customHeight="1" x14ac:dyDescent="0.2">
      <c r="B52" s="452"/>
      <c r="C52" s="481" t="str">
        <f>IF(Roster!$D$9=0,"",Roster!$D$9)</f>
        <v>Gnoblar</v>
      </c>
      <c r="D52" s="303"/>
      <c r="E52" s="303"/>
      <c r="F52" s="303"/>
      <c r="G52" s="303"/>
      <c r="H52" s="303"/>
      <c r="I52" s="303"/>
      <c r="J52" s="303"/>
      <c r="K52" s="303"/>
      <c r="L52" s="303"/>
      <c r="M52" s="303"/>
      <c r="N52" s="304"/>
      <c r="O52" s="147"/>
      <c r="Q52" s="452"/>
      <c r="R52" s="481" t="str">
        <f>IF(Roster!$D$10=0,"",Roster!$D$10)</f>
        <v>Gnoblar</v>
      </c>
      <c r="S52" s="303"/>
      <c r="T52" s="303"/>
      <c r="U52" s="303"/>
      <c r="V52" s="303"/>
      <c r="W52" s="303"/>
      <c r="X52" s="303"/>
      <c r="Y52" s="303"/>
      <c r="Z52" s="303"/>
      <c r="AA52" s="303"/>
      <c r="AB52" s="303"/>
      <c r="AC52" s="304"/>
      <c r="AD52" s="147"/>
      <c r="AF52" s="452"/>
      <c r="AG52" s="481" t="str">
        <f>IF(Roster!$D$11=0,"",Roster!$D$11)</f>
        <v>Gnoblar</v>
      </c>
      <c r="AH52" s="303"/>
      <c r="AI52" s="303"/>
      <c r="AJ52" s="303"/>
      <c r="AK52" s="303"/>
      <c r="AL52" s="303"/>
      <c r="AM52" s="303"/>
      <c r="AN52" s="303"/>
      <c r="AO52" s="303"/>
      <c r="AP52" s="303"/>
      <c r="AQ52" s="303"/>
      <c r="AR52" s="304"/>
      <c r="AS52" s="147"/>
      <c r="AU52" s="452"/>
      <c r="AV52" s="481" t="str">
        <f>IF(Roster!$D$12=0,"",Roster!$D$12)</f>
        <v/>
      </c>
      <c r="AW52" s="303"/>
      <c r="AX52" s="303"/>
      <c r="AY52" s="303"/>
      <c r="AZ52" s="303"/>
      <c r="BA52" s="303"/>
      <c r="BB52" s="303"/>
      <c r="BC52" s="303"/>
      <c r="BD52" s="303"/>
      <c r="BE52" s="303"/>
      <c r="BF52" s="303"/>
      <c r="BG52" s="304"/>
      <c r="BH52" s="147"/>
    </row>
    <row r="53" spans="2:60" ht="11.25" customHeight="1" x14ac:dyDescent="0.2">
      <c r="B53" s="150" t="str">
        <f>IF(Roster!$K$1=0,"",Roster!$K$1)</f>
        <v>MA</v>
      </c>
      <c r="C53" s="149"/>
      <c r="D53" s="492"/>
      <c r="E53" s="492"/>
      <c r="F53" s="492"/>
      <c r="G53" s="492"/>
      <c r="H53" s="492"/>
      <c r="I53" s="492"/>
      <c r="J53" s="492"/>
      <c r="K53" s="492"/>
      <c r="L53" s="492"/>
      <c r="M53" s="492"/>
      <c r="N53" s="492"/>
      <c r="O53" s="146"/>
      <c r="Q53" s="150" t="str">
        <f>IF(Roster!$K$1=0,"",Roster!$K$1)</f>
        <v>MA</v>
      </c>
      <c r="R53" s="149"/>
      <c r="S53" s="492"/>
      <c r="T53" s="492"/>
      <c r="U53" s="492"/>
      <c r="V53" s="492"/>
      <c r="W53" s="492"/>
      <c r="X53" s="492"/>
      <c r="Y53" s="492"/>
      <c r="Z53" s="492"/>
      <c r="AA53" s="492"/>
      <c r="AB53" s="492"/>
      <c r="AC53" s="492"/>
      <c r="AD53" s="146"/>
      <c r="AF53" s="150" t="str">
        <f>IF(Roster!$K$1=0,"",Roster!$K$1)</f>
        <v>MA</v>
      </c>
      <c r="AG53" s="149"/>
      <c r="AH53" s="492"/>
      <c r="AI53" s="492"/>
      <c r="AJ53" s="492"/>
      <c r="AK53" s="492"/>
      <c r="AL53" s="492"/>
      <c r="AM53" s="492"/>
      <c r="AN53" s="492"/>
      <c r="AO53" s="492"/>
      <c r="AP53" s="492"/>
      <c r="AQ53" s="492"/>
      <c r="AR53" s="492"/>
      <c r="AS53" s="146"/>
      <c r="AU53" s="150" t="str">
        <f>IF(Roster!$K$1=0,"",Roster!$K$1)</f>
        <v>MA</v>
      </c>
      <c r="AV53" s="149"/>
      <c r="AW53" s="492"/>
      <c r="AX53" s="492"/>
      <c r="AY53" s="492"/>
      <c r="AZ53" s="492"/>
      <c r="BA53" s="492"/>
      <c r="BB53" s="492"/>
      <c r="BC53" s="492"/>
      <c r="BD53" s="492"/>
      <c r="BE53" s="492"/>
      <c r="BF53" s="492"/>
      <c r="BG53" s="492"/>
      <c r="BH53" s="146"/>
    </row>
    <row r="54" spans="2:60" ht="37.5" customHeight="1" x14ac:dyDescent="0.2">
      <c r="B54" s="152">
        <f>IF(Roster!$K$9=0,"",Roster!$K$9)</f>
        <v>5</v>
      </c>
      <c r="C54" s="149"/>
      <c r="D54" s="492"/>
      <c r="E54" s="492"/>
      <c r="F54" s="492"/>
      <c r="G54" s="492"/>
      <c r="H54" s="492"/>
      <c r="I54" s="492"/>
      <c r="J54" s="492"/>
      <c r="K54" s="492"/>
      <c r="L54" s="492"/>
      <c r="M54" s="492"/>
      <c r="N54" s="492"/>
      <c r="O54" s="146"/>
      <c r="Q54" s="152">
        <f>IF(Roster!$K$10=0,"",Roster!$K$10)</f>
        <v>5</v>
      </c>
      <c r="R54" s="149"/>
      <c r="S54" s="492"/>
      <c r="T54" s="492"/>
      <c r="U54" s="492"/>
      <c r="V54" s="492"/>
      <c r="W54" s="492"/>
      <c r="X54" s="492"/>
      <c r="Y54" s="492"/>
      <c r="Z54" s="492"/>
      <c r="AA54" s="492"/>
      <c r="AB54" s="492"/>
      <c r="AC54" s="492"/>
      <c r="AD54" s="146"/>
      <c r="AF54" s="152">
        <f>IF(Roster!$K$11=0,"",Roster!$K$11)</f>
        <v>5</v>
      </c>
      <c r="AG54" s="149"/>
      <c r="AH54" s="492"/>
      <c r="AI54" s="492"/>
      <c r="AJ54" s="492"/>
      <c r="AK54" s="492"/>
      <c r="AL54" s="492"/>
      <c r="AM54" s="492"/>
      <c r="AN54" s="492"/>
      <c r="AO54" s="492"/>
      <c r="AP54" s="492"/>
      <c r="AQ54" s="492"/>
      <c r="AR54" s="492"/>
      <c r="AS54" s="146"/>
      <c r="AU54" s="152" t="str">
        <f>IF(Roster!$K$12=0,"",Roster!$K$12)</f>
        <v/>
      </c>
      <c r="AV54" s="149"/>
      <c r="AW54" s="492"/>
      <c r="AX54" s="492"/>
      <c r="AY54" s="492"/>
      <c r="AZ54" s="492"/>
      <c r="BA54" s="492"/>
      <c r="BB54" s="492"/>
      <c r="BC54" s="492"/>
      <c r="BD54" s="492"/>
      <c r="BE54" s="492"/>
      <c r="BF54" s="492"/>
      <c r="BG54" s="492"/>
      <c r="BH54" s="146"/>
    </row>
    <row r="55" spans="2:60" ht="11.25" customHeight="1" x14ac:dyDescent="0.2">
      <c r="B55" s="150" t="str">
        <f>IF(Roster!$L$1=0,"",Roster!$L$1)</f>
        <v>ST</v>
      </c>
      <c r="C55" s="149"/>
      <c r="D55" s="492"/>
      <c r="E55" s="492"/>
      <c r="F55" s="492"/>
      <c r="G55" s="492"/>
      <c r="H55" s="492"/>
      <c r="I55" s="492"/>
      <c r="J55" s="492"/>
      <c r="K55" s="492"/>
      <c r="L55" s="492"/>
      <c r="M55" s="492"/>
      <c r="N55" s="492"/>
      <c r="O55" s="146"/>
      <c r="Q55" s="150" t="str">
        <f>IF(Roster!$L$1=0,"",Roster!$L$1)</f>
        <v>ST</v>
      </c>
      <c r="R55" s="149"/>
      <c r="S55" s="492"/>
      <c r="T55" s="492"/>
      <c r="U55" s="492"/>
      <c r="V55" s="492"/>
      <c r="W55" s="492"/>
      <c r="X55" s="492"/>
      <c r="Y55" s="492"/>
      <c r="Z55" s="492"/>
      <c r="AA55" s="492"/>
      <c r="AB55" s="492"/>
      <c r="AC55" s="492"/>
      <c r="AD55" s="146"/>
      <c r="AF55" s="150" t="str">
        <f>IF(Roster!$L$1=0,"",Roster!$L$1)</f>
        <v>ST</v>
      </c>
      <c r="AG55" s="149"/>
      <c r="AH55" s="492"/>
      <c r="AI55" s="492"/>
      <c r="AJ55" s="492"/>
      <c r="AK55" s="492"/>
      <c r="AL55" s="492"/>
      <c r="AM55" s="492"/>
      <c r="AN55" s="492"/>
      <c r="AO55" s="492"/>
      <c r="AP55" s="492"/>
      <c r="AQ55" s="492"/>
      <c r="AR55" s="492"/>
      <c r="AS55" s="146"/>
      <c r="AU55" s="150" t="str">
        <f>IF(Roster!$L$1=0,"",Roster!$L$1)</f>
        <v>ST</v>
      </c>
      <c r="AV55" s="149"/>
      <c r="AW55" s="492"/>
      <c r="AX55" s="492"/>
      <c r="AY55" s="492"/>
      <c r="AZ55" s="492"/>
      <c r="BA55" s="492"/>
      <c r="BB55" s="492"/>
      <c r="BC55" s="492"/>
      <c r="BD55" s="492"/>
      <c r="BE55" s="492"/>
      <c r="BF55" s="492"/>
      <c r="BG55" s="492"/>
      <c r="BH55" s="146"/>
    </row>
    <row r="56" spans="2:60" ht="37.5" customHeight="1" x14ac:dyDescent="0.2">
      <c r="B56" s="152">
        <f>IF(Roster!$L$9=0,"",Roster!$L$9)</f>
        <v>1</v>
      </c>
      <c r="C56" s="149"/>
      <c r="D56" s="492"/>
      <c r="E56" s="492"/>
      <c r="F56" s="492"/>
      <c r="G56" s="492"/>
      <c r="H56" s="492"/>
      <c r="I56" s="492"/>
      <c r="J56" s="492"/>
      <c r="K56" s="492"/>
      <c r="L56" s="492"/>
      <c r="M56" s="492"/>
      <c r="N56" s="492"/>
      <c r="O56" s="146"/>
      <c r="Q56" s="152">
        <f>IF(Roster!$L$10=0,"",Roster!$L$10)</f>
        <v>1</v>
      </c>
      <c r="R56" s="149"/>
      <c r="S56" s="492"/>
      <c r="T56" s="492"/>
      <c r="U56" s="492"/>
      <c r="V56" s="492"/>
      <c r="W56" s="492"/>
      <c r="X56" s="492"/>
      <c r="Y56" s="492"/>
      <c r="Z56" s="492"/>
      <c r="AA56" s="492"/>
      <c r="AB56" s="492"/>
      <c r="AC56" s="492"/>
      <c r="AD56" s="146"/>
      <c r="AF56" s="152">
        <f>IF(Roster!$L$11=0,"",Roster!$L$11)</f>
        <v>1</v>
      </c>
      <c r="AG56" s="149"/>
      <c r="AH56" s="492"/>
      <c r="AI56" s="492"/>
      <c r="AJ56" s="492"/>
      <c r="AK56" s="492"/>
      <c r="AL56" s="492"/>
      <c r="AM56" s="492"/>
      <c r="AN56" s="492"/>
      <c r="AO56" s="492"/>
      <c r="AP56" s="492"/>
      <c r="AQ56" s="492"/>
      <c r="AR56" s="492"/>
      <c r="AS56" s="146"/>
      <c r="AU56" s="152" t="str">
        <f>IF(Roster!$L$12=0,"",Roster!$L$12)</f>
        <v/>
      </c>
      <c r="AV56" s="149"/>
      <c r="AW56" s="492"/>
      <c r="AX56" s="492"/>
      <c r="AY56" s="492"/>
      <c r="AZ56" s="492"/>
      <c r="BA56" s="492"/>
      <c r="BB56" s="492"/>
      <c r="BC56" s="492"/>
      <c r="BD56" s="492"/>
      <c r="BE56" s="492"/>
      <c r="BF56" s="492"/>
      <c r="BG56" s="492"/>
      <c r="BH56" s="146"/>
    </row>
    <row r="57" spans="2:60" ht="11.25" customHeight="1" x14ac:dyDescent="0.2">
      <c r="B57" s="150" t="str">
        <f>IF(Roster!$M$1=0,"",Roster!$M$1)</f>
        <v>AG</v>
      </c>
      <c r="C57" s="149"/>
      <c r="D57" s="492"/>
      <c r="E57" s="492"/>
      <c r="F57" s="492"/>
      <c r="G57" s="492"/>
      <c r="H57" s="492"/>
      <c r="I57" s="492"/>
      <c r="J57" s="492"/>
      <c r="K57" s="492"/>
      <c r="L57" s="492"/>
      <c r="M57" s="492"/>
      <c r="N57" s="492"/>
      <c r="O57" s="146"/>
      <c r="Q57" s="150" t="str">
        <f>IF(Roster!$M$1=0,"",Roster!$M$1)</f>
        <v>AG</v>
      </c>
      <c r="R57" s="149"/>
      <c r="S57" s="492"/>
      <c r="T57" s="492"/>
      <c r="U57" s="492"/>
      <c r="V57" s="492"/>
      <c r="W57" s="492"/>
      <c r="X57" s="492"/>
      <c r="Y57" s="492"/>
      <c r="Z57" s="492"/>
      <c r="AA57" s="492"/>
      <c r="AB57" s="492"/>
      <c r="AC57" s="492"/>
      <c r="AD57" s="146"/>
      <c r="AF57" s="150" t="str">
        <f>IF(Roster!$M$1=0,"",Roster!$M$1)</f>
        <v>AG</v>
      </c>
      <c r="AG57" s="149"/>
      <c r="AH57" s="492"/>
      <c r="AI57" s="492"/>
      <c r="AJ57" s="492"/>
      <c r="AK57" s="492"/>
      <c r="AL57" s="492"/>
      <c r="AM57" s="492"/>
      <c r="AN57" s="492"/>
      <c r="AO57" s="492"/>
      <c r="AP57" s="492"/>
      <c r="AQ57" s="492"/>
      <c r="AR57" s="492"/>
      <c r="AS57" s="146"/>
      <c r="AU57" s="150" t="str">
        <f>IF(Roster!$M$1=0,"",Roster!$M$1)</f>
        <v>AG</v>
      </c>
      <c r="AV57" s="149"/>
      <c r="AW57" s="492"/>
      <c r="AX57" s="492"/>
      <c r="AY57" s="492"/>
      <c r="AZ57" s="492"/>
      <c r="BA57" s="492"/>
      <c r="BB57" s="492"/>
      <c r="BC57" s="492"/>
      <c r="BD57" s="492"/>
      <c r="BE57" s="492"/>
      <c r="BF57" s="492"/>
      <c r="BG57" s="492"/>
      <c r="BH57" s="146"/>
    </row>
    <row r="58" spans="2:60" ht="37.5" customHeight="1" x14ac:dyDescent="0.2">
      <c r="B58" s="152" t="str">
        <f>IF(Roster!$M$9=0&amp;"+","",Roster!$M$9)</f>
        <v>3+</v>
      </c>
      <c r="C58" s="149"/>
      <c r="D58" s="492"/>
      <c r="E58" s="492"/>
      <c r="F58" s="492"/>
      <c r="G58" s="492"/>
      <c r="H58" s="492"/>
      <c r="I58" s="492"/>
      <c r="J58" s="492"/>
      <c r="K58" s="492"/>
      <c r="L58" s="492"/>
      <c r="M58" s="492"/>
      <c r="N58" s="492"/>
      <c r="O58" s="146"/>
      <c r="Q58" s="152" t="str">
        <f>IF(Roster!$M$10=0&amp;"+","",Roster!$M$10)</f>
        <v>3+</v>
      </c>
      <c r="R58" s="149"/>
      <c r="S58" s="492"/>
      <c r="T58" s="492"/>
      <c r="U58" s="492"/>
      <c r="V58" s="492"/>
      <c r="W58" s="492"/>
      <c r="X58" s="492"/>
      <c r="Y58" s="492"/>
      <c r="Z58" s="492"/>
      <c r="AA58" s="492"/>
      <c r="AB58" s="492"/>
      <c r="AC58" s="492"/>
      <c r="AD58" s="146"/>
      <c r="AF58" s="152" t="str">
        <f>IF(Roster!$M$11=0&amp;"+","",Roster!$M$11)</f>
        <v>3+</v>
      </c>
      <c r="AG58" s="149"/>
      <c r="AH58" s="492"/>
      <c r="AI58" s="492"/>
      <c r="AJ58" s="492"/>
      <c r="AK58" s="492"/>
      <c r="AL58" s="492"/>
      <c r="AM58" s="492"/>
      <c r="AN58" s="492"/>
      <c r="AO58" s="492"/>
      <c r="AP58" s="492"/>
      <c r="AQ58" s="492"/>
      <c r="AR58" s="492"/>
      <c r="AS58" s="146"/>
      <c r="AU58" s="152" t="str">
        <f>IF(Roster!$M$12=0&amp;"+","",Roster!$M$12)</f>
        <v/>
      </c>
      <c r="AV58" s="149"/>
      <c r="AW58" s="492"/>
      <c r="AX58" s="492"/>
      <c r="AY58" s="492"/>
      <c r="AZ58" s="492"/>
      <c r="BA58" s="492"/>
      <c r="BB58" s="492"/>
      <c r="BC58" s="492"/>
      <c r="BD58" s="492"/>
      <c r="BE58" s="492"/>
      <c r="BF58" s="492"/>
      <c r="BG58" s="492"/>
      <c r="BH58" s="146"/>
    </row>
    <row r="59" spans="2:60" ht="11.25" customHeight="1" x14ac:dyDescent="0.2">
      <c r="B59" s="150" t="str">
        <f>IF(Roster!$N$1=0,"",Roster!$N$1)</f>
        <v>PA</v>
      </c>
      <c r="C59" s="149"/>
      <c r="D59" s="492"/>
      <c r="E59" s="492"/>
      <c r="F59" s="492"/>
      <c r="G59" s="492"/>
      <c r="H59" s="492"/>
      <c r="I59" s="492"/>
      <c r="J59" s="492"/>
      <c r="K59" s="492"/>
      <c r="L59" s="492"/>
      <c r="M59" s="492"/>
      <c r="N59" s="492"/>
      <c r="O59" s="155"/>
      <c r="Q59" s="150" t="str">
        <f>IF(Roster!$N$1=0,"",Roster!$N$1)</f>
        <v>PA</v>
      </c>
      <c r="R59" s="149"/>
      <c r="S59" s="492"/>
      <c r="T59" s="492"/>
      <c r="U59" s="492"/>
      <c r="V59" s="492"/>
      <c r="W59" s="492"/>
      <c r="X59" s="492"/>
      <c r="Y59" s="492"/>
      <c r="Z59" s="492"/>
      <c r="AA59" s="492"/>
      <c r="AB59" s="492"/>
      <c r="AC59" s="492"/>
      <c r="AD59" s="155"/>
      <c r="AF59" s="150" t="str">
        <f>IF(Roster!$N$1=0,"",Roster!$N$1)</f>
        <v>PA</v>
      </c>
      <c r="AG59" s="149"/>
      <c r="AH59" s="492"/>
      <c r="AI59" s="492"/>
      <c r="AJ59" s="492"/>
      <c r="AK59" s="492"/>
      <c r="AL59" s="492"/>
      <c r="AM59" s="492"/>
      <c r="AN59" s="492"/>
      <c r="AO59" s="492"/>
      <c r="AP59" s="492"/>
      <c r="AQ59" s="492"/>
      <c r="AR59" s="492"/>
      <c r="AS59" s="155"/>
      <c r="AU59" s="150" t="str">
        <f>IF(Roster!$N$1=0,"",Roster!$N$1)</f>
        <v>PA</v>
      </c>
      <c r="AV59" s="149"/>
      <c r="AW59" s="492"/>
      <c r="AX59" s="492"/>
      <c r="AY59" s="492"/>
      <c r="AZ59" s="492"/>
      <c r="BA59" s="492"/>
      <c r="BB59" s="492"/>
      <c r="BC59" s="492"/>
      <c r="BD59" s="492"/>
      <c r="BE59" s="492"/>
      <c r="BF59" s="492"/>
      <c r="BG59" s="492"/>
      <c r="BH59" s="155"/>
    </row>
    <row r="60" spans="2:60" ht="6" customHeight="1" x14ac:dyDescent="0.2">
      <c r="B60" s="474" t="str">
        <f>IF(Roster!$N$9=0&amp;"+","",Roster!$N$9)</f>
        <v>5+</v>
      </c>
      <c r="C60" s="149"/>
      <c r="D60" s="492"/>
      <c r="E60" s="492"/>
      <c r="F60" s="492"/>
      <c r="G60" s="492"/>
      <c r="H60" s="492"/>
      <c r="I60" s="492"/>
      <c r="J60" s="492"/>
      <c r="K60" s="492"/>
      <c r="L60" s="492"/>
      <c r="M60" s="492"/>
      <c r="N60" s="492"/>
      <c r="O60" s="157"/>
      <c r="Q60" s="474" t="str">
        <f>IF(Roster!$N$10=0&amp;"+","",Roster!$N$10)</f>
        <v>5+</v>
      </c>
      <c r="R60" s="149"/>
      <c r="S60" s="492"/>
      <c r="T60" s="492"/>
      <c r="U60" s="492"/>
      <c r="V60" s="492"/>
      <c r="W60" s="492"/>
      <c r="X60" s="492"/>
      <c r="Y60" s="492"/>
      <c r="Z60" s="492"/>
      <c r="AA60" s="492"/>
      <c r="AB60" s="492"/>
      <c r="AC60" s="492"/>
      <c r="AD60" s="157"/>
      <c r="AF60" s="474" t="str">
        <f>IF(Roster!$N$11=0&amp;"+","",Roster!$N$11)</f>
        <v>5+</v>
      </c>
      <c r="AG60" s="149"/>
      <c r="AH60" s="492"/>
      <c r="AI60" s="492"/>
      <c r="AJ60" s="492"/>
      <c r="AK60" s="492"/>
      <c r="AL60" s="492"/>
      <c r="AM60" s="492"/>
      <c r="AN60" s="492"/>
      <c r="AO60" s="492"/>
      <c r="AP60" s="492"/>
      <c r="AQ60" s="492"/>
      <c r="AR60" s="492"/>
      <c r="AS60" s="157"/>
      <c r="AU60" s="474" t="str">
        <f>IF(Roster!$N$12=0&amp;"+","",Roster!$N$12)</f>
        <v/>
      </c>
      <c r="AV60" s="149"/>
      <c r="AW60" s="492"/>
      <c r="AX60" s="492"/>
      <c r="AY60" s="492"/>
      <c r="AZ60" s="492"/>
      <c r="BA60" s="492"/>
      <c r="BB60" s="492"/>
      <c r="BC60" s="492"/>
      <c r="BD60" s="492"/>
      <c r="BE60" s="492"/>
      <c r="BF60" s="492"/>
      <c r="BG60" s="492"/>
      <c r="BH60" s="157"/>
    </row>
    <row r="61" spans="2:60" ht="4.5" customHeight="1" x14ac:dyDescent="0.2">
      <c r="B61" s="290"/>
      <c r="C61" s="149"/>
      <c r="D61" s="146"/>
      <c r="E61" s="156"/>
      <c r="F61" s="146"/>
      <c r="G61" s="156"/>
      <c r="H61" s="146"/>
      <c r="I61" s="156"/>
      <c r="J61" s="146"/>
      <c r="K61" s="156"/>
      <c r="L61" s="146"/>
      <c r="M61" s="156"/>
      <c r="N61" s="146"/>
      <c r="O61" s="157"/>
      <c r="Q61" s="290"/>
      <c r="R61" s="149"/>
      <c r="S61" s="146"/>
      <c r="T61" s="156"/>
      <c r="U61" s="146"/>
      <c r="V61" s="156"/>
      <c r="W61" s="146"/>
      <c r="X61" s="156"/>
      <c r="Y61" s="146"/>
      <c r="Z61" s="156"/>
      <c r="AA61" s="146"/>
      <c r="AB61" s="156"/>
      <c r="AC61" s="146"/>
      <c r="AD61" s="157"/>
      <c r="AF61" s="290"/>
      <c r="AG61" s="149"/>
      <c r="AH61" s="146"/>
      <c r="AI61" s="156"/>
      <c r="AJ61" s="146"/>
      <c r="AK61" s="156"/>
      <c r="AL61" s="146"/>
      <c r="AM61" s="156"/>
      <c r="AN61" s="146"/>
      <c r="AO61" s="156"/>
      <c r="AP61" s="146"/>
      <c r="AQ61" s="156"/>
      <c r="AR61" s="146"/>
      <c r="AS61" s="157"/>
      <c r="AU61" s="290"/>
      <c r="AV61" s="149"/>
      <c r="AW61" s="146"/>
      <c r="AX61" s="156"/>
      <c r="AY61" s="146"/>
      <c r="AZ61" s="156"/>
      <c r="BA61" s="146"/>
      <c r="BB61" s="156"/>
      <c r="BC61" s="146"/>
      <c r="BD61" s="156"/>
      <c r="BE61" s="146"/>
      <c r="BF61" s="156"/>
      <c r="BG61" s="146"/>
      <c r="BH61" s="157"/>
    </row>
    <row r="62" spans="2:60" ht="11.25" customHeight="1" x14ac:dyDescent="0.2">
      <c r="B62" s="290"/>
      <c r="C62" s="149"/>
      <c r="D62" s="158" t="str">
        <f>IF(Roster!$AD$1=0,"",Roster!$AD$1)</f>
        <v>TD</v>
      </c>
      <c r="E62" s="156"/>
      <c r="F62" s="158" t="str">
        <f>IF(Roster!$K$25="Español","HER",(IF(Roster!$K$25="Deutsch","VER",(IF(Roster!$K$25="Français","BLES","CAS")))))</f>
        <v>CAS</v>
      </c>
      <c r="G62" s="156"/>
      <c r="H62" s="158" t="str">
        <f>IF(Roster!$AG$1=0,"",Roster!$AG$1)</f>
        <v>BH</v>
      </c>
      <c r="I62" s="156"/>
      <c r="J62" s="158" t="str">
        <f>IF(Roster!$AH$1=0,"",Roster!$AH$1)</f>
        <v>SI</v>
      </c>
      <c r="K62" s="156"/>
      <c r="L62" s="158" t="str">
        <f>IF(Roster!$AI$1=0,"",Roster!$AI$1)</f>
        <v>KILL</v>
      </c>
      <c r="M62" s="156"/>
      <c r="N62" s="158" t="str">
        <f>IF(Roster!$AC$1=0,"",Roster!$AC$1)</f>
        <v>CP</v>
      </c>
      <c r="O62" s="157"/>
      <c r="Q62" s="290"/>
      <c r="R62" s="149"/>
      <c r="S62" s="158" t="str">
        <f>IF(Roster!$AD$1=0,"",Roster!$AD$1)</f>
        <v>TD</v>
      </c>
      <c r="T62" s="156"/>
      <c r="U62" s="158" t="str">
        <f>IF(Roster!$K$25="Español","HER",(IF(Roster!$K$25="Deutsch","VER",(IF(Roster!$K$25="Français","BLES","CAS")))))</f>
        <v>CAS</v>
      </c>
      <c r="V62" s="156"/>
      <c r="W62" s="158" t="str">
        <f>IF(Roster!$AG$1=0,"",Roster!$AG$1)</f>
        <v>BH</v>
      </c>
      <c r="X62" s="156"/>
      <c r="Y62" s="158" t="str">
        <f>IF(Roster!$AH$1=0,"",Roster!$AH$1)</f>
        <v>SI</v>
      </c>
      <c r="Z62" s="156"/>
      <c r="AA62" s="158" t="str">
        <f>IF(Roster!$AI$1=0,"",Roster!$AI$1)</f>
        <v>KILL</v>
      </c>
      <c r="AB62" s="156"/>
      <c r="AC62" s="158" t="str">
        <f>IF(Roster!$AC$1=0,"",Roster!$AC$1)</f>
        <v>CP</v>
      </c>
      <c r="AD62" s="157"/>
      <c r="AF62" s="290"/>
      <c r="AG62" s="149"/>
      <c r="AH62" s="158" t="str">
        <f>IF(Roster!$AD$1=0,"",Roster!$AD$1)</f>
        <v>TD</v>
      </c>
      <c r="AI62" s="156"/>
      <c r="AJ62" s="158" t="str">
        <f>IF(Roster!$K$25="Español","HER",(IF(Roster!$K$25="Deutsch","VER",(IF(Roster!$K$25="Français","BLES","CAS")))))</f>
        <v>CAS</v>
      </c>
      <c r="AK62" s="156"/>
      <c r="AL62" s="158" t="str">
        <f>IF(Roster!$AG$1=0,"",Roster!$AG$1)</f>
        <v>BH</v>
      </c>
      <c r="AM62" s="156"/>
      <c r="AN62" s="158" t="str">
        <f>IF(Roster!$AH$1=0,"",Roster!$AH$1)</f>
        <v>SI</v>
      </c>
      <c r="AO62" s="156"/>
      <c r="AP62" s="158" t="str">
        <f>IF(Roster!$AI$1=0,"",Roster!$AI$1)</f>
        <v>KILL</v>
      </c>
      <c r="AQ62" s="156"/>
      <c r="AR62" s="158" t="str">
        <f>IF(Roster!$AC$1=0,"",Roster!$AC$1)</f>
        <v>CP</v>
      </c>
      <c r="AS62" s="157"/>
      <c r="AU62" s="290"/>
      <c r="AV62" s="149"/>
      <c r="AW62" s="158" t="str">
        <f>IF(Roster!$AD$1=0,"",Roster!$AD$1)</f>
        <v>TD</v>
      </c>
      <c r="AX62" s="156"/>
      <c r="AY62" s="158" t="str">
        <f>IF(Roster!$K$25="Español","HER",(IF(Roster!$K$25="Deutsch","VER",(IF(Roster!$K$25="Français","BLES","CAS")))))</f>
        <v>CAS</v>
      </c>
      <c r="AZ62" s="156"/>
      <c r="BA62" s="158" t="str">
        <f>IF(Roster!$AG$1=0,"",Roster!$AG$1)</f>
        <v>BH</v>
      </c>
      <c r="BB62" s="156"/>
      <c r="BC62" s="158" t="str">
        <f>IF(Roster!$AH$1=0,"",Roster!$AH$1)</f>
        <v>SI</v>
      </c>
      <c r="BD62" s="156"/>
      <c r="BE62" s="158" t="str">
        <f>IF(Roster!$AI$1=0,"",Roster!$AI$1)</f>
        <v>KILL</v>
      </c>
      <c r="BF62" s="156"/>
      <c r="BG62" s="158" t="str">
        <f>IF(Roster!$AC$1=0,"",Roster!$AC$1)</f>
        <v>CP</v>
      </c>
      <c r="BH62" s="157"/>
    </row>
    <row r="63" spans="2:60" ht="15" customHeight="1" x14ac:dyDescent="0.2">
      <c r="B63" s="290"/>
      <c r="C63" s="151"/>
      <c r="D63" s="159">
        <f>IF(Roster!$AD$9=0,"",Roster!$AD$9)</f>
        <v>1</v>
      </c>
      <c r="E63" s="151"/>
      <c r="F63" s="159" t="str">
        <f>IF((SUM(H63,J63,L63))=0,"",(SUM(H63,J63,L63)))</f>
        <v/>
      </c>
      <c r="G63" s="151"/>
      <c r="H63" s="159" t="str">
        <f>IF(Roster!$AG$9=0,"",Roster!$AG$9)</f>
        <v/>
      </c>
      <c r="I63" s="151"/>
      <c r="J63" s="159" t="str">
        <f>IF(Roster!$AH$9=0,"",Roster!$AH$9)</f>
        <v/>
      </c>
      <c r="K63" s="151"/>
      <c r="L63" s="159" t="str">
        <f>IF(Roster!$AI$9=0,"",Roster!$AI$9)</f>
        <v/>
      </c>
      <c r="M63" s="151"/>
      <c r="N63" s="159" t="str">
        <f>IF(Roster!$AC$9=0,"",Roster!$AC$9)</f>
        <v/>
      </c>
      <c r="O63" s="157"/>
      <c r="Q63" s="290"/>
      <c r="R63" s="151"/>
      <c r="S63" s="159" t="str">
        <f>IF(Roster!$AD$10=0,"",Roster!$AD$10)</f>
        <v/>
      </c>
      <c r="T63" s="151"/>
      <c r="U63" s="159" t="str">
        <f>IF((SUM(W63,Y63,AA63))=0,"",(SUM(W63,Y63,AA63)))</f>
        <v/>
      </c>
      <c r="V63" s="151"/>
      <c r="W63" s="159" t="str">
        <f>IF(Roster!$AG$10=0,"",Roster!$AG$10)</f>
        <v/>
      </c>
      <c r="X63" s="151"/>
      <c r="Y63" s="159" t="str">
        <f>IF(Roster!$AH$10=0,"",Roster!$AH$10)</f>
        <v/>
      </c>
      <c r="Z63" s="151"/>
      <c r="AA63" s="159" t="str">
        <f>IF(Roster!$AI$10=0,"",Roster!$AI$10)</f>
        <v/>
      </c>
      <c r="AB63" s="151"/>
      <c r="AC63" s="159" t="str">
        <f>IF(Roster!$AC$10=0,"",Roster!$AC$10)</f>
        <v/>
      </c>
      <c r="AD63" s="157"/>
      <c r="AF63" s="290"/>
      <c r="AG63" s="151"/>
      <c r="AH63" s="159" t="str">
        <f>IF(Roster!$AD$11=0,"",Roster!$AD$11)</f>
        <v/>
      </c>
      <c r="AI63" s="151"/>
      <c r="AJ63" s="159" t="str">
        <f>IF((SUM(AL63,AN63,AP63))=0,"",(SUM(AL63,AN63,AP63)))</f>
        <v/>
      </c>
      <c r="AK63" s="151"/>
      <c r="AL63" s="159" t="str">
        <f>IF(Roster!$AG$11=0,"",Roster!$AG$11)</f>
        <v/>
      </c>
      <c r="AM63" s="151"/>
      <c r="AN63" s="159" t="str">
        <f>IF(Roster!$AH$11=0,"",Roster!$AH$11)</f>
        <v/>
      </c>
      <c r="AO63" s="151"/>
      <c r="AP63" s="159" t="str">
        <f>IF(Roster!$AI$11=0,"",Roster!$AI$11)</f>
        <v/>
      </c>
      <c r="AQ63" s="151"/>
      <c r="AR63" s="159" t="str">
        <f>IF(Roster!$AC$11=0,"",Roster!$AC$11)</f>
        <v/>
      </c>
      <c r="AS63" s="157"/>
      <c r="AU63" s="290"/>
      <c r="AV63" s="151"/>
      <c r="AW63" s="159" t="str">
        <f>IF(Roster!$AD$12=0,"",Roster!$AD$12)</f>
        <v/>
      </c>
      <c r="AX63" s="151"/>
      <c r="AY63" s="159" t="str">
        <f>IF((SUM(BA63,BC63,BE63))=0,"",(SUM(BA63,BC63,BE63)))</f>
        <v/>
      </c>
      <c r="AZ63" s="151"/>
      <c r="BA63" s="159" t="str">
        <f>IF(Roster!$AG$12=0,"",Roster!$AG$12)</f>
        <v/>
      </c>
      <c r="BB63" s="151"/>
      <c r="BC63" s="159" t="str">
        <f>IF(Roster!$AH$12=0,"",Roster!$AH$12)</f>
        <v/>
      </c>
      <c r="BD63" s="151"/>
      <c r="BE63" s="159" t="str">
        <f>IF(Roster!$AI$12=0,"",Roster!$AI$12)</f>
        <v/>
      </c>
      <c r="BF63" s="151"/>
      <c r="BG63" s="159" t="str">
        <f>IF(Roster!$AC$12=0,"",Roster!$AC$12)</f>
        <v/>
      </c>
      <c r="BH63" s="157"/>
    </row>
    <row r="64" spans="2:60" ht="4.5" customHeight="1" x14ac:dyDescent="0.2">
      <c r="B64" s="452"/>
      <c r="C64" s="151"/>
      <c r="D64" s="160"/>
      <c r="E64" s="151"/>
      <c r="F64" s="160"/>
      <c r="G64" s="151"/>
      <c r="H64" s="160"/>
      <c r="I64" s="151"/>
      <c r="J64" s="160"/>
      <c r="K64" s="151"/>
      <c r="L64" s="160"/>
      <c r="M64" s="151"/>
      <c r="N64" s="160"/>
      <c r="O64" s="157"/>
      <c r="Q64" s="452"/>
      <c r="R64" s="151"/>
      <c r="S64" s="160"/>
      <c r="T64" s="151"/>
      <c r="U64" s="160"/>
      <c r="V64" s="151"/>
      <c r="W64" s="160"/>
      <c r="X64" s="151"/>
      <c r="Y64" s="160"/>
      <c r="Z64" s="151"/>
      <c r="AA64" s="160"/>
      <c r="AB64" s="151"/>
      <c r="AC64" s="160"/>
      <c r="AD64" s="157"/>
      <c r="AF64" s="452"/>
      <c r="AG64" s="151"/>
      <c r="AH64" s="160"/>
      <c r="AI64" s="151"/>
      <c r="AJ64" s="160"/>
      <c r="AK64" s="151"/>
      <c r="AL64" s="160"/>
      <c r="AM64" s="151"/>
      <c r="AN64" s="160"/>
      <c r="AO64" s="151"/>
      <c r="AP64" s="160"/>
      <c r="AQ64" s="151"/>
      <c r="AR64" s="160"/>
      <c r="AS64" s="157"/>
      <c r="AU64" s="452"/>
      <c r="AV64" s="151"/>
      <c r="AW64" s="160"/>
      <c r="AX64" s="151"/>
      <c r="AY64" s="160"/>
      <c r="AZ64" s="151"/>
      <c r="BA64" s="160"/>
      <c r="BB64" s="151"/>
      <c r="BC64" s="160"/>
      <c r="BD64" s="151"/>
      <c r="BE64" s="160"/>
      <c r="BF64" s="151"/>
      <c r="BG64" s="160"/>
      <c r="BH64" s="157"/>
    </row>
    <row r="65" spans="2:60" ht="11.25" customHeight="1" x14ac:dyDescent="0.2">
      <c r="B65" s="150" t="str">
        <f>IF(Roster!$O$1=0,"",Roster!$O$1)</f>
        <v>AV</v>
      </c>
      <c r="C65" s="150"/>
      <c r="D65" s="158" t="str">
        <f>IF(Roster!$AE$1=0,"",Roster!$AE$1)</f>
        <v>DEF</v>
      </c>
      <c r="E65" s="150"/>
      <c r="F65" s="158" t="str">
        <f>IF(Roster!$AF$1=0,"",Roster!$AF$1)</f>
        <v>INT</v>
      </c>
      <c r="G65" s="150"/>
      <c r="H65" s="158" t="str">
        <f>IF(Roster!$AB$1=0,"",Roster!$AB$1)</f>
        <v>SPE</v>
      </c>
      <c r="I65" s="150"/>
      <c r="J65" s="158" t="str">
        <f>IF(Roster!$AJ$1=0,"",Roster!$AJ$1)</f>
        <v>MVP</v>
      </c>
      <c r="K65" s="150"/>
      <c r="L65" s="204" t="s">
        <v>257</v>
      </c>
      <c r="M65" s="150"/>
      <c r="N65" s="205" t="str">
        <f>IF(Roster!$K$25="Español","LPP/RT",(IF(Roster!$K$25="Deutsch","VNS/AD",(IF(Roster!$K$25="Français","RPM/RT","MNG/TR")))))</f>
        <v>MNG/TR</v>
      </c>
      <c r="O65" s="146"/>
      <c r="Q65" s="150" t="str">
        <f>IF(Roster!$O$1=0,"",Roster!$O$1)</f>
        <v>AV</v>
      </c>
      <c r="R65" s="150"/>
      <c r="S65" s="158" t="str">
        <f>IF(Roster!$AE$1=0,"",Roster!$AE$1)</f>
        <v>DEF</v>
      </c>
      <c r="T65" s="150"/>
      <c r="U65" s="158" t="str">
        <f>IF(Roster!$AF$1=0,"",Roster!$AF$1)</f>
        <v>INT</v>
      </c>
      <c r="V65" s="150"/>
      <c r="W65" s="158" t="str">
        <f>IF(Roster!$AB$1=0,"",Roster!$AB$1)</f>
        <v>SPE</v>
      </c>
      <c r="X65" s="150"/>
      <c r="Y65" s="158" t="str">
        <f>IF(Roster!$AJ$1=0,"",Roster!$AJ$1)</f>
        <v>MVP</v>
      </c>
      <c r="Z65" s="150"/>
      <c r="AA65" s="204" t="s">
        <v>257</v>
      </c>
      <c r="AB65" s="150"/>
      <c r="AC65" s="205" t="str">
        <f>IF(Roster!$K$25="Español","LPP/RT",(IF(Roster!$K$25="Deutsch","VNS/AD",(IF(Roster!$K$25="Français","RPM/RT","MNG/TR")))))</f>
        <v>MNG/TR</v>
      </c>
      <c r="AD65" s="146"/>
      <c r="AF65" s="150" t="str">
        <f>IF(Roster!$O$1=0,"",Roster!$O$1)</f>
        <v>AV</v>
      </c>
      <c r="AG65" s="150"/>
      <c r="AH65" s="158" t="str">
        <f>IF(Roster!$AE$1=0,"",Roster!$AE$1)</f>
        <v>DEF</v>
      </c>
      <c r="AI65" s="150"/>
      <c r="AJ65" s="158" t="str">
        <f>IF(Roster!$AF$1=0,"",Roster!$AF$1)</f>
        <v>INT</v>
      </c>
      <c r="AK65" s="150"/>
      <c r="AL65" s="158" t="str">
        <f>IF(Roster!$AB$1=0,"",Roster!$AB$1)</f>
        <v>SPE</v>
      </c>
      <c r="AM65" s="150"/>
      <c r="AN65" s="158" t="str">
        <f>IF(Roster!$AJ$1=0,"",Roster!$AJ$1)</f>
        <v>MVP</v>
      </c>
      <c r="AO65" s="150"/>
      <c r="AP65" s="204" t="s">
        <v>257</v>
      </c>
      <c r="AQ65" s="150"/>
      <c r="AR65" s="205" t="str">
        <f>IF(Roster!$K$25="Español","LPP/RT",(IF(Roster!$K$25="Deutsch","VNS/AD",(IF(Roster!$K$25="Français","RPM/RT","MNG/TR")))))</f>
        <v>MNG/TR</v>
      </c>
      <c r="AS65" s="146"/>
      <c r="AU65" s="150" t="str">
        <f>IF(Roster!$O$1=0,"",Roster!$O$1)</f>
        <v>AV</v>
      </c>
      <c r="AV65" s="150"/>
      <c r="AW65" s="158" t="str">
        <f>IF(Roster!$AE$1=0,"",Roster!$AE$1)</f>
        <v>DEF</v>
      </c>
      <c r="AX65" s="150"/>
      <c r="AY65" s="158" t="str">
        <f>IF(Roster!$AF$1=0,"",Roster!$AF$1)</f>
        <v>INT</v>
      </c>
      <c r="AZ65" s="150"/>
      <c r="BA65" s="158" t="str">
        <f>IF(Roster!$AB$1=0,"",Roster!$AB$1)</f>
        <v>SPE</v>
      </c>
      <c r="BB65" s="150"/>
      <c r="BC65" s="158" t="str">
        <f>IF(Roster!$AJ$1=0,"",Roster!$AJ$1)</f>
        <v>MVP</v>
      </c>
      <c r="BD65" s="150"/>
      <c r="BE65" s="204" t="s">
        <v>257</v>
      </c>
      <c r="BF65" s="150"/>
      <c r="BG65" s="205" t="str">
        <f>IF(Roster!$K$25="Español","LPP/RT",(IF(Roster!$K$25="Deutsch","VNS/AD",(IF(Roster!$K$25="Français","RPM/RT","MNG/TR")))))</f>
        <v>MNG/TR</v>
      </c>
      <c r="BH65" s="146"/>
    </row>
    <row r="66" spans="2:60" ht="15" customHeight="1" x14ac:dyDescent="0.2">
      <c r="B66" s="474" t="str">
        <f>IF(Roster!$O$9=0&amp;"+","",Roster!$O$9)</f>
        <v>6+</v>
      </c>
      <c r="C66" s="151"/>
      <c r="D66" s="159" t="str">
        <f>IF(Roster!$AE$9=0,"",Roster!$AE$9)</f>
        <v/>
      </c>
      <c r="E66" s="151"/>
      <c r="F66" s="159" t="str">
        <f>IF(Roster!$AF$9=0,"",Roster!$AF$9)</f>
        <v/>
      </c>
      <c r="G66" s="151"/>
      <c r="H66" s="159" t="str">
        <f>IF(Roster!$AB$9=0,"",Roster!$AB$9)</f>
        <v/>
      </c>
      <c r="I66" s="151"/>
      <c r="J66" s="159" t="str">
        <f>IF(Roster!$AJ$9=0,"",Roster!$AJ$9)</f>
        <v/>
      </c>
      <c r="K66" s="151"/>
      <c r="L66" s="159">
        <f>IF(Roster!$AK$9=0,"",Roster!$AK$9)</f>
        <v>3</v>
      </c>
      <c r="M66" s="151"/>
      <c r="N66" s="159" t="str">
        <f>IF(Roster!$AA$9=0,"",Roster!$AA$9)</f>
        <v/>
      </c>
      <c r="O66" s="161"/>
      <c r="Q66" s="474" t="str">
        <f>IF(Roster!$O$10=0&amp;"+","",Roster!$O$10)</f>
        <v>6+</v>
      </c>
      <c r="R66" s="151"/>
      <c r="S66" s="159" t="str">
        <f>IF(Roster!$AE$10=0,"",Roster!$AE$10)</f>
        <v/>
      </c>
      <c r="T66" s="151"/>
      <c r="U66" s="159" t="str">
        <f>IF(Roster!$AF$10=0,"",Roster!$AF$10)</f>
        <v/>
      </c>
      <c r="V66" s="151"/>
      <c r="W66" s="159" t="str">
        <f>IF(Roster!$AB$10=0,"",Roster!$AB$10)</f>
        <v/>
      </c>
      <c r="X66" s="151"/>
      <c r="Y66" s="159" t="str">
        <f>IF(Roster!$AJ$10=0,"",Roster!$AJ$10)</f>
        <v/>
      </c>
      <c r="Z66" s="151"/>
      <c r="AA66" s="159" t="str">
        <f>IF(Roster!$AK$10=0,"",Roster!$AK$10)</f>
        <v/>
      </c>
      <c r="AB66" s="151"/>
      <c r="AC66" s="159" t="str">
        <f>IF(Roster!$AA$10=0,"",Roster!$AA$10)</f>
        <v/>
      </c>
      <c r="AD66" s="161"/>
      <c r="AF66" s="474" t="str">
        <f>IF(Roster!$O$11=0&amp;"+","",Roster!$O$11)</f>
        <v>6+</v>
      </c>
      <c r="AG66" s="151"/>
      <c r="AH66" s="159" t="str">
        <f>IF(Roster!$AE$11=0,"",Roster!$AE$11)</f>
        <v/>
      </c>
      <c r="AI66" s="151"/>
      <c r="AJ66" s="159" t="str">
        <f>IF(Roster!$AF$11=0,"",Roster!$AF$11)</f>
        <v/>
      </c>
      <c r="AK66" s="151"/>
      <c r="AL66" s="159" t="str">
        <f>IF(Roster!$AB$11=0,"",Roster!$AB$11)</f>
        <v/>
      </c>
      <c r="AM66" s="151"/>
      <c r="AN66" s="159" t="str">
        <f>IF(Roster!$AJ$11=0,"",Roster!$AJ$11)</f>
        <v/>
      </c>
      <c r="AO66" s="151"/>
      <c r="AP66" s="159" t="str">
        <f>IF(Roster!$AK$11=0,"",Roster!$AK$11)</f>
        <v/>
      </c>
      <c r="AQ66" s="151"/>
      <c r="AR66" s="159" t="str">
        <f>IF(Roster!$AA$11=0,"",Roster!$AA$11)</f>
        <v/>
      </c>
      <c r="AS66" s="161"/>
      <c r="AU66" s="474" t="str">
        <f>IF(Roster!$O$12=0&amp;"+","",Roster!$O$12)</f>
        <v/>
      </c>
      <c r="AV66" s="151"/>
      <c r="AW66" s="159" t="str">
        <f>IF(Roster!$AE$12=0,"",Roster!$AE$12)</f>
        <v/>
      </c>
      <c r="AX66" s="151"/>
      <c r="AY66" s="159" t="str">
        <f>IF(Roster!$AF$12=0,"",Roster!$AF$12)</f>
        <v/>
      </c>
      <c r="AZ66" s="151"/>
      <c r="BA66" s="159" t="str">
        <f>IF(Roster!$AB$12=0,"",Roster!$AB$12)</f>
        <v/>
      </c>
      <c r="BB66" s="151"/>
      <c r="BC66" s="159" t="str">
        <f>IF(Roster!$AJ$12=0,"",Roster!$AJ$12)</f>
        <v/>
      </c>
      <c r="BD66" s="151"/>
      <c r="BE66" s="159" t="str">
        <f>IF(Roster!$AK$12=0,"",Roster!$AK$12)</f>
        <v/>
      </c>
      <c r="BF66" s="151"/>
      <c r="BG66" s="159" t="str">
        <f>IF(Roster!$AA$12=0,"",Roster!$AA$12)</f>
        <v/>
      </c>
      <c r="BH66" s="161"/>
    </row>
    <row r="67" spans="2:60" ht="4.5" customHeight="1" x14ac:dyDescent="0.2">
      <c r="B67" s="290"/>
      <c r="C67" s="151"/>
      <c r="D67" s="151"/>
      <c r="E67" s="151"/>
      <c r="F67" s="151"/>
      <c r="G67" s="151"/>
      <c r="H67" s="151"/>
      <c r="I67" s="151"/>
      <c r="J67" s="151"/>
      <c r="K67" s="151"/>
      <c r="L67" s="151"/>
      <c r="M67" s="151"/>
      <c r="N67" s="157"/>
      <c r="O67" s="161"/>
      <c r="Q67" s="290"/>
      <c r="R67" s="151"/>
      <c r="S67" s="151"/>
      <c r="T67" s="151"/>
      <c r="U67" s="151"/>
      <c r="V67" s="151"/>
      <c r="W67" s="151"/>
      <c r="X67" s="151"/>
      <c r="Y67" s="151"/>
      <c r="Z67" s="151"/>
      <c r="AA67" s="151"/>
      <c r="AB67" s="151"/>
      <c r="AC67" s="157"/>
      <c r="AD67" s="161"/>
      <c r="AF67" s="290"/>
      <c r="AG67" s="151"/>
      <c r="AH67" s="151"/>
      <c r="AI67" s="151"/>
      <c r="AJ67" s="151"/>
      <c r="AK67" s="151"/>
      <c r="AL67" s="151"/>
      <c r="AM67" s="151"/>
      <c r="AN67" s="151"/>
      <c r="AO67" s="151"/>
      <c r="AP67" s="151"/>
      <c r="AQ67" s="151"/>
      <c r="AR67" s="157"/>
      <c r="AS67" s="161"/>
      <c r="AU67" s="290"/>
      <c r="AV67" s="151"/>
      <c r="AW67" s="151"/>
      <c r="AX67" s="151"/>
      <c r="AY67" s="151"/>
      <c r="AZ67" s="151"/>
      <c r="BA67" s="151"/>
      <c r="BB67" s="151"/>
      <c r="BC67" s="151"/>
      <c r="BD67" s="151"/>
      <c r="BE67" s="151"/>
      <c r="BF67" s="151"/>
      <c r="BG67" s="157"/>
      <c r="BH67" s="161"/>
    </row>
    <row r="68" spans="2:60" ht="11.25" customHeight="1" x14ac:dyDescent="0.2">
      <c r="B68" s="290"/>
      <c r="C68" s="151"/>
      <c r="D68" s="475" t="str">
        <f>IF(Roster!$K$25="Italiano","ABILITÀ &amp; TRATTI",(IF(Roster!$K$25="Español","HABILIDADES Y RASGOS","SKILLS &amp; TRAITS")))</f>
        <v>SKILLS &amp; TRAITS</v>
      </c>
      <c r="E68" s="303"/>
      <c r="F68" s="303"/>
      <c r="G68" s="303"/>
      <c r="H68" s="303"/>
      <c r="I68" s="303"/>
      <c r="J68" s="303"/>
      <c r="K68" s="303"/>
      <c r="L68" s="303"/>
      <c r="M68" s="303"/>
      <c r="N68" s="304"/>
      <c r="O68" s="161"/>
      <c r="Q68" s="290"/>
      <c r="R68" s="151"/>
      <c r="S68" s="475" t="str">
        <f>IF(Roster!$K$25="Italiano","ABILITÀ &amp; TRATTI",(IF(Roster!$K$25="Español","HABILIDADES Y RASGOS","SKILLS &amp; TRAITS")))</f>
        <v>SKILLS &amp; TRAITS</v>
      </c>
      <c r="T68" s="303"/>
      <c r="U68" s="303"/>
      <c r="V68" s="303"/>
      <c r="W68" s="303"/>
      <c r="X68" s="303"/>
      <c r="Y68" s="303"/>
      <c r="Z68" s="303"/>
      <c r="AA68" s="303"/>
      <c r="AB68" s="303"/>
      <c r="AC68" s="304"/>
      <c r="AD68" s="161"/>
      <c r="AF68" s="290"/>
      <c r="AG68" s="151"/>
      <c r="AH68" s="475" t="str">
        <f>IF(Roster!$K$25="Italiano","ABILITÀ &amp; TRATTI",(IF(Roster!$K$25="Español","HABILIDADES Y RASGOS","SKILLS &amp; TRAITS")))</f>
        <v>SKILLS &amp; TRAITS</v>
      </c>
      <c r="AI68" s="303"/>
      <c r="AJ68" s="303"/>
      <c r="AK68" s="303"/>
      <c r="AL68" s="303"/>
      <c r="AM68" s="303"/>
      <c r="AN68" s="303"/>
      <c r="AO68" s="303"/>
      <c r="AP68" s="303"/>
      <c r="AQ68" s="303"/>
      <c r="AR68" s="304"/>
      <c r="AS68" s="161"/>
      <c r="AU68" s="290"/>
      <c r="AV68" s="151"/>
      <c r="AW68" s="475" t="str">
        <f>IF(Roster!$K$25="Italiano","ABILITÀ &amp; TRATTI",(IF(Roster!$K$25="Español","HABILIDADES Y RASGOS","SKILLS &amp; TRAITS")))</f>
        <v>SKILLS &amp; TRAITS</v>
      </c>
      <c r="AX68" s="303"/>
      <c r="AY68" s="303"/>
      <c r="AZ68" s="303"/>
      <c r="BA68" s="303"/>
      <c r="BB68" s="303"/>
      <c r="BC68" s="303"/>
      <c r="BD68" s="303"/>
      <c r="BE68" s="303"/>
      <c r="BF68" s="303"/>
      <c r="BG68" s="304"/>
      <c r="BH68" s="161"/>
    </row>
    <row r="69" spans="2:60" ht="6.75" customHeight="1" x14ac:dyDescent="0.2">
      <c r="B69" s="452"/>
      <c r="C69" s="151"/>
      <c r="D69" s="482" t="str">
        <f>IF(Roster!$P$9=0&amp;BF9,"",Roster!$P$9)</f>
        <v>Dodge, Right Stuff, Side Step, Stunty, Titchy, Catch</v>
      </c>
      <c r="E69" s="483"/>
      <c r="F69" s="483"/>
      <c r="G69" s="483"/>
      <c r="H69" s="483"/>
      <c r="I69" s="483"/>
      <c r="J69" s="483"/>
      <c r="K69" s="483"/>
      <c r="L69" s="483"/>
      <c r="M69" s="483"/>
      <c r="N69" s="484"/>
      <c r="O69" s="161"/>
      <c r="Q69" s="452"/>
      <c r="R69" s="151"/>
      <c r="S69" s="482" t="str">
        <f>IF(Roster!$P$10=0&amp;BF10,"",Roster!$P$10)</f>
        <v>Dodge, Right Stuff, Side Step, Stunty, Titchy</v>
      </c>
      <c r="T69" s="483"/>
      <c r="U69" s="483"/>
      <c r="V69" s="483"/>
      <c r="W69" s="483"/>
      <c r="X69" s="483"/>
      <c r="Y69" s="483"/>
      <c r="Z69" s="483"/>
      <c r="AA69" s="483"/>
      <c r="AB69" s="483"/>
      <c r="AC69" s="484"/>
      <c r="AD69" s="161"/>
      <c r="AF69" s="452"/>
      <c r="AG69" s="151"/>
      <c r="AH69" s="482" t="str">
        <f>IF(Roster!$P$11=0&amp;BF11,"",Roster!$P$11)</f>
        <v>Dodge, Right Stuff, Side Step, Stunty, Titchy</v>
      </c>
      <c r="AI69" s="483"/>
      <c r="AJ69" s="483"/>
      <c r="AK69" s="483"/>
      <c r="AL69" s="483"/>
      <c r="AM69" s="483"/>
      <c r="AN69" s="483"/>
      <c r="AO69" s="483"/>
      <c r="AP69" s="483"/>
      <c r="AQ69" s="483"/>
      <c r="AR69" s="484"/>
      <c r="AS69" s="161"/>
      <c r="AU69" s="452"/>
      <c r="AV69" s="151"/>
      <c r="AW69" s="482" t="str">
        <f>IF(Roster!$P$12=0&amp;BF12,"",Roster!$P$12)</f>
        <v/>
      </c>
      <c r="AX69" s="483"/>
      <c r="AY69" s="483"/>
      <c r="AZ69" s="483"/>
      <c r="BA69" s="483"/>
      <c r="BB69" s="483"/>
      <c r="BC69" s="483"/>
      <c r="BD69" s="483"/>
      <c r="BE69" s="483"/>
      <c r="BF69" s="483"/>
      <c r="BG69" s="484"/>
      <c r="BH69" s="161"/>
    </row>
    <row r="70" spans="2:60" ht="11.25" customHeight="1" x14ac:dyDescent="0.2">
      <c r="B70" s="150" t="str">
        <f>IF(Roster!$AO$1=0,"",Roster!$AO$1)</f>
        <v>COST</v>
      </c>
      <c r="C70" s="150"/>
      <c r="D70" s="485"/>
      <c r="E70" s="486"/>
      <c r="F70" s="486"/>
      <c r="G70" s="486"/>
      <c r="H70" s="486"/>
      <c r="I70" s="486"/>
      <c r="J70" s="486"/>
      <c r="K70" s="486"/>
      <c r="L70" s="486"/>
      <c r="M70" s="486"/>
      <c r="N70" s="487"/>
      <c r="O70" s="162"/>
      <c r="Q70" s="150" t="str">
        <f>IF(Roster!$AO$1=0,"",Roster!$AO$1)</f>
        <v>COST</v>
      </c>
      <c r="R70" s="150"/>
      <c r="S70" s="485"/>
      <c r="T70" s="486"/>
      <c r="U70" s="486"/>
      <c r="V70" s="486"/>
      <c r="W70" s="486"/>
      <c r="X70" s="486"/>
      <c r="Y70" s="486"/>
      <c r="Z70" s="486"/>
      <c r="AA70" s="486"/>
      <c r="AB70" s="486"/>
      <c r="AC70" s="487"/>
      <c r="AD70" s="162"/>
      <c r="AF70" s="150" t="str">
        <f>IF(Roster!$AO$1=0,"",Roster!$AO$1)</f>
        <v>COST</v>
      </c>
      <c r="AG70" s="150"/>
      <c r="AH70" s="485"/>
      <c r="AI70" s="486"/>
      <c r="AJ70" s="486"/>
      <c r="AK70" s="486"/>
      <c r="AL70" s="486"/>
      <c r="AM70" s="486"/>
      <c r="AN70" s="486"/>
      <c r="AO70" s="486"/>
      <c r="AP70" s="486"/>
      <c r="AQ70" s="486"/>
      <c r="AR70" s="487"/>
      <c r="AS70" s="162"/>
      <c r="AU70" s="150" t="str">
        <f>IF(Roster!$AO$1=0,"",Roster!$AO$1)</f>
        <v>COST</v>
      </c>
      <c r="AV70" s="150"/>
      <c r="AW70" s="485"/>
      <c r="AX70" s="486"/>
      <c r="AY70" s="486"/>
      <c r="AZ70" s="486"/>
      <c r="BA70" s="486"/>
      <c r="BB70" s="486"/>
      <c r="BC70" s="486"/>
      <c r="BD70" s="486"/>
      <c r="BE70" s="486"/>
      <c r="BF70" s="486"/>
      <c r="BG70" s="487"/>
      <c r="BH70" s="162"/>
    </row>
    <row r="71" spans="2:60" ht="34.5" customHeight="1" x14ac:dyDescent="0.2">
      <c r="B71" s="164">
        <f>IF(Roster!$AO$9=0,"",Roster!$AO$9)</f>
        <v>25000</v>
      </c>
      <c r="C71" s="165"/>
      <c r="D71" s="488"/>
      <c r="E71" s="489"/>
      <c r="F71" s="489"/>
      <c r="G71" s="489"/>
      <c r="H71" s="489"/>
      <c r="I71" s="489"/>
      <c r="J71" s="489"/>
      <c r="K71" s="489"/>
      <c r="L71" s="489"/>
      <c r="M71" s="489"/>
      <c r="N71" s="490"/>
      <c r="O71" s="162"/>
      <c r="Q71" s="164">
        <f>IF(Roster!$AO$10=0,"",Roster!$AO$10)</f>
        <v>15000</v>
      </c>
      <c r="R71" s="165"/>
      <c r="S71" s="488"/>
      <c r="T71" s="489"/>
      <c r="U71" s="489"/>
      <c r="V71" s="489"/>
      <c r="W71" s="489"/>
      <c r="X71" s="489"/>
      <c r="Y71" s="489"/>
      <c r="Z71" s="489"/>
      <c r="AA71" s="489"/>
      <c r="AB71" s="489"/>
      <c r="AC71" s="490"/>
      <c r="AD71" s="162"/>
      <c r="AF71" s="164">
        <f>IF(Roster!$AO$11=0,"",Roster!$AO$11)</f>
        <v>15000</v>
      </c>
      <c r="AG71" s="165"/>
      <c r="AH71" s="488"/>
      <c r="AI71" s="489"/>
      <c r="AJ71" s="489"/>
      <c r="AK71" s="489"/>
      <c r="AL71" s="489"/>
      <c r="AM71" s="489"/>
      <c r="AN71" s="489"/>
      <c r="AO71" s="489"/>
      <c r="AP71" s="489"/>
      <c r="AQ71" s="489"/>
      <c r="AR71" s="490"/>
      <c r="AS71" s="162"/>
      <c r="AU71" s="164" t="str">
        <f>IF(Roster!$AO$12=0,"",Roster!$AO$12)</f>
        <v/>
      </c>
      <c r="AV71" s="165"/>
      <c r="AW71" s="488"/>
      <c r="AX71" s="489"/>
      <c r="AY71" s="489"/>
      <c r="AZ71" s="489"/>
      <c r="BA71" s="489"/>
      <c r="BB71" s="489"/>
      <c r="BC71" s="489"/>
      <c r="BD71" s="489"/>
      <c r="BE71" s="489"/>
      <c r="BF71" s="489"/>
      <c r="BG71" s="490"/>
      <c r="BH71" s="162"/>
    </row>
    <row r="72" spans="2:60" ht="4.5" customHeight="1" x14ac:dyDescent="0.2">
      <c r="B72" s="146"/>
      <c r="C72" s="146"/>
      <c r="D72" s="146"/>
      <c r="E72" s="146"/>
      <c r="F72" s="146"/>
      <c r="G72" s="146"/>
      <c r="H72" s="146"/>
      <c r="I72" s="146"/>
      <c r="J72" s="146"/>
      <c r="K72" s="146"/>
      <c r="L72" s="146"/>
      <c r="M72" s="146"/>
      <c r="N72" s="162"/>
      <c r="O72" s="162"/>
      <c r="Q72" s="146"/>
      <c r="R72" s="146"/>
      <c r="S72" s="146"/>
      <c r="T72" s="146"/>
      <c r="U72" s="146"/>
      <c r="V72" s="146"/>
      <c r="W72" s="146"/>
      <c r="X72" s="146"/>
      <c r="Y72" s="146"/>
      <c r="Z72" s="146"/>
      <c r="AA72" s="146"/>
      <c r="AB72" s="146"/>
      <c r="AC72" s="162"/>
      <c r="AD72" s="162"/>
      <c r="AF72" s="146"/>
      <c r="AG72" s="146"/>
      <c r="AH72" s="146"/>
      <c r="AI72" s="146"/>
      <c r="AJ72" s="146"/>
      <c r="AK72" s="146"/>
      <c r="AL72" s="146"/>
      <c r="AM72" s="146"/>
      <c r="AN72" s="146"/>
      <c r="AO72" s="146"/>
      <c r="AP72" s="146"/>
      <c r="AQ72" s="146"/>
      <c r="AR72" s="162"/>
      <c r="AS72" s="162"/>
      <c r="AU72" s="146"/>
      <c r="AV72" s="146"/>
      <c r="AW72" s="146"/>
      <c r="AX72" s="146"/>
      <c r="AY72" s="146"/>
      <c r="AZ72" s="146"/>
      <c r="BA72" s="146"/>
      <c r="BB72" s="146"/>
      <c r="BC72" s="146"/>
      <c r="BD72" s="146"/>
      <c r="BE72" s="146"/>
      <c r="BF72" s="146"/>
      <c r="BG72" s="162"/>
      <c r="BH72" s="162"/>
    </row>
    <row r="73" spans="2:60" ht="11.25" customHeight="1" x14ac:dyDescent="0.2"/>
    <row r="74" spans="2:60" ht="4.5" customHeight="1" x14ac:dyDescent="0.2">
      <c r="B74" s="477" t="str">
        <f>IF(Roster!$A$13=0,"","#"&amp;Roster!$A$13)</f>
        <v>#12</v>
      </c>
      <c r="C74" s="146"/>
      <c r="D74" s="146"/>
      <c r="E74" s="146"/>
      <c r="F74" s="146"/>
      <c r="G74" s="146"/>
      <c r="H74" s="146"/>
      <c r="I74" s="146"/>
      <c r="J74" s="146"/>
      <c r="K74" s="146"/>
      <c r="L74" s="146"/>
      <c r="M74" s="146"/>
      <c r="N74" s="146"/>
      <c r="O74" s="146"/>
      <c r="Q74" s="477" t="str">
        <f>IF(Roster!$A$14=0,"","#"&amp;Roster!$A$14)</f>
        <v>#13</v>
      </c>
      <c r="R74" s="146"/>
      <c r="S74" s="146"/>
      <c r="T74" s="146"/>
      <c r="U74" s="146"/>
      <c r="V74" s="146"/>
      <c r="W74" s="146"/>
      <c r="X74" s="146"/>
      <c r="Y74" s="146"/>
      <c r="Z74" s="146"/>
      <c r="AA74" s="146"/>
      <c r="AB74" s="146"/>
      <c r="AC74" s="146"/>
      <c r="AD74" s="146"/>
      <c r="AF74" s="477" t="str">
        <f>IF(Roster!$A$15=0,"","#"&amp;Roster!$A$15)</f>
        <v>#14</v>
      </c>
      <c r="AG74" s="146"/>
      <c r="AH74" s="146"/>
      <c r="AI74" s="146"/>
      <c r="AJ74" s="146"/>
      <c r="AK74" s="146"/>
      <c r="AL74" s="146"/>
      <c r="AM74" s="146"/>
      <c r="AN74" s="146"/>
      <c r="AO74" s="146"/>
      <c r="AP74" s="146"/>
      <c r="AQ74" s="146"/>
      <c r="AR74" s="146"/>
      <c r="AS74" s="146"/>
      <c r="AU74" s="477" t="str">
        <f>IF(Roster!$A$16=0,"","#"&amp;Roster!$A$16)</f>
        <v>#15</v>
      </c>
      <c r="AV74" s="146"/>
      <c r="AW74" s="146"/>
      <c r="AX74" s="146"/>
      <c r="AY74" s="146"/>
      <c r="AZ74" s="146"/>
      <c r="BA74" s="146"/>
      <c r="BB74" s="146"/>
      <c r="BC74" s="146"/>
      <c r="BD74" s="146"/>
      <c r="BE74" s="146"/>
      <c r="BF74" s="146"/>
      <c r="BG74" s="146"/>
      <c r="BH74" s="146"/>
    </row>
    <row r="75" spans="2:60" ht="15" customHeight="1" x14ac:dyDescent="0.25">
      <c r="B75" s="290"/>
      <c r="C75" s="480" t="str">
        <f>IF(Roster!$B$13=0,"",Roster!$B$13)</f>
        <v>Parigge</v>
      </c>
      <c r="D75" s="303"/>
      <c r="E75" s="303"/>
      <c r="F75" s="303"/>
      <c r="G75" s="303"/>
      <c r="H75" s="303"/>
      <c r="I75" s="303"/>
      <c r="J75" s="303"/>
      <c r="K75" s="303"/>
      <c r="L75" s="303"/>
      <c r="M75" s="303"/>
      <c r="N75" s="304"/>
      <c r="O75" s="146"/>
      <c r="Q75" s="290"/>
      <c r="R75" s="480" t="str">
        <f>IF(Roster!$B$14=0,"",Roster!$B$14)</f>
        <v>Puleggia</v>
      </c>
      <c r="S75" s="303"/>
      <c r="T75" s="303"/>
      <c r="U75" s="303"/>
      <c r="V75" s="303"/>
      <c r="W75" s="303"/>
      <c r="X75" s="303"/>
      <c r="Y75" s="303"/>
      <c r="Z75" s="303"/>
      <c r="AA75" s="303"/>
      <c r="AB75" s="303"/>
      <c r="AC75" s="304"/>
      <c r="AD75" s="146"/>
      <c r="AF75" s="290"/>
      <c r="AG75" s="480" t="str">
        <f>IF(Roster!$B$15=0,"",Roster!$B$15)</f>
        <v/>
      </c>
      <c r="AH75" s="303"/>
      <c r="AI75" s="303"/>
      <c r="AJ75" s="303"/>
      <c r="AK75" s="303"/>
      <c r="AL75" s="303"/>
      <c r="AM75" s="303"/>
      <c r="AN75" s="303"/>
      <c r="AO75" s="303"/>
      <c r="AP75" s="303"/>
      <c r="AQ75" s="303"/>
      <c r="AR75" s="304"/>
      <c r="AS75" s="146"/>
      <c r="AU75" s="290"/>
      <c r="AV75" s="480" t="str">
        <f>IF(Roster!$B$16=0,"",Roster!$B$16)</f>
        <v/>
      </c>
      <c r="AW75" s="303"/>
      <c r="AX75" s="303"/>
      <c r="AY75" s="303"/>
      <c r="AZ75" s="303"/>
      <c r="BA75" s="303"/>
      <c r="BB75" s="303"/>
      <c r="BC75" s="303"/>
      <c r="BD75" s="303"/>
      <c r="BE75" s="303"/>
      <c r="BF75" s="303"/>
      <c r="BG75" s="304"/>
      <c r="BH75" s="146"/>
    </row>
    <row r="76" spans="2:60" ht="11.25" customHeight="1" x14ac:dyDescent="0.2">
      <c r="B76" s="452"/>
      <c r="C76" s="481" t="str">
        <f>IF(Roster!$D$13=0,"",Roster!$D$13)</f>
        <v>Gnoblar</v>
      </c>
      <c r="D76" s="303"/>
      <c r="E76" s="303"/>
      <c r="F76" s="303"/>
      <c r="G76" s="303"/>
      <c r="H76" s="303"/>
      <c r="I76" s="303"/>
      <c r="J76" s="303"/>
      <c r="K76" s="303"/>
      <c r="L76" s="303"/>
      <c r="M76" s="303"/>
      <c r="N76" s="304"/>
      <c r="O76" s="147"/>
      <c r="Q76" s="452"/>
      <c r="R76" s="481" t="str">
        <f>IF(Roster!$D$14=0,"",Roster!$D$14)</f>
        <v>Journey Gnoblar</v>
      </c>
      <c r="S76" s="303"/>
      <c r="T76" s="303"/>
      <c r="U76" s="303"/>
      <c r="V76" s="303"/>
      <c r="W76" s="303"/>
      <c r="X76" s="303"/>
      <c r="Y76" s="303"/>
      <c r="Z76" s="303"/>
      <c r="AA76" s="303"/>
      <c r="AB76" s="303"/>
      <c r="AC76" s="304"/>
      <c r="AD76" s="147"/>
      <c r="AF76" s="452"/>
      <c r="AG76" s="481" t="str">
        <f>IF(Roster!$D$15=0,"",Roster!$D$15)</f>
        <v/>
      </c>
      <c r="AH76" s="303"/>
      <c r="AI76" s="303"/>
      <c r="AJ76" s="303"/>
      <c r="AK76" s="303"/>
      <c r="AL76" s="303"/>
      <c r="AM76" s="303"/>
      <c r="AN76" s="303"/>
      <c r="AO76" s="303"/>
      <c r="AP76" s="303"/>
      <c r="AQ76" s="303"/>
      <c r="AR76" s="304"/>
      <c r="AS76" s="147"/>
      <c r="AU76" s="452"/>
      <c r="AV76" s="481" t="str">
        <f>IF(Roster!$D$16=0,"",Roster!$D$16)</f>
        <v/>
      </c>
      <c r="AW76" s="303"/>
      <c r="AX76" s="303"/>
      <c r="AY76" s="303"/>
      <c r="AZ76" s="303"/>
      <c r="BA76" s="303"/>
      <c r="BB76" s="303"/>
      <c r="BC76" s="303"/>
      <c r="BD76" s="303"/>
      <c r="BE76" s="303"/>
      <c r="BF76" s="303"/>
      <c r="BG76" s="304"/>
      <c r="BH76" s="147"/>
    </row>
    <row r="77" spans="2:60" ht="11.25" customHeight="1" x14ac:dyDescent="0.2">
      <c r="B77" s="150" t="str">
        <f>IF(Roster!$K$1=0,"",Roster!$K$1)</f>
        <v>MA</v>
      </c>
      <c r="C77" s="149"/>
      <c r="D77" s="492"/>
      <c r="E77" s="492"/>
      <c r="F77" s="492"/>
      <c r="G77" s="492"/>
      <c r="H77" s="492"/>
      <c r="I77" s="492"/>
      <c r="J77" s="492"/>
      <c r="K77" s="492"/>
      <c r="L77" s="492"/>
      <c r="M77" s="492"/>
      <c r="N77" s="492"/>
      <c r="O77" s="146"/>
      <c r="Q77" s="150" t="str">
        <f>IF(Roster!$K$1=0,"",Roster!$K$1)</f>
        <v>MA</v>
      </c>
      <c r="R77" s="149"/>
      <c r="S77" s="492"/>
      <c r="T77" s="492"/>
      <c r="U77" s="492"/>
      <c r="V77" s="492"/>
      <c r="W77" s="492"/>
      <c r="X77" s="492"/>
      <c r="Y77" s="492"/>
      <c r="Z77" s="492"/>
      <c r="AA77" s="492"/>
      <c r="AB77" s="492"/>
      <c r="AC77" s="492"/>
      <c r="AD77" s="146"/>
      <c r="AF77" s="150" t="str">
        <f>IF(Roster!$K$1=0,"",Roster!$K$1)</f>
        <v>MA</v>
      </c>
      <c r="AG77" s="149"/>
      <c r="AH77" s="492"/>
      <c r="AI77" s="492"/>
      <c r="AJ77" s="492"/>
      <c r="AK77" s="492"/>
      <c r="AL77" s="492"/>
      <c r="AM77" s="492"/>
      <c r="AN77" s="492"/>
      <c r="AO77" s="492"/>
      <c r="AP77" s="492"/>
      <c r="AQ77" s="492"/>
      <c r="AR77" s="492"/>
      <c r="AS77" s="146"/>
      <c r="AU77" s="150" t="str">
        <f>IF(Roster!$K$1=0,"",Roster!$K$1)</f>
        <v>MA</v>
      </c>
      <c r="AV77" s="149"/>
      <c r="AW77" s="492"/>
      <c r="AX77" s="492"/>
      <c r="AY77" s="492"/>
      <c r="AZ77" s="492"/>
      <c r="BA77" s="492"/>
      <c r="BB77" s="492"/>
      <c r="BC77" s="492"/>
      <c r="BD77" s="492"/>
      <c r="BE77" s="492"/>
      <c r="BF77" s="492"/>
      <c r="BG77" s="492"/>
      <c r="BH77" s="146"/>
    </row>
    <row r="78" spans="2:60" ht="37.5" customHeight="1" x14ac:dyDescent="0.2">
      <c r="B78" s="152">
        <f>IF(Roster!$K$13=0,"",Roster!$K$13)</f>
        <v>5</v>
      </c>
      <c r="C78" s="149"/>
      <c r="D78" s="492"/>
      <c r="E78" s="492"/>
      <c r="F78" s="492"/>
      <c r="G78" s="492"/>
      <c r="H78" s="492"/>
      <c r="I78" s="492"/>
      <c r="J78" s="492"/>
      <c r="K78" s="492"/>
      <c r="L78" s="492"/>
      <c r="M78" s="492"/>
      <c r="N78" s="492"/>
      <c r="O78" s="146"/>
      <c r="Q78" s="152">
        <f>IF(Roster!$K$14=0,"",Roster!$K$14)</f>
        <v>5</v>
      </c>
      <c r="R78" s="149"/>
      <c r="S78" s="492"/>
      <c r="T78" s="492"/>
      <c r="U78" s="492"/>
      <c r="V78" s="492"/>
      <c r="W78" s="492"/>
      <c r="X78" s="492"/>
      <c r="Y78" s="492"/>
      <c r="Z78" s="492"/>
      <c r="AA78" s="492"/>
      <c r="AB78" s="492"/>
      <c r="AC78" s="492"/>
      <c r="AD78" s="146"/>
      <c r="AF78" s="152" t="str">
        <f>IF(Roster!$K$15=0,"",Roster!$K$15)</f>
        <v/>
      </c>
      <c r="AG78" s="149"/>
      <c r="AH78" s="492"/>
      <c r="AI78" s="492"/>
      <c r="AJ78" s="492"/>
      <c r="AK78" s="492"/>
      <c r="AL78" s="492"/>
      <c r="AM78" s="492"/>
      <c r="AN78" s="492"/>
      <c r="AO78" s="492"/>
      <c r="AP78" s="492"/>
      <c r="AQ78" s="492"/>
      <c r="AR78" s="492"/>
      <c r="AS78" s="146"/>
      <c r="AU78" s="152" t="str">
        <f>IF(Roster!$K$16=0,"",Roster!$K$16)</f>
        <v/>
      </c>
      <c r="AV78" s="149"/>
      <c r="AW78" s="492"/>
      <c r="AX78" s="492"/>
      <c r="AY78" s="492"/>
      <c r="AZ78" s="492"/>
      <c r="BA78" s="492"/>
      <c r="BB78" s="492"/>
      <c r="BC78" s="492"/>
      <c r="BD78" s="492"/>
      <c r="BE78" s="492"/>
      <c r="BF78" s="492"/>
      <c r="BG78" s="492"/>
      <c r="BH78" s="146"/>
    </row>
    <row r="79" spans="2:60" ht="11.25" customHeight="1" x14ac:dyDescent="0.2">
      <c r="B79" s="150" t="str">
        <f>IF(Roster!$L$1=0,"",Roster!$L$1)</f>
        <v>ST</v>
      </c>
      <c r="C79" s="149"/>
      <c r="D79" s="492"/>
      <c r="E79" s="492"/>
      <c r="F79" s="492"/>
      <c r="G79" s="492"/>
      <c r="H79" s="492"/>
      <c r="I79" s="492"/>
      <c r="J79" s="492"/>
      <c r="K79" s="492"/>
      <c r="L79" s="492"/>
      <c r="M79" s="492"/>
      <c r="N79" s="492"/>
      <c r="O79" s="146"/>
      <c r="Q79" s="150" t="str">
        <f>IF(Roster!$L$1=0,"",Roster!$L$1)</f>
        <v>ST</v>
      </c>
      <c r="R79" s="149"/>
      <c r="S79" s="492"/>
      <c r="T79" s="492"/>
      <c r="U79" s="492"/>
      <c r="V79" s="492"/>
      <c r="W79" s="492"/>
      <c r="X79" s="492"/>
      <c r="Y79" s="492"/>
      <c r="Z79" s="492"/>
      <c r="AA79" s="492"/>
      <c r="AB79" s="492"/>
      <c r="AC79" s="492"/>
      <c r="AD79" s="146"/>
      <c r="AF79" s="150" t="str">
        <f>IF(Roster!$L$1=0,"",Roster!$L$1)</f>
        <v>ST</v>
      </c>
      <c r="AG79" s="149"/>
      <c r="AH79" s="492"/>
      <c r="AI79" s="492"/>
      <c r="AJ79" s="492"/>
      <c r="AK79" s="492"/>
      <c r="AL79" s="492"/>
      <c r="AM79" s="492"/>
      <c r="AN79" s="492"/>
      <c r="AO79" s="492"/>
      <c r="AP79" s="492"/>
      <c r="AQ79" s="492"/>
      <c r="AR79" s="492"/>
      <c r="AS79" s="146"/>
      <c r="AU79" s="150" t="str">
        <f>IF(Roster!$L$1=0,"",Roster!$L$1)</f>
        <v>ST</v>
      </c>
      <c r="AV79" s="149"/>
      <c r="AW79" s="492"/>
      <c r="AX79" s="492"/>
      <c r="AY79" s="492"/>
      <c r="AZ79" s="492"/>
      <c r="BA79" s="492"/>
      <c r="BB79" s="492"/>
      <c r="BC79" s="492"/>
      <c r="BD79" s="492"/>
      <c r="BE79" s="492"/>
      <c r="BF79" s="492"/>
      <c r="BG79" s="492"/>
      <c r="BH79" s="146"/>
    </row>
    <row r="80" spans="2:60" ht="37.5" customHeight="1" x14ac:dyDescent="0.2">
      <c r="B80" s="152">
        <f>IF(Roster!$L$13=0,"",Roster!$L$13)</f>
        <v>1</v>
      </c>
      <c r="C80" s="149"/>
      <c r="D80" s="492"/>
      <c r="E80" s="492"/>
      <c r="F80" s="492"/>
      <c r="G80" s="492"/>
      <c r="H80" s="492"/>
      <c r="I80" s="492"/>
      <c r="J80" s="492"/>
      <c r="K80" s="492"/>
      <c r="L80" s="492"/>
      <c r="M80" s="492"/>
      <c r="N80" s="492"/>
      <c r="O80" s="146"/>
      <c r="Q80" s="152">
        <f>IF(Roster!$L$14=0,"",Roster!$L$14)</f>
        <v>1</v>
      </c>
      <c r="R80" s="149"/>
      <c r="S80" s="492"/>
      <c r="T80" s="492"/>
      <c r="U80" s="492"/>
      <c r="V80" s="492"/>
      <c r="W80" s="492"/>
      <c r="X80" s="492"/>
      <c r="Y80" s="492"/>
      <c r="Z80" s="492"/>
      <c r="AA80" s="492"/>
      <c r="AB80" s="492"/>
      <c r="AC80" s="492"/>
      <c r="AD80" s="146"/>
      <c r="AF80" s="152" t="str">
        <f>IF(Roster!$L$15=0,"",Roster!$L$15)</f>
        <v/>
      </c>
      <c r="AG80" s="149"/>
      <c r="AH80" s="492"/>
      <c r="AI80" s="492"/>
      <c r="AJ80" s="492"/>
      <c r="AK80" s="492"/>
      <c r="AL80" s="492"/>
      <c r="AM80" s="492"/>
      <c r="AN80" s="492"/>
      <c r="AO80" s="492"/>
      <c r="AP80" s="492"/>
      <c r="AQ80" s="492"/>
      <c r="AR80" s="492"/>
      <c r="AS80" s="146"/>
      <c r="AU80" s="152" t="str">
        <f>IF(Roster!$L$16=0,"",Roster!$L$16)</f>
        <v/>
      </c>
      <c r="AV80" s="149"/>
      <c r="AW80" s="492"/>
      <c r="AX80" s="492"/>
      <c r="AY80" s="492"/>
      <c r="AZ80" s="492"/>
      <c r="BA80" s="492"/>
      <c r="BB80" s="492"/>
      <c r="BC80" s="492"/>
      <c r="BD80" s="492"/>
      <c r="BE80" s="492"/>
      <c r="BF80" s="492"/>
      <c r="BG80" s="492"/>
      <c r="BH80" s="146"/>
    </row>
    <row r="81" spans="2:60" ht="11.25" customHeight="1" x14ac:dyDescent="0.2">
      <c r="B81" s="150" t="str">
        <f>IF(Roster!$M$1=0,"",Roster!$M$1)</f>
        <v>AG</v>
      </c>
      <c r="C81" s="149"/>
      <c r="D81" s="492"/>
      <c r="E81" s="492"/>
      <c r="F81" s="492"/>
      <c r="G81" s="492"/>
      <c r="H81" s="492"/>
      <c r="I81" s="492"/>
      <c r="J81" s="492"/>
      <c r="K81" s="492"/>
      <c r="L81" s="492"/>
      <c r="M81" s="492"/>
      <c r="N81" s="492"/>
      <c r="O81" s="146"/>
      <c r="Q81" s="150" t="str">
        <f>IF(Roster!$M$1=0,"",Roster!$M$1)</f>
        <v>AG</v>
      </c>
      <c r="R81" s="149"/>
      <c r="S81" s="492"/>
      <c r="T81" s="492"/>
      <c r="U81" s="492"/>
      <c r="V81" s="492"/>
      <c r="W81" s="492"/>
      <c r="X81" s="492"/>
      <c r="Y81" s="492"/>
      <c r="Z81" s="492"/>
      <c r="AA81" s="492"/>
      <c r="AB81" s="492"/>
      <c r="AC81" s="492"/>
      <c r="AD81" s="146"/>
      <c r="AF81" s="150" t="str">
        <f>IF(Roster!$M$1=0,"",Roster!$M$1)</f>
        <v>AG</v>
      </c>
      <c r="AG81" s="149"/>
      <c r="AH81" s="492"/>
      <c r="AI81" s="492"/>
      <c r="AJ81" s="492"/>
      <c r="AK81" s="492"/>
      <c r="AL81" s="492"/>
      <c r="AM81" s="492"/>
      <c r="AN81" s="492"/>
      <c r="AO81" s="492"/>
      <c r="AP81" s="492"/>
      <c r="AQ81" s="492"/>
      <c r="AR81" s="492"/>
      <c r="AS81" s="146"/>
      <c r="AU81" s="150" t="str">
        <f>IF(Roster!$M$1=0,"",Roster!$M$1)</f>
        <v>AG</v>
      </c>
      <c r="AV81" s="149"/>
      <c r="AW81" s="492"/>
      <c r="AX81" s="492"/>
      <c r="AY81" s="492"/>
      <c r="AZ81" s="492"/>
      <c r="BA81" s="492"/>
      <c r="BB81" s="492"/>
      <c r="BC81" s="492"/>
      <c r="BD81" s="492"/>
      <c r="BE81" s="492"/>
      <c r="BF81" s="492"/>
      <c r="BG81" s="492"/>
      <c r="BH81" s="146"/>
    </row>
    <row r="82" spans="2:60" ht="37.5" customHeight="1" x14ac:dyDescent="0.2">
      <c r="B82" s="152" t="str">
        <f>IF(Roster!$M$13=0&amp;"+","",Roster!$M$13)</f>
        <v>3+</v>
      </c>
      <c r="C82" s="149"/>
      <c r="D82" s="492"/>
      <c r="E82" s="492"/>
      <c r="F82" s="492"/>
      <c r="G82" s="492"/>
      <c r="H82" s="492"/>
      <c r="I82" s="492"/>
      <c r="J82" s="492"/>
      <c r="K82" s="492"/>
      <c r="L82" s="492"/>
      <c r="M82" s="492"/>
      <c r="N82" s="492"/>
      <c r="O82" s="146"/>
      <c r="Q82" s="152" t="str">
        <f>IF(Roster!$M$14=0&amp;"+","",Roster!$M$14)</f>
        <v>3+</v>
      </c>
      <c r="R82" s="149"/>
      <c r="S82" s="492"/>
      <c r="T82" s="492"/>
      <c r="U82" s="492"/>
      <c r="V82" s="492"/>
      <c r="W82" s="492"/>
      <c r="X82" s="492"/>
      <c r="Y82" s="492"/>
      <c r="Z82" s="492"/>
      <c r="AA82" s="492"/>
      <c r="AB82" s="492"/>
      <c r="AC82" s="492"/>
      <c r="AD82" s="146"/>
      <c r="AF82" s="152" t="str">
        <f>IF(Roster!$M$15=0&amp;"+","",Roster!$M$15)</f>
        <v/>
      </c>
      <c r="AG82" s="149"/>
      <c r="AH82" s="492"/>
      <c r="AI82" s="492"/>
      <c r="AJ82" s="492"/>
      <c r="AK82" s="492"/>
      <c r="AL82" s="492"/>
      <c r="AM82" s="492"/>
      <c r="AN82" s="492"/>
      <c r="AO82" s="492"/>
      <c r="AP82" s="492"/>
      <c r="AQ82" s="492"/>
      <c r="AR82" s="492"/>
      <c r="AS82" s="146"/>
      <c r="AU82" s="152" t="str">
        <f>IF(Roster!$M$16=0&amp;"+","",Roster!$M$16)</f>
        <v/>
      </c>
      <c r="AV82" s="149"/>
      <c r="AW82" s="492"/>
      <c r="AX82" s="492"/>
      <c r="AY82" s="492"/>
      <c r="AZ82" s="492"/>
      <c r="BA82" s="492"/>
      <c r="BB82" s="492"/>
      <c r="BC82" s="492"/>
      <c r="BD82" s="492"/>
      <c r="BE82" s="492"/>
      <c r="BF82" s="492"/>
      <c r="BG82" s="492"/>
      <c r="BH82" s="146"/>
    </row>
    <row r="83" spans="2:60" ht="11.25" customHeight="1" x14ac:dyDescent="0.2">
      <c r="B83" s="150" t="str">
        <f>IF(Roster!$N$1=0,"",Roster!$N$1)</f>
        <v>PA</v>
      </c>
      <c r="C83" s="149"/>
      <c r="D83" s="492"/>
      <c r="E83" s="492"/>
      <c r="F83" s="492"/>
      <c r="G83" s="492"/>
      <c r="H83" s="492"/>
      <c r="I83" s="492"/>
      <c r="J83" s="492"/>
      <c r="K83" s="492"/>
      <c r="L83" s="492"/>
      <c r="M83" s="492"/>
      <c r="N83" s="492"/>
      <c r="O83" s="155"/>
      <c r="Q83" s="150" t="str">
        <f>IF(Roster!$N$1=0,"",Roster!$N$1)</f>
        <v>PA</v>
      </c>
      <c r="R83" s="149"/>
      <c r="S83" s="492"/>
      <c r="T83" s="492"/>
      <c r="U83" s="492"/>
      <c r="V83" s="492"/>
      <c r="W83" s="492"/>
      <c r="X83" s="492"/>
      <c r="Y83" s="492"/>
      <c r="Z83" s="492"/>
      <c r="AA83" s="492"/>
      <c r="AB83" s="492"/>
      <c r="AC83" s="492"/>
      <c r="AD83" s="155"/>
      <c r="AF83" s="150" t="str">
        <f>IF(Roster!$N$1=0,"",Roster!$N$1)</f>
        <v>PA</v>
      </c>
      <c r="AG83" s="149"/>
      <c r="AH83" s="492"/>
      <c r="AI83" s="492"/>
      <c r="AJ83" s="492"/>
      <c r="AK83" s="492"/>
      <c r="AL83" s="492"/>
      <c r="AM83" s="492"/>
      <c r="AN83" s="492"/>
      <c r="AO83" s="492"/>
      <c r="AP83" s="492"/>
      <c r="AQ83" s="492"/>
      <c r="AR83" s="492"/>
      <c r="AS83" s="155"/>
      <c r="AU83" s="150" t="str">
        <f>IF(Roster!$N$1=0,"",Roster!$N$1)</f>
        <v>PA</v>
      </c>
      <c r="AV83" s="149"/>
      <c r="AW83" s="492"/>
      <c r="AX83" s="492"/>
      <c r="AY83" s="492"/>
      <c r="AZ83" s="492"/>
      <c r="BA83" s="492"/>
      <c r="BB83" s="492"/>
      <c r="BC83" s="492"/>
      <c r="BD83" s="492"/>
      <c r="BE83" s="492"/>
      <c r="BF83" s="492"/>
      <c r="BG83" s="492"/>
      <c r="BH83" s="155"/>
    </row>
    <row r="84" spans="2:60" ht="6" customHeight="1" x14ac:dyDescent="0.2">
      <c r="B84" s="474" t="str">
        <f>IF(Roster!$N$13=0&amp;"+","",Roster!$N$13)</f>
        <v>5+</v>
      </c>
      <c r="C84" s="149"/>
      <c r="D84" s="492"/>
      <c r="E84" s="492"/>
      <c r="F84" s="492"/>
      <c r="G84" s="492"/>
      <c r="H84" s="492"/>
      <c r="I84" s="492"/>
      <c r="J84" s="492"/>
      <c r="K84" s="492"/>
      <c r="L84" s="492"/>
      <c r="M84" s="492"/>
      <c r="N84" s="492"/>
      <c r="O84" s="157"/>
      <c r="Q84" s="474" t="str">
        <f>IF(Roster!$N$14=0&amp;"+","",Roster!$N$14)</f>
        <v>5+</v>
      </c>
      <c r="R84" s="149"/>
      <c r="S84" s="492"/>
      <c r="T84" s="492"/>
      <c r="U84" s="492"/>
      <c r="V84" s="492"/>
      <c r="W84" s="492"/>
      <c r="X84" s="492"/>
      <c r="Y84" s="492"/>
      <c r="Z84" s="492"/>
      <c r="AA84" s="492"/>
      <c r="AB84" s="492"/>
      <c r="AC84" s="492"/>
      <c r="AD84" s="157"/>
      <c r="AF84" s="474" t="str">
        <f>IF(Roster!$N$15=0&amp;"+","",Roster!$N$15)</f>
        <v/>
      </c>
      <c r="AG84" s="149"/>
      <c r="AH84" s="492"/>
      <c r="AI84" s="492"/>
      <c r="AJ84" s="492"/>
      <c r="AK84" s="492"/>
      <c r="AL84" s="492"/>
      <c r="AM84" s="492"/>
      <c r="AN84" s="492"/>
      <c r="AO84" s="492"/>
      <c r="AP84" s="492"/>
      <c r="AQ84" s="492"/>
      <c r="AR84" s="492"/>
      <c r="AS84" s="157"/>
      <c r="AU84" s="474" t="str">
        <f>IF(Roster!$N$16=0&amp;"+","",Roster!$N$16)</f>
        <v/>
      </c>
      <c r="AV84" s="149"/>
      <c r="AW84" s="492"/>
      <c r="AX84" s="492"/>
      <c r="AY84" s="492"/>
      <c r="AZ84" s="492"/>
      <c r="BA84" s="492"/>
      <c r="BB84" s="492"/>
      <c r="BC84" s="492"/>
      <c r="BD84" s="492"/>
      <c r="BE84" s="492"/>
      <c r="BF84" s="492"/>
      <c r="BG84" s="492"/>
      <c r="BH84" s="157"/>
    </row>
    <row r="85" spans="2:60" ht="4.5" customHeight="1" x14ac:dyDescent="0.2">
      <c r="B85" s="290"/>
      <c r="C85" s="149"/>
      <c r="D85" s="146"/>
      <c r="E85" s="156"/>
      <c r="F85" s="146"/>
      <c r="G85" s="156"/>
      <c r="H85" s="146"/>
      <c r="I85" s="156"/>
      <c r="J85" s="146"/>
      <c r="K85" s="156"/>
      <c r="L85" s="146"/>
      <c r="M85" s="156"/>
      <c r="N85" s="146"/>
      <c r="O85" s="157"/>
      <c r="Q85" s="290"/>
      <c r="R85" s="149"/>
      <c r="S85" s="146"/>
      <c r="T85" s="156"/>
      <c r="U85" s="146"/>
      <c r="V85" s="156"/>
      <c r="W85" s="146"/>
      <c r="X85" s="156"/>
      <c r="Y85" s="146"/>
      <c r="Z85" s="156"/>
      <c r="AA85" s="146"/>
      <c r="AB85" s="156"/>
      <c r="AC85" s="146"/>
      <c r="AD85" s="157"/>
      <c r="AF85" s="290"/>
      <c r="AG85" s="149"/>
      <c r="AH85" s="146"/>
      <c r="AI85" s="156"/>
      <c r="AJ85" s="146"/>
      <c r="AK85" s="156"/>
      <c r="AL85" s="146"/>
      <c r="AM85" s="156"/>
      <c r="AN85" s="146"/>
      <c r="AO85" s="156"/>
      <c r="AP85" s="146"/>
      <c r="AQ85" s="156"/>
      <c r="AR85" s="146"/>
      <c r="AS85" s="157"/>
      <c r="AU85" s="290"/>
      <c r="AV85" s="149"/>
      <c r="AW85" s="146"/>
      <c r="AX85" s="156"/>
      <c r="AY85" s="146"/>
      <c r="AZ85" s="156"/>
      <c r="BA85" s="146"/>
      <c r="BB85" s="156"/>
      <c r="BC85" s="146"/>
      <c r="BD85" s="156"/>
      <c r="BE85" s="146"/>
      <c r="BF85" s="156"/>
      <c r="BG85" s="146"/>
      <c r="BH85" s="157"/>
    </row>
    <row r="86" spans="2:60" ht="11.25" customHeight="1" x14ac:dyDescent="0.2">
      <c r="B86" s="290"/>
      <c r="C86" s="149"/>
      <c r="D86" s="158" t="str">
        <f>IF(Roster!$AD$1=0,"",Roster!$AD$1)</f>
        <v>TD</v>
      </c>
      <c r="E86" s="156"/>
      <c r="F86" s="158" t="str">
        <f>IF(Roster!$K$25="Español","HER",(IF(Roster!$K$25="Deutsch","VER",(IF(Roster!$K$25="Français","BLES","CAS")))))</f>
        <v>CAS</v>
      </c>
      <c r="G86" s="156"/>
      <c r="H86" s="158" t="str">
        <f>IF(Roster!$AG$1=0,"",Roster!$AG$1)</f>
        <v>BH</v>
      </c>
      <c r="I86" s="156"/>
      <c r="J86" s="158" t="str">
        <f>IF(Roster!$AH$1=0,"",Roster!$AH$1)</f>
        <v>SI</v>
      </c>
      <c r="K86" s="156"/>
      <c r="L86" s="158" t="str">
        <f>IF(Roster!$AI$1=0,"",Roster!$AI$1)</f>
        <v>KILL</v>
      </c>
      <c r="M86" s="156"/>
      <c r="N86" s="158" t="str">
        <f>IF(Roster!$AC$1=0,"",Roster!$AC$1)</f>
        <v>CP</v>
      </c>
      <c r="O86" s="157"/>
      <c r="Q86" s="290"/>
      <c r="R86" s="149"/>
      <c r="S86" s="158" t="str">
        <f>IF(Roster!$AD$1=0,"",Roster!$AD$1)</f>
        <v>TD</v>
      </c>
      <c r="T86" s="156"/>
      <c r="U86" s="158" t="str">
        <f>IF(Roster!$K$25="Español","HER",(IF(Roster!$K$25="Deutsch","VER",(IF(Roster!$K$25="Français","BLES","CAS")))))</f>
        <v>CAS</v>
      </c>
      <c r="V86" s="156"/>
      <c r="W86" s="158" t="str">
        <f>IF(Roster!$AG$1=0,"",Roster!$AG$1)</f>
        <v>BH</v>
      </c>
      <c r="X86" s="156"/>
      <c r="Y86" s="158" t="str">
        <f>IF(Roster!$AH$1=0,"",Roster!$AH$1)</f>
        <v>SI</v>
      </c>
      <c r="Z86" s="156"/>
      <c r="AA86" s="158" t="str">
        <f>IF(Roster!$AI$1=0,"",Roster!$AI$1)</f>
        <v>KILL</v>
      </c>
      <c r="AB86" s="156"/>
      <c r="AC86" s="158" t="str">
        <f>IF(Roster!$AC$1=0,"",Roster!$AC$1)</f>
        <v>CP</v>
      </c>
      <c r="AD86" s="157"/>
      <c r="AF86" s="290"/>
      <c r="AG86" s="149"/>
      <c r="AH86" s="158" t="str">
        <f>IF(Roster!$AD$1=0,"",Roster!$AD$1)</f>
        <v>TD</v>
      </c>
      <c r="AI86" s="156"/>
      <c r="AJ86" s="158" t="str">
        <f>IF(Roster!$K$25="Español","HER",(IF(Roster!$K$25="Deutsch","VER",(IF(Roster!$K$25="Français","BLES","CAS")))))</f>
        <v>CAS</v>
      </c>
      <c r="AK86" s="156"/>
      <c r="AL86" s="158" t="str">
        <f>IF(Roster!$AG$1=0,"",Roster!$AG$1)</f>
        <v>BH</v>
      </c>
      <c r="AM86" s="156"/>
      <c r="AN86" s="158" t="str">
        <f>IF(Roster!$AH$1=0,"",Roster!$AH$1)</f>
        <v>SI</v>
      </c>
      <c r="AO86" s="156"/>
      <c r="AP86" s="158" t="str">
        <f>IF(Roster!$AI$1=0,"",Roster!$AI$1)</f>
        <v>KILL</v>
      </c>
      <c r="AQ86" s="156"/>
      <c r="AR86" s="158" t="str">
        <f>IF(Roster!$AC$1=0,"",Roster!$AC$1)</f>
        <v>CP</v>
      </c>
      <c r="AS86" s="157"/>
      <c r="AU86" s="290"/>
      <c r="AV86" s="149"/>
      <c r="AW86" s="158" t="str">
        <f>IF(Roster!$AD$1=0,"",Roster!$AD$1)</f>
        <v>TD</v>
      </c>
      <c r="AX86" s="156"/>
      <c r="AY86" s="158" t="str">
        <f>IF(Roster!$K$25="Español","HER",(IF(Roster!$K$25="Deutsch","VER",(IF(Roster!$K$25="Français","BLES","CAS")))))</f>
        <v>CAS</v>
      </c>
      <c r="AZ86" s="156"/>
      <c r="BA86" s="158" t="str">
        <f>IF(Roster!$AG$1=0,"",Roster!$AG$1)</f>
        <v>BH</v>
      </c>
      <c r="BB86" s="156"/>
      <c r="BC86" s="158" t="str">
        <f>IF(Roster!$AH$1=0,"",Roster!$AH$1)</f>
        <v>SI</v>
      </c>
      <c r="BD86" s="156"/>
      <c r="BE86" s="158" t="str">
        <f>IF(Roster!$AI$1=0,"",Roster!$AI$1)</f>
        <v>KILL</v>
      </c>
      <c r="BF86" s="156"/>
      <c r="BG86" s="158" t="str">
        <f>IF(Roster!$AC$1=0,"",Roster!$AC$1)</f>
        <v>CP</v>
      </c>
      <c r="BH86" s="157"/>
    </row>
    <row r="87" spans="2:60" ht="15" customHeight="1" x14ac:dyDescent="0.2">
      <c r="B87" s="290"/>
      <c r="C87" s="151"/>
      <c r="D87" s="159" t="str">
        <f>IF(Roster!$AD$13=0,"",Roster!$AD$13)</f>
        <v/>
      </c>
      <c r="E87" s="151"/>
      <c r="F87" s="159" t="str">
        <f>IF((SUM(H87,J87,L87))=0,"",(SUM(H87,J87,L87)))</f>
        <v/>
      </c>
      <c r="G87" s="151"/>
      <c r="H87" s="159" t="str">
        <f>IF(Roster!$AG$13=0,"",Roster!$AG$13)</f>
        <v/>
      </c>
      <c r="I87" s="151"/>
      <c r="J87" s="159" t="str">
        <f>IF(Roster!$AH$13=0,"",Roster!$AH$13)</f>
        <v/>
      </c>
      <c r="K87" s="151"/>
      <c r="L87" s="159" t="str">
        <f>IF(Roster!$AI$13=0,"",Roster!$AI$13)</f>
        <v/>
      </c>
      <c r="M87" s="151"/>
      <c r="N87" s="159" t="str">
        <f>IF(Roster!$AC$13=0,"",Roster!$AC$13)</f>
        <v/>
      </c>
      <c r="O87" s="157"/>
      <c r="Q87" s="290"/>
      <c r="R87" s="151"/>
      <c r="S87" s="159" t="str">
        <f>IF(Roster!$AD$14=0,"",Roster!$AD$14)</f>
        <v/>
      </c>
      <c r="T87" s="151"/>
      <c r="U87" s="159" t="str">
        <f>IF((SUM(W87,Y87,AA87))=0,"",(SUM(W87,Y87,AA87)))</f>
        <v/>
      </c>
      <c r="V87" s="151"/>
      <c r="W87" s="159" t="str">
        <f>IF(Roster!$AG$14=0,"",Roster!$AG$14)</f>
        <v/>
      </c>
      <c r="X87" s="151"/>
      <c r="Y87" s="159" t="str">
        <f>IF(Roster!$AH$14=0,"",Roster!$AH$14)</f>
        <v/>
      </c>
      <c r="Z87" s="151"/>
      <c r="AA87" s="159" t="str">
        <f>IF(Roster!$AI$14=0,"",Roster!$AI$14)</f>
        <v/>
      </c>
      <c r="AB87" s="151"/>
      <c r="AC87" s="159" t="str">
        <f>IF(Roster!$AC$14=0,"",Roster!$AC$14)</f>
        <v/>
      </c>
      <c r="AD87" s="157"/>
      <c r="AF87" s="290"/>
      <c r="AG87" s="151"/>
      <c r="AH87" s="159" t="str">
        <f>IF(Roster!$AD$15=0,"",Roster!$AD$15)</f>
        <v/>
      </c>
      <c r="AI87" s="151"/>
      <c r="AJ87" s="159" t="str">
        <f>IF((SUM(AL87,AN87,AP87))=0,"",(SUM(AL87,AN87,AP87)))</f>
        <v/>
      </c>
      <c r="AK87" s="151"/>
      <c r="AL87" s="159" t="str">
        <f>IF(Roster!$AG$15=0,"",Roster!$AG$15)</f>
        <v/>
      </c>
      <c r="AM87" s="151"/>
      <c r="AN87" s="159" t="str">
        <f>IF(Roster!$AH$15=0,"",Roster!$AH$15)</f>
        <v/>
      </c>
      <c r="AO87" s="151"/>
      <c r="AP87" s="159" t="str">
        <f>IF(Roster!$AI$15=0,"",Roster!$AI$15)</f>
        <v/>
      </c>
      <c r="AQ87" s="151"/>
      <c r="AR87" s="159" t="str">
        <f>IF(Roster!$AC$15=0,"",Roster!$AC$15)</f>
        <v/>
      </c>
      <c r="AS87" s="157"/>
      <c r="AU87" s="290"/>
      <c r="AV87" s="151"/>
      <c r="AW87" s="159" t="str">
        <f>IF(Roster!$AD$16=0,"",Roster!$AD$16)</f>
        <v/>
      </c>
      <c r="AX87" s="151"/>
      <c r="AY87" s="159" t="str">
        <f>IF((SUM(BA87,BC87,BE87))=0,"",(SUM(BA87,BC87,BE87)))</f>
        <v/>
      </c>
      <c r="AZ87" s="151"/>
      <c r="BA87" s="159" t="str">
        <f>IF(Roster!$AG$16=0,"",Roster!$AG$16)</f>
        <v/>
      </c>
      <c r="BB87" s="151"/>
      <c r="BC87" s="159" t="str">
        <f>IF(Roster!$AH$16=0,"",Roster!$AH$16)</f>
        <v/>
      </c>
      <c r="BD87" s="151"/>
      <c r="BE87" s="159" t="str">
        <f>IF(Roster!$AI$16=0,"",Roster!$AI$16)</f>
        <v/>
      </c>
      <c r="BF87" s="151"/>
      <c r="BG87" s="159" t="str">
        <f>IF(Roster!$AC$16=0,"",Roster!$AC$16)</f>
        <v/>
      </c>
      <c r="BH87" s="157"/>
    </row>
    <row r="88" spans="2:60" ht="4.5" customHeight="1" x14ac:dyDescent="0.2">
      <c r="B88" s="452"/>
      <c r="C88" s="151"/>
      <c r="D88" s="160"/>
      <c r="E88" s="151"/>
      <c r="F88" s="160"/>
      <c r="G88" s="151"/>
      <c r="H88" s="160"/>
      <c r="I88" s="151"/>
      <c r="J88" s="160"/>
      <c r="K88" s="151"/>
      <c r="L88" s="160"/>
      <c r="M88" s="151"/>
      <c r="N88" s="160"/>
      <c r="O88" s="157"/>
      <c r="Q88" s="452"/>
      <c r="R88" s="151"/>
      <c r="S88" s="160"/>
      <c r="T88" s="151"/>
      <c r="U88" s="160"/>
      <c r="V88" s="151"/>
      <c r="W88" s="160"/>
      <c r="X88" s="151"/>
      <c r="Y88" s="160"/>
      <c r="Z88" s="151"/>
      <c r="AA88" s="160"/>
      <c r="AB88" s="151"/>
      <c r="AC88" s="160"/>
      <c r="AD88" s="157"/>
      <c r="AF88" s="452"/>
      <c r="AG88" s="151"/>
      <c r="AH88" s="160"/>
      <c r="AI88" s="151"/>
      <c r="AJ88" s="160"/>
      <c r="AK88" s="151"/>
      <c r="AL88" s="160"/>
      <c r="AM88" s="151"/>
      <c r="AN88" s="160"/>
      <c r="AO88" s="151"/>
      <c r="AP88" s="160"/>
      <c r="AQ88" s="151"/>
      <c r="AR88" s="160"/>
      <c r="AS88" s="157"/>
      <c r="AU88" s="452"/>
      <c r="AV88" s="151"/>
      <c r="AW88" s="160"/>
      <c r="AX88" s="151"/>
      <c r="AY88" s="160"/>
      <c r="AZ88" s="151"/>
      <c r="BA88" s="160"/>
      <c r="BB88" s="151"/>
      <c r="BC88" s="160"/>
      <c r="BD88" s="151"/>
      <c r="BE88" s="160"/>
      <c r="BF88" s="151"/>
      <c r="BG88" s="160"/>
      <c r="BH88" s="157"/>
    </row>
    <row r="89" spans="2:60" ht="11.25" customHeight="1" x14ac:dyDescent="0.2">
      <c r="B89" s="150" t="str">
        <f>IF(Roster!$O$1=0,"",Roster!$O$1)</f>
        <v>AV</v>
      </c>
      <c r="C89" s="150"/>
      <c r="D89" s="158" t="str">
        <f>IF(Roster!$AE$1=0,"",Roster!$AE$1)</f>
        <v>DEF</v>
      </c>
      <c r="E89" s="150"/>
      <c r="F89" s="158" t="str">
        <f>IF(Roster!$AF$1=0,"",Roster!$AF$1)</f>
        <v>INT</v>
      </c>
      <c r="G89" s="150"/>
      <c r="H89" s="158" t="str">
        <f>IF(Roster!$AB$1=0,"",Roster!$AB$1)</f>
        <v>SPE</v>
      </c>
      <c r="I89" s="150"/>
      <c r="J89" s="158" t="str">
        <f>IF(Roster!$AJ$1=0,"",Roster!$AJ$1)</f>
        <v>MVP</v>
      </c>
      <c r="K89" s="150"/>
      <c r="L89" s="204" t="s">
        <v>257</v>
      </c>
      <c r="M89" s="150"/>
      <c r="N89" s="205" t="str">
        <f>IF(Roster!$K$25="Español","LPP/RT",(IF(Roster!$K$25="Deutsch","VNS/AD",(IF(Roster!$K$25="Français","RPM/RT","MNG/TR")))))</f>
        <v>MNG/TR</v>
      </c>
      <c r="O89" s="146"/>
      <c r="Q89" s="150" t="str">
        <f>IF(Roster!$O$1=0,"",Roster!$O$1)</f>
        <v>AV</v>
      </c>
      <c r="R89" s="150"/>
      <c r="S89" s="158" t="str">
        <f>IF(Roster!$AE$1=0,"",Roster!$AE$1)</f>
        <v>DEF</v>
      </c>
      <c r="T89" s="150"/>
      <c r="U89" s="158" t="str">
        <f>IF(Roster!$AF$1=0,"",Roster!$AF$1)</f>
        <v>INT</v>
      </c>
      <c r="V89" s="150"/>
      <c r="W89" s="158" t="str">
        <f>IF(Roster!$AB$1=0,"",Roster!$AB$1)</f>
        <v>SPE</v>
      </c>
      <c r="X89" s="150"/>
      <c r="Y89" s="158" t="str">
        <f>IF(Roster!$AJ$1=0,"",Roster!$AJ$1)</f>
        <v>MVP</v>
      </c>
      <c r="Z89" s="150"/>
      <c r="AA89" s="204" t="s">
        <v>257</v>
      </c>
      <c r="AB89" s="150"/>
      <c r="AC89" s="205" t="str">
        <f>IF(Roster!$K$25="Español","LPP/RT",(IF(Roster!$K$25="Deutsch","VNS/AD",(IF(Roster!$K$25="Français","RPM/RT","MNG/TR")))))</f>
        <v>MNG/TR</v>
      </c>
      <c r="AD89" s="146"/>
      <c r="AF89" s="150" t="str">
        <f>IF(Roster!$O$1=0,"",Roster!$O$1)</f>
        <v>AV</v>
      </c>
      <c r="AG89" s="150"/>
      <c r="AH89" s="158" t="str">
        <f>IF(Roster!$AE$1=0,"",Roster!$AE$1)</f>
        <v>DEF</v>
      </c>
      <c r="AI89" s="150"/>
      <c r="AJ89" s="158" t="str">
        <f>IF(Roster!$AF$1=0,"",Roster!$AF$1)</f>
        <v>INT</v>
      </c>
      <c r="AK89" s="150"/>
      <c r="AL89" s="158" t="str">
        <f>IF(Roster!$AB$1=0,"",Roster!$AB$1)</f>
        <v>SPE</v>
      </c>
      <c r="AM89" s="150"/>
      <c r="AN89" s="158" t="str">
        <f>IF(Roster!$AJ$1=0,"",Roster!$AJ$1)</f>
        <v>MVP</v>
      </c>
      <c r="AO89" s="150"/>
      <c r="AP89" s="204" t="s">
        <v>257</v>
      </c>
      <c r="AQ89" s="150"/>
      <c r="AR89" s="205" t="str">
        <f>IF(Roster!$K$25="Español","LPP/RT",(IF(Roster!$K$25="Deutsch","VNS/AD",(IF(Roster!$K$25="Français","RPM/RT","MNG/TR")))))</f>
        <v>MNG/TR</v>
      </c>
      <c r="AS89" s="146"/>
      <c r="AU89" s="150" t="str">
        <f>IF(Roster!$O$1=0,"",Roster!$O$1)</f>
        <v>AV</v>
      </c>
      <c r="AV89" s="150"/>
      <c r="AW89" s="158" t="str">
        <f>IF(Roster!$AE$1=0,"",Roster!$AE$1)</f>
        <v>DEF</v>
      </c>
      <c r="AX89" s="150"/>
      <c r="AY89" s="158" t="str">
        <f>IF(Roster!$AF$1=0,"",Roster!$AF$1)</f>
        <v>INT</v>
      </c>
      <c r="AZ89" s="150"/>
      <c r="BA89" s="158" t="str">
        <f>IF(Roster!$AB$1=0,"",Roster!$AB$1)</f>
        <v>SPE</v>
      </c>
      <c r="BB89" s="150"/>
      <c r="BC89" s="158" t="str">
        <f>IF(Roster!$AJ$1=0,"",Roster!$AJ$1)</f>
        <v>MVP</v>
      </c>
      <c r="BD89" s="150"/>
      <c r="BE89" s="204" t="s">
        <v>257</v>
      </c>
      <c r="BF89" s="150"/>
      <c r="BG89" s="205" t="str">
        <f>IF(Roster!$K$25="Español","LPP/RT",(IF(Roster!$K$25="Deutsch","VNS/AD",(IF(Roster!$K$25="Français","RPM/RT","MNG/TR")))))</f>
        <v>MNG/TR</v>
      </c>
      <c r="BH89" s="146"/>
    </row>
    <row r="90" spans="2:60" ht="15" customHeight="1" x14ac:dyDescent="0.2">
      <c r="B90" s="474" t="str">
        <f>IF(Roster!$O$13=0&amp;"+","",Roster!$O$13)</f>
        <v>6+</v>
      </c>
      <c r="C90" s="151"/>
      <c r="D90" s="159" t="str">
        <f>IF(Roster!$AE$13=0,"",Roster!$AE$13)</f>
        <v/>
      </c>
      <c r="E90" s="151"/>
      <c r="F90" s="159" t="str">
        <f>IF(Roster!$AF$13=0,"",Roster!$AF$13)</f>
        <v/>
      </c>
      <c r="G90" s="151"/>
      <c r="H90" s="159" t="str">
        <f>IF(Roster!$AB$13=0,"",Roster!$AB$13)</f>
        <v/>
      </c>
      <c r="I90" s="151"/>
      <c r="J90" s="159" t="str">
        <f>IF(Roster!$AJ$13=0,"",Roster!$AJ$13)</f>
        <v/>
      </c>
      <c r="K90" s="151"/>
      <c r="L90" s="159" t="str">
        <f>IF(Roster!$AK$13=0,"",Roster!$AK$13)</f>
        <v/>
      </c>
      <c r="M90" s="151"/>
      <c r="N90" s="159" t="str">
        <f>IF(Roster!$AA$13=0,"",Roster!$AA$13)</f>
        <v/>
      </c>
      <c r="O90" s="161"/>
      <c r="Q90" s="474" t="str">
        <f>IF(Roster!$O$14=0&amp;"+","",Roster!$O$14)</f>
        <v>6+</v>
      </c>
      <c r="R90" s="151"/>
      <c r="S90" s="159" t="str">
        <f>IF(Roster!$AE$14=0,"",Roster!$AE$14)</f>
        <v/>
      </c>
      <c r="T90" s="151"/>
      <c r="U90" s="159" t="str">
        <f>IF(Roster!$AF$14=0,"",Roster!$AF$14)</f>
        <v/>
      </c>
      <c r="V90" s="151"/>
      <c r="W90" s="159" t="str">
        <f>IF(Roster!$AB$14=0,"",Roster!$AB$14)</f>
        <v/>
      </c>
      <c r="X90" s="151"/>
      <c r="Y90" s="159" t="str">
        <f>IF(Roster!$AJ$14=0,"",Roster!$AJ$14)</f>
        <v/>
      </c>
      <c r="Z90" s="151"/>
      <c r="AA90" s="159" t="str">
        <f>IF(Roster!$AK$14=0,"",Roster!$AK$14)</f>
        <v/>
      </c>
      <c r="AB90" s="151"/>
      <c r="AC90" s="159" t="str">
        <f>IF(Roster!$AA$14=0,"",Roster!$AA$14)</f>
        <v/>
      </c>
      <c r="AD90" s="161"/>
      <c r="AF90" s="474" t="str">
        <f>IF(Roster!$O$15=0&amp;"+","",Roster!$O$15)</f>
        <v/>
      </c>
      <c r="AG90" s="151"/>
      <c r="AH90" s="159" t="str">
        <f>IF(Roster!$AE$15=0,"",Roster!$AE$15)</f>
        <v/>
      </c>
      <c r="AI90" s="151"/>
      <c r="AJ90" s="159" t="str">
        <f>IF(Roster!$AF$15=0,"",Roster!$AF$15)</f>
        <v/>
      </c>
      <c r="AK90" s="151"/>
      <c r="AL90" s="159" t="str">
        <f>IF(Roster!$AB$15=0,"",Roster!$AB$15)</f>
        <v/>
      </c>
      <c r="AM90" s="151"/>
      <c r="AN90" s="159" t="str">
        <f>IF(Roster!$AJ$15=0,"",Roster!$AJ$15)</f>
        <v/>
      </c>
      <c r="AO90" s="151"/>
      <c r="AP90" s="159" t="str">
        <f>IF(Roster!$AK$15=0,"",Roster!$AK$15)</f>
        <v/>
      </c>
      <c r="AQ90" s="151"/>
      <c r="AR90" s="159" t="str">
        <f>IF(Roster!$AA$15=0,"",Roster!$AA$15)</f>
        <v/>
      </c>
      <c r="AS90" s="161"/>
      <c r="AU90" s="474" t="str">
        <f>IF(Roster!$O$16=0&amp;"+","",Roster!$O$16)</f>
        <v/>
      </c>
      <c r="AV90" s="151"/>
      <c r="AW90" s="159" t="str">
        <f>IF(Roster!$AE$16=0,"",Roster!$AE$16)</f>
        <v/>
      </c>
      <c r="AX90" s="151"/>
      <c r="AY90" s="159" t="str">
        <f>IF(Roster!$AF$16=0,"",Roster!$AF$16)</f>
        <v/>
      </c>
      <c r="AZ90" s="151"/>
      <c r="BA90" s="159" t="str">
        <f>IF(Roster!$AB$16=0,"",Roster!$AB$16)</f>
        <v/>
      </c>
      <c r="BB90" s="151"/>
      <c r="BC90" s="159" t="str">
        <f>IF(Roster!$AJ$16=0,"",Roster!$AJ$16)</f>
        <v/>
      </c>
      <c r="BD90" s="151"/>
      <c r="BE90" s="159" t="str">
        <f>IF(Roster!$AK$16=0,"",Roster!$AK$16)</f>
        <v/>
      </c>
      <c r="BF90" s="151"/>
      <c r="BG90" s="159" t="str">
        <f>IF(Roster!$AA$16=0,"",Roster!$AA$16)</f>
        <v/>
      </c>
      <c r="BH90" s="161"/>
    </row>
    <row r="91" spans="2:60" ht="4.5" customHeight="1" x14ac:dyDescent="0.2">
      <c r="B91" s="290"/>
      <c r="C91" s="151"/>
      <c r="D91" s="151"/>
      <c r="E91" s="151"/>
      <c r="F91" s="151"/>
      <c r="G91" s="151"/>
      <c r="H91" s="151"/>
      <c r="I91" s="151"/>
      <c r="J91" s="151"/>
      <c r="K91" s="151"/>
      <c r="L91" s="151"/>
      <c r="M91" s="151"/>
      <c r="N91" s="157"/>
      <c r="O91" s="161"/>
      <c r="Q91" s="290"/>
      <c r="R91" s="151"/>
      <c r="S91" s="151"/>
      <c r="T91" s="151"/>
      <c r="U91" s="151"/>
      <c r="V91" s="151"/>
      <c r="W91" s="151"/>
      <c r="X91" s="151"/>
      <c r="Y91" s="151"/>
      <c r="Z91" s="151"/>
      <c r="AA91" s="151"/>
      <c r="AB91" s="151"/>
      <c r="AC91" s="157"/>
      <c r="AD91" s="161"/>
      <c r="AF91" s="290"/>
      <c r="AG91" s="151"/>
      <c r="AH91" s="151"/>
      <c r="AI91" s="151"/>
      <c r="AJ91" s="151"/>
      <c r="AK91" s="151"/>
      <c r="AL91" s="151"/>
      <c r="AM91" s="151"/>
      <c r="AN91" s="151"/>
      <c r="AO91" s="151"/>
      <c r="AP91" s="151"/>
      <c r="AQ91" s="151"/>
      <c r="AR91" s="157"/>
      <c r="AS91" s="161"/>
      <c r="AU91" s="290"/>
      <c r="AV91" s="151"/>
      <c r="AW91" s="151"/>
      <c r="AX91" s="151"/>
      <c r="AY91" s="151"/>
      <c r="AZ91" s="151"/>
      <c r="BA91" s="151"/>
      <c r="BB91" s="151"/>
      <c r="BC91" s="151"/>
      <c r="BD91" s="151"/>
      <c r="BE91" s="151"/>
      <c r="BF91" s="151"/>
      <c r="BG91" s="157"/>
      <c r="BH91" s="161"/>
    </row>
    <row r="92" spans="2:60" ht="11.25" customHeight="1" x14ac:dyDescent="0.2">
      <c r="B92" s="290"/>
      <c r="C92" s="151"/>
      <c r="D92" s="475" t="str">
        <f>IF(Roster!$K$25="Italiano","ABILITÀ &amp; TRATTI",(IF(Roster!$K$25="Español","HABILIDADES Y RASGOS","SKILLS &amp; TRAITS")))</f>
        <v>SKILLS &amp; TRAITS</v>
      </c>
      <c r="E92" s="303"/>
      <c r="F92" s="303"/>
      <c r="G92" s="303"/>
      <c r="H92" s="303"/>
      <c r="I92" s="303"/>
      <c r="J92" s="303"/>
      <c r="K92" s="303"/>
      <c r="L92" s="303"/>
      <c r="M92" s="303"/>
      <c r="N92" s="304"/>
      <c r="O92" s="161"/>
      <c r="Q92" s="290"/>
      <c r="R92" s="151"/>
      <c r="S92" s="475" t="str">
        <f>IF(Roster!$K$25="Italiano","ABILITÀ &amp; TRATTI",(IF(Roster!$K$25="Español","HABILIDADES Y RASGOS","SKILLS &amp; TRAITS")))</f>
        <v>SKILLS &amp; TRAITS</v>
      </c>
      <c r="T92" s="303"/>
      <c r="U92" s="303"/>
      <c r="V92" s="303"/>
      <c r="W92" s="303"/>
      <c r="X92" s="303"/>
      <c r="Y92" s="303"/>
      <c r="Z92" s="303"/>
      <c r="AA92" s="303"/>
      <c r="AB92" s="303"/>
      <c r="AC92" s="304"/>
      <c r="AD92" s="161"/>
      <c r="AF92" s="290"/>
      <c r="AG92" s="151"/>
      <c r="AH92" s="475" t="str">
        <f>IF(Roster!$K$25="Italiano","ABILITÀ &amp; TRATTI",(IF(Roster!$K$25="Español","HABILIDADES Y RASGOS","SKILLS &amp; TRAITS")))</f>
        <v>SKILLS &amp; TRAITS</v>
      </c>
      <c r="AI92" s="303"/>
      <c r="AJ92" s="303"/>
      <c r="AK92" s="303"/>
      <c r="AL92" s="303"/>
      <c r="AM92" s="303"/>
      <c r="AN92" s="303"/>
      <c r="AO92" s="303"/>
      <c r="AP92" s="303"/>
      <c r="AQ92" s="303"/>
      <c r="AR92" s="304"/>
      <c r="AS92" s="161"/>
      <c r="AU92" s="290"/>
      <c r="AV92" s="151"/>
      <c r="AW92" s="475" t="str">
        <f>IF(Roster!$K$25="Italiano","ABILITÀ &amp; TRATTI",(IF(Roster!$K$25="Español","HABILIDADES Y RASGOS","SKILLS &amp; TRAITS")))</f>
        <v>SKILLS &amp; TRAITS</v>
      </c>
      <c r="AX92" s="303"/>
      <c r="AY92" s="303"/>
      <c r="AZ92" s="303"/>
      <c r="BA92" s="303"/>
      <c r="BB92" s="303"/>
      <c r="BC92" s="303"/>
      <c r="BD92" s="303"/>
      <c r="BE92" s="303"/>
      <c r="BF92" s="303"/>
      <c r="BG92" s="304"/>
      <c r="BH92" s="161"/>
    </row>
    <row r="93" spans="2:60" ht="6.75" customHeight="1" x14ac:dyDescent="0.2">
      <c r="B93" s="452"/>
      <c r="C93" s="151"/>
      <c r="D93" s="482" t="str">
        <f>IF(Roster!$P$13=0&amp;BF13,"",Roster!$P$13)</f>
        <v>Dodge, Right Stuff, Side Step, Stunty, Titchy</v>
      </c>
      <c r="E93" s="483"/>
      <c r="F93" s="483"/>
      <c r="G93" s="483"/>
      <c r="H93" s="483"/>
      <c r="I93" s="483"/>
      <c r="J93" s="483"/>
      <c r="K93" s="483"/>
      <c r="L93" s="483"/>
      <c r="M93" s="483"/>
      <c r="N93" s="484"/>
      <c r="O93" s="161"/>
      <c r="Q93" s="452"/>
      <c r="R93" s="151"/>
      <c r="S93" s="482" t="str">
        <f>IF(Roster!$P$14=0&amp;BF14,"",Roster!$P$14)</f>
        <v>Loner (4+), Dodge, Right Stuff, Side Step, Stunty, Titchy</v>
      </c>
      <c r="T93" s="483"/>
      <c r="U93" s="483"/>
      <c r="V93" s="483"/>
      <c r="W93" s="483"/>
      <c r="X93" s="483"/>
      <c r="Y93" s="483"/>
      <c r="Z93" s="483"/>
      <c r="AA93" s="483"/>
      <c r="AB93" s="483"/>
      <c r="AC93" s="484"/>
      <c r="AD93" s="161"/>
      <c r="AF93" s="452"/>
      <c r="AG93" s="151"/>
      <c r="AH93" s="482" t="str">
        <f>IF(Roster!$P$15=0&amp;BF15,"",Roster!$P$15)</f>
        <v/>
      </c>
      <c r="AI93" s="483"/>
      <c r="AJ93" s="483"/>
      <c r="AK93" s="483"/>
      <c r="AL93" s="483"/>
      <c r="AM93" s="483"/>
      <c r="AN93" s="483"/>
      <c r="AO93" s="483"/>
      <c r="AP93" s="483"/>
      <c r="AQ93" s="483"/>
      <c r="AR93" s="484"/>
      <c r="AS93" s="161"/>
      <c r="AU93" s="452"/>
      <c r="AV93" s="151"/>
      <c r="AW93" s="482" t="str">
        <f>IF(Roster!$P$16=0&amp;BF16,"",Roster!$P$16)</f>
        <v/>
      </c>
      <c r="AX93" s="483"/>
      <c r="AY93" s="483"/>
      <c r="AZ93" s="483"/>
      <c r="BA93" s="483"/>
      <c r="BB93" s="483"/>
      <c r="BC93" s="483"/>
      <c r="BD93" s="483"/>
      <c r="BE93" s="483"/>
      <c r="BF93" s="483"/>
      <c r="BG93" s="484"/>
      <c r="BH93" s="161"/>
    </row>
    <row r="94" spans="2:60" ht="11.25" customHeight="1" x14ac:dyDescent="0.2">
      <c r="B94" s="150" t="str">
        <f>IF(Roster!$AO$1=0,"",Roster!$AO$1)</f>
        <v>COST</v>
      </c>
      <c r="C94" s="150"/>
      <c r="D94" s="485"/>
      <c r="E94" s="486"/>
      <c r="F94" s="486"/>
      <c r="G94" s="486"/>
      <c r="H94" s="486"/>
      <c r="I94" s="486"/>
      <c r="J94" s="486"/>
      <c r="K94" s="486"/>
      <c r="L94" s="486"/>
      <c r="M94" s="486"/>
      <c r="N94" s="487"/>
      <c r="O94" s="162"/>
      <c r="Q94" s="150" t="str">
        <f>IF(Roster!$AO$1=0,"",Roster!$AO$1)</f>
        <v>COST</v>
      </c>
      <c r="R94" s="150"/>
      <c r="S94" s="485"/>
      <c r="T94" s="486"/>
      <c r="U94" s="486"/>
      <c r="V94" s="486"/>
      <c r="W94" s="486"/>
      <c r="X94" s="486"/>
      <c r="Y94" s="486"/>
      <c r="Z94" s="486"/>
      <c r="AA94" s="486"/>
      <c r="AB94" s="486"/>
      <c r="AC94" s="487"/>
      <c r="AD94" s="162"/>
      <c r="AF94" s="150" t="str">
        <f>IF(Roster!$AO$1=0,"",Roster!$AO$1)</f>
        <v>COST</v>
      </c>
      <c r="AG94" s="150"/>
      <c r="AH94" s="485"/>
      <c r="AI94" s="486"/>
      <c r="AJ94" s="486"/>
      <c r="AK94" s="486"/>
      <c r="AL94" s="486"/>
      <c r="AM94" s="486"/>
      <c r="AN94" s="486"/>
      <c r="AO94" s="486"/>
      <c r="AP94" s="486"/>
      <c r="AQ94" s="486"/>
      <c r="AR94" s="487"/>
      <c r="AS94" s="162"/>
      <c r="AU94" s="150" t="str">
        <f>IF(Roster!$AO$1=0,"",Roster!$AO$1)</f>
        <v>COST</v>
      </c>
      <c r="AV94" s="150"/>
      <c r="AW94" s="485"/>
      <c r="AX94" s="486"/>
      <c r="AY94" s="486"/>
      <c r="AZ94" s="486"/>
      <c r="BA94" s="486"/>
      <c r="BB94" s="486"/>
      <c r="BC94" s="486"/>
      <c r="BD94" s="486"/>
      <c r="BE94" s="486"/>
      <c r="BF94" s="486"/>
      <c r="BG94" s="487"/>
      <c r="BH94" s="162"/>
    </row>
    <row r="95" spans="2:60" ht="34.5" customHeight="1" x14ac:dyDescent="0.2">
      <c r="B95" s="164">
        <f>IF(Roster!$AO$13=0,"",Roster!$AO$13)</f>
        <v>15000</v>
      </c>
      <c r="C95" s="165"/>
      <c r="D95" s="488"/>
      <c r="E95" s="489"/>
      <c r="F95" s="489"/>
      <c r="G95" s="489"/>
      <c r="H95" s="489"/>
      <c r="I95" s="489"/>
      <c r="J95" s="489"/>
      <c r="K95" s="489"/>
      <c r="L95" s="489"/>
      <c r="M95" s="489"/>
      <c r="N95" s="490"/>
      <c r="O95" s="162"/>
      <c r="Q95" s="164" t="str">
        <f>IF(Roster!$AO$14=0,"",Roster!$AO$14)</f>
        <v/>
      </c>
      <c r="R95" s="165"/>
      <c r="S95" s="488"/>
      <c r="T95" s="489"/>
      <c r="U95" s="489"/>
      <c r="V95" s="489"/>
      <c r="W95" s="489"/>
      <c r="X95" s="489"/>
      <c r="Y95" s="489"/>
      <c r="Z95" s="489"/>
      <c r="AA95" s="489"/>
      <c r="AB95" s="489"/>
      <c r="AC95" s="490"/>
      <c r="AD95" s="162"/>
      <c r="AF95" s="164" t="str">
        <f>IF(Roster!$AO$15=0,"",Roster!$AO$15)</f>
        <v/>
      </c>
      <c r="AG95" s="165"/>
      <c r="AH95" s="488"/>
      <c r="AI95" s="489"/>
      <c r="AJ95" s="489"/>
      <c r="AK95" s="489"/>
      <c r="AL95" s="489"/>
      <c r="AM95" s="489"/>
      <c r="AN95" s="489"/>
      <c r="AO95" s="489"/>
      <c r="AP95" s="489"/>
      <c r="AQ95" s="489"/>
      <c r="AR95" s="490"/>
      <c r="AS95" s="162"/>
      <c r="AU95" s="164" t="str">
        <f>IF(Roster!$AO$16=0,"",Roster!$AO$16)</f>
        <v/>
      </c>
      <c r="AV95" s="165"/>
      <c r="AW95" s="488"/>
      <c r="AX95" s="489"/>
      <c r="AY95" s="489"/>
      <c r="AZ95" s="489"/>
      <c r="BA95" s="489"/>
      <c r="BB95" s="489"/>
      <c r="BC95" s="489"/>
      <c r="BD95" s="489"/>
      <c r="BE95" s="489"/>
      <c r="BF95" s="489"/>
      <c r="BG95" s="490"/>
      <c r="BH95" s="162"/>
    </row>
    <row r="96" spans="2:60" ht="4.5" customHeight="1" x14ac:dyDescent="0.2">
      <c r="B96" s="146"/>
      <c r="C96" s="146"/>
      <c r="D96" s="146"/>
      <c r="E96" s="146"/>
      <c r="F96" s="146"/>
      <c r="G96" s="146"/>
      <c r="H96" s="146"/>
      <c r="I96" s="146"/>
      <c r="J96" s="146"/>
      <c r="K96" s="146"/>
      <c r="L96" s="146"/>
      <c r="M96" s="146"/>
      <c r="N96" s="162"/>
      <c r="O96" s="162"/>
      <c r="Q96" s="146"/>
      <c r="R96" s="146"/>
      <c r="S96" s="146"/>
      <c r="T96" s="146"/>
      <c r="U96" s="146"/>
      <c r="V96" s="146"/>
      <c r="W96" s="146"/>
      <c r="X96" s="146"/>
      <c r="Y96" s="146"/>
      <c r="Z96" s="146"/>
      <c r="AA96" s="146"/>
      <c r="AB96" s="146"/>
      <c r="AC96" s="162"/>
      <c r="AD96" s="162"/>
      <c r="AF96" s="146"/>
      <c r="AG96" s="146"/>
      <c r="AH96" s="146"/>
      <c r="AI96" s="146"/>
      <c r="AJ96" s="146"/>
      <c r="AK96" s="146"/>
      <c r="AL96" s="146"/>
      <c r="AM96" s="146"/>
      <c r="AN96" s="146"/>
      <c r="AO96" s="146"/>
      <c r="AP96" s="146"/>
      <c r="AQ96" s="146"/>
      <c r="AR96" s="162"/>
      <c r="AS96" s="162"/>
      <c r="AU96" s="146"/>
      <c r="AV96" s="146"/>
      <c r="AW96" s="146"/>
      <c r="AX96" s="146"/>
      <c r="AY96" s="146"/>
      <c r="AZ96" s="146"/>
      <c r="BA96" s="146"/>
      <c r="BB96" s="146"/>
      <c r="BC96" s="146"/>
      <c r="BD96" s="146"/>
      <c r="BE96" s="146"/>
      <c r="BF96" s="146"/>
      <c r="BG96" s="162"/>
      <c r="BH96" s="162"/>
    </row>
    <row r="97" spans="2:60" ht="11.25" customHeight="1" x14ac:dyDescent="0.2"/>
    <row r="98" spans="2:60" ht="4.5" customHeight="1" x14ac:dyDescent="0.2">
      <c r="B98" s="477" t="str">
        <f>IF(Roster!$A$17=0,"","#"&amp;Roster!$A$17)</f>
        <v>#16</v>
      </c>
      <c r="C98" s="146"/>
      <c r="D98" s="146"/>
      <c r="E98" s="146"/>
      <c r="F98" s="146"/>
      <c r="G98" s="146"/>
      <c r="H98" s="146"/>
      <c r="I98" s="146"/>
      <c r="J98" s="146"/>
      <c r="K98" s="146"/>
      <c r="L98" s="146"/>
      <c r="M98" s="146"/>
      <c r="N98" s="146"/>
      <c r="O98" s="146"/>
      <c r="Q98" s="504"/>
      <c r="R98" s="146"/>
      <c r="S98" s="146"/>
      <c r="T98" s="146"/>
      <c r="U98" s="146"/>
      <c r="V98" s="146"/>
      <c r="W98" s="146"/>
      <c r="X98" s="146"/>
      <c r="Y98" s="146"/>
      <c r="Z98" s="146"/>
      <c r="AA98" s="146"/>
      <c r="AB98" s="146"/>
      <c r="AC98" s="146"/>
      <c r="AD98" s="146"/>
      <c r="AF98" s="504"/>
      <c r="AG98" s="146"/>
      <c r="AH98" s="146"/>
      <c r="AI98" s="146"/>
      <c r="AJ98" s="146"/>
      <c r="AK98" s="146"/>
      <c r="AL98" s="146"/>
      <c r="AM98" s="146"/>
      <c r="AN98" s="146"/>
      <c r="AO98" s="146"/>
      <c r="AP98" s="146"/>
      <c r="AQ98" s="146"/>
      <c r="AR98" s="146"/>
      <c r="AS98" s="146"/>
      <c r="AU98" s="504"/>
      <c r="AV98" s="146"/>
      <c r="AW98" s="146"/>
      <c r="AX98" s="146"/>
      <c r="AY98" s="146"/>
      <c r="AZ98" s="146"/>
      <c r="BA98" s="146"/>
      <c r="BB98" s="146"/>
      <c r="BC98" s="146"/>
      <c r="BD98" s="146"/>
      <c r="BE98" s="146"/>
      <c r="BF98" s="146"/>
      <c r="BG98" s="146"/>
      <c r="BH98" s="146"/>
    </row>
    <row r="99" spans="2:60" ht="15" customHeight="1" x14ac:dyDescent="0.25">
      <c r="B99" s="290"/>
      <c r="C99" s="480" t="str">
        <f>IF(Roster!$B$17=0,"",Roster!$B$17)</f>
        <v/>
      </c>
      <c r="D99" s="303"/>
      <c r="E99" s="303"/>
      <c r="F99" s="303"/>
      <c r="G99" s="303"/>
      <c r="H99" s="303"/>
      <c r="I99" s="303"/>
      <c r="J99" s="303"/>
      <c r="K99" s="303"/>
      <c r="L99" s="303"/>
      <c r="M99" s="303"/>
      <c r="N99" s="304"/>
      <c r="O99" s="146"/>
      <c r="Q99" s="290"/>
      <c r="R99" s="505" t="str">
        <f>IF(Roster!$B$18=0,"","("&amp;Roster!$B$18&amp;")")</f>
        <v>(Star Player &amp; Mercenary)</v>
      </c>
      <c r="S99" s="506"/>
      <c r="T99" s="506"/>
      <c r="U99" s="506"/>
      <c r="V99" s="506"/>
      <c r="W99" s="506"/>
      <c r="X99" s="506"/>
      <c r="Y99" s="506"/>
      <c r="Z99" s="506"/>
      <c r="AA99" s="506"/>
      <c r="AB99" s="506"/>
      <c r="AC99" s="507"/>
      <c r="AD99" s="146"/>
      <c r="AF99" s="290"/>
      <c r="AG99" s="505" t="str">
        <f>IF(Roster!$B$19=0,"","("&amp;Roster!$B$19&amp;")")</f>
        <v>(Star Player &amp; Mercenary)</v>
      </c>
      <c r="AH99" s="506"/>
      <c r="AI99" s="506"/>
      <c r="AJ99" s="506"/>
      <c r="AK99" s="506"/>
      <c r="AL99" s="506"/>
      <c r="AM99" s="506"/>
      <c r="AN99" s="506"/>
      <c r="AO99" s="506"/>
      <c r="AP99" s="506"/>
      <c r="AQ99" s="506"/>
      <c r="AR99" s="507"/>
      <c r="AS99" s="146"/>
      <c r="AU99" s="290"/>
      <c r="AV99" s="505" t="str">
        <f>IF(Roster!$B$20=0,"","("&amp;Roster!$B$20&amp;")")</f>
        <v>(Mercenary)</v>
      </c>
      <c r="AW99" s="506"/>
      <c r="AX99" s="506"/>
      <c r="AY99" s="506"/>
      <c r="AZ99" s="506"/>
      <c r="BA99" s="506"/>
      <c r="BB99" s="506"/>
      <c r="BC99" s="506"/>
      <c r="BD99" s="506"/>
      <c r="BE99" s="506"/>
      <c r="BF99" s="506"/>
      <c r="BG99" s="507"/>
      <c r="BH99" s="146"/>
    </row>
    <row r="100" spans="2:60" ht="11.25" customHeight="1" x14ac:dyDescent="0.2">
      <c r="B100" s="452"/>
      <c r="C100" s="481" t="str">
        <f>IF(Roster!$D$17=0,"",Roster!$D$17)</f>
        <v/>
      </c>
      <c r="D100" s="303"/>
      <c r="E100" s="303"/>
      <c r="F100" s="303"/>
      <c r="G100" s="303"/>
      <c r="H100" s="303"/>
      <c r="I100" s="303"/>
      <c r="J100" s="303"/>
      <c r="K100" s="303"/>
      <c r="L100" s="303"/>
      <c r="M100" s="303"/>
      <c r="N100" s="304"/>
      <c r="O100" s="147"/>
      <c r="Q100" s="452"/>
      <c r="R100" s="508" t="str">
        <f>IF(Roster!$D$18=0,"",Roster!$D$18)</f>
        <v/>
      </c>
      <c r="S100" s="508"/>
      <c r="T100" s="508"/>
      <c r="U100" s="508"/>
      <c r="V100" s="508"/>
      <c r="W100" s="508"/>
      <c r="X100" s="508"/>
      <c r="Y100" s="508"/>
      <c r="Z100" s="508"/>
      <c r="AA100" s="508"/>
      <c r="AB100" s="508"/>
      <c r="AC100" s="508"/>
      <c r="AD100" s="147"/>
      <c r="AF100" s="452"/>
      <c r="AG100" s="503" t="str">
        <f>IF(Roster!$D$19=0,"",Roster!$D$19)</f>
        <v/>
      </c>
      <c r="AH100" s="503"/>
      <c r="AI100" s="503"/>
      <c r="AJ100" s="503"/>
      <c r="AK100" s="503"/>
      <c r="AL100" s="503"/>
      <c r="AM100" s="503"/>
      <c r="AN100" s="503"/>
      <c r="AO100" s="503"/>
      <c r="AP100" s="503"/>
      <c r="AQ100" s="503"/>
      <c r="AR100" s="503"/>
      <c r="AS100" s="147"/>
      <c r="AU100" s="452"/>
      <c r="AV100" s="503" t="str">
        <f>IF(Roster!$D$20=0,"",Roster!$D$20)</f>
        <v/>
      </c>
      <c r="AW100" s="503"/>
      <c r="AX100" s="503"/>
      <c r="AY100" s="503"/>
      <c r="AZ100" s="503"/>
      <c r="BA100" s="503"/>
      <c r="BB100" s="503"/>
      <c r="BC100" s="503"/>
      <c r="BD100" s="503"/>
      <c r="BE100" s="503"/>
      <c r="BF100" s="503"/>
      <c r="BG100" s="503"/>
      <c r="BH100" s="147"/>
    </row>
    <row r="101" spans="2:60" ht="11.25" customHeight="1" x14ac:dyDescent="0.2">
      <c r="B101" s="150" t="str">
        <f>IF(Roster!$K$1=0,"",Roster!$K$1)</f>
        <v>MA</v>
      </c>
      <c r="C101" s="149"/>
      <c r="D101" s="492"/>
      <c r="E101" s="492"/>
      <c r="F101" s="492"/>
      <c r="G101" s="492"/>
      <c r="H101" s="492"/>
      <c r="I101" s="492"/>
      <c r="J101" s="492"/>
      <c r="K101" s="492"/>
      <c r="L101" s="492"/>
      <c r="M101" s="492"/>
      <c r="N101" s="492"/>
      <c r="O101" s="146"/>
      <c r="Q101" s="150" t="str">
        <f>IF(Roster!$K$1=0,"",Roster!$K$1)</f>
        <v>MA</v>
      </c>
      <c r="R101" s="508"/>
      <c r="S101" s="508"/>
      <c r="T101" s="508"/>
      <c r="U101" s="508"/>
      <c r="V101" s="508"/>
      <c r="W101" s="508"/>
      <c r="X101" s="508"/>
      <c r="Y101" s="508"/>
      <c r="Z101" s="508"/>
      <c r="AA101" s="508"/>
      <c r="AB101" s="508"/>
      <c r="AC101" s="508"/>
      <c r="AD101" s="146"/>
      <c r="AF101" s="150" t="str">
        <f>IF(Roster!$K$1=0,"",Roster!$K$1)</f>
        <v>MA</v>
      </c>
      <c r="AG101" s="503"/>
      <c r="AH101" s="503"/>
      <c r="AI101" s="503"/>
      <c r="AJ101" s="503"/>
      <c r="AK101" s="503"/>
      <c r="AL101" s="503"/>
      <c r="AM101" s="503"/>
      <c r="AN101" s="503"/>
      <c r="AO101" s="503"/>
      <c r="AP101" s="503"/>
      <c r="AQ101" s="503"/>
      <c r="AR101" s="503"/>
      <c r="AS101" s="146"/>
      <c r="AU101" s="150" t="str">
        <f>IF(Roster!$K$1=0,"",Roster!$K$1)</f>
        <v>MA</v>
      </c>
      <c r="AV101" s="503"/>
      <c r="AW101" s="503"/>
      <c r="AX101" s="503"/>
      <c r="AY101" s="503"/>
      <c r="AZ101" s="503"/>
      <c r="BA101" s="503"/>
      <c r="BB101" s="503"/>
      <c r="BC101" s="503"/>
      <c r="BD101" s="503"/>
      <c r="BE101" s="503"/>
      <c r="BF101" s="503"/>
      <c r="BG101" s="503"/>
      <c r="BH101" s="146"/>
    </row>
    <row r="102" spans="2:60" ht="37.5" customHeight="1" x14ac:dyDescent="0.2">
      <c r="B102" s="152" t="str">
        <f>IF(Roster!$K$17=0,"",Roster!$K$17)</f>
        <v/>
      </c>
      <c r="C102" s="149"/>
      <c r="D102" s="492"/>
      <c r="E102" s="492"/>
      <c r="F102" s="492"/>
      <c r="G102" s="492"/>
      <c r="H102" s="492"/>
      <c r="I102" s="492"/>
      <c r="J102" s="492"/>
      <c r="K102" s="492"/>
      <c r="L102" s="492"/>
      <c r="M102" s="492"/>
      <c r="N102" s="492"/>
      <c r="O102" s="146"/>
      <c r="Q102" s="152" t="str">
        <f>IF(Roster!$K$18=0,"",Roster!$K$18)</f>
        <v/>
      </c>
      <c r="R102" s="508"/>
      <c r="S102" s="508"/>
      <c r="T102" s="508"/>
      <c r="U102" s="508"/>
      <c r="V102" s="508"/>
      <c r="W102" s="508"/>
      <c r="X102" s="508"/>
      <c r="Y102" s="508"/>
      <c r="Z102" s="508"/>
      <c r="AA102" s="508"/>
      <c r="AB102" s="508"/>
      <c r="AC102" s="508"/>
      <c r="AD102" s="146"/>
      <c r="AF102" s="152" t="str">
        <f>IF(Roster!$K$19=0,"",Roster!$K$19)</f>
        <v/>
      </c>
      <c r="AG102" s="503"/>
      <c r="AH102" s="503"/>
      <c r="AI102" s="503"/>
      <c r="AJ102" s="503"/>
      <c r="AK102" s="503"/>
      <c r="AL102" s="503"/>
      <c r="AM102" s="503"/>
      <c r="AN102" s="503"/>
      <c r="AO102" s="503"/>
      <c r="AP102" s="503"/>
      <c r="AQ102" s="503"/>
      <c r="AR102" s="503"/>
      <c r="AS102" s="146"/>
      <c r="AU102" s="152" t="str">
        <f>IF(Roster!$K$20=0,"",Roster!$K$20)</f>
        <v/>
      </c>
      <c r="AV102" s="503"/>
      <c r="AW102" s="503"/>
      <c r="AX102" s="503"/>
      <c r="AY102" s="503"/>
      <c r="AZ102" s="503"/>
      <c r="BA102" s="503"/>
      <c r="BB102" s="503"/>
      <c r="BC102" s="503"/>
      <c r="BD102" s="503"/>
      <c r="BE102" s="503"/>
      <c r="BF102" s="503"/>
      <c r="BG102" s="503"/>
      <c r="BH102" s="146"/>
    </row>
    <row r="103" spans="2:60" ht="11.25" customHeight="1" x14ac:dyDescent="0.2">
      <c r="B103" s="150" t="str">
        <f>IF(Roster!$L$1=0,"",Roster!$L$1)</f>
        <v>ST</v>
      </c>
      <c r="C103" s="149"/>
      <c r="D103" s="492"/>
      <c r="E103" s="492"/>
      <c r="F103" s="492"/>
      <c r="G103" s="492"/>
      <c r="H103" s="492"/>
      <c r="I103" s="492"/>
      <c r="J103" s="492"/>
      <c r="K103" s="492"/>
      <c r="L103" s="492"/>
      <c r="M103" s="492"/>
      <c r="N103" s="492"/>
      <c r="O103" s="146"/>
      <c r="Q103" s="150" t="str">
        <f>IF(Roster!$L$1=0,"",Roster!$L$1)</f>
        <v>ST</v>
      </c>
      <c r="R103" s="150"/>
      <c r="S103" s="475" t="str">
        <f>IF(Roster!$K$25="Italiano","REGOLE SPECIALI",(IF(Roster!$K$25="Español","REGLA ESPECIAL","SPECIAL RULE")))</f>
        <v>SPECIAL RULE</v>
      </c>
      <c r="T103" s="303"/>
      <c r="U103" s="303"/>
      <c r="V103" s="303"/>
      <c r="W103" s="303"/>
      <c r="X103" s="303"/>
      <c r="Y103" s="303"/>
      <c r="Z103" s="303"/>
      <c r="AA103" s="303"/>
      <c r="AB103" s="303"/>
      <c r="AC103" s="304"/>
      <c r="AD103" s="146"/>
      <c r="AF103" s="150" t="str">
        <f>IF(Roster!$L$1=0,"",Roster!$L$1)</f>
        <v>ST</v>
      </c>
      <c r="AG103" s="195"/>
      <c r="AH103" s="475" t="str">
        <f>IF(Roster!$K$25="Italiano","REGOLE SPECIALI",(IF(Roster!$K$25="Español","REGLA ESPECIAL","SPECIAL RULE")))</f>
        <v>SPECIAL RULE</v>
      </c>
      <c r="AI103" s="303"/>
      <c r="AJ103" s="303"/>
      <c r="AK103" s="303"/>
      <c r="AL103" s="303"/>
      <c r="AM103" s="303"/>
      <c r="AN103" s="303"/>
      <c r="AO103" s="303"/>
      <c r="AP103" s="303"/>
      <c r="AQ103" s="303"/>
      <c r="AR103" s="304"/>
      <c r="AS103" s="146"/>
      <c r="AU103" s="150" t="str">
        <f>IF(Roster!$L$1=0,"",Roster!$L$1)</f>
        <v>ST</v>
      </c>
      <c r="AV103" s="195"/>
      <c r="AW103" s="475" t="str">
        <f>IF(Roster!$K$25="Italiano","REGOLE SPECIALI",(IF(Roster!$K$25="Español","REGLA ESPECIAL","SPECIAL RULE")))</f>
        <v>SPECIAL RULE</v>
      </c>
      <c r="AX103" s="303"/>
      <c r="AY103" s="303"/>
      <c r="AZ103" s="303"/>
      <c r="BA103" s="303"/>
      <c r="BB103" s="303"/>
      <c r="BC103" s="303"/>
      <c r="BD103" s="303"/>
      <c r="BE103" s="303"/>
      <c r="BF103" s="303"/>
      <c r="BG103" s="304"/>
      <c r="BH103" s="146"/>
    </row>
    <row r="104" spans="2:60" ht="37.5" customHeight="1" x14ac:dyDescent="0.2">
      <c r="B104" s="152" t="str">
        <f>IF(Roster!$L$17=0,"",Roster!$L$17)</f>
        <v/>
      </c>
      <c r="C104" s="149"/>
      <c r="D104" s="492"/>
      <c r="E104" s="492"/>
      <c r="F104" s="492"/>
      <c r="G104" s="492"/>
      <c r="H104" s="492"/>
      <c r="I104" s="492"/>
      <c r="J104" s="492"/>
      <c r="K104" s="492"/>
      <c r="L104" s="492"/>
      <c r="M104" s="492"/>
      <c r="N104" s="492"/>
      <c r="O104" s="146"/>
      <c r="Q104" s="152" t="str">
        <f>IF(Roster!$L$18=0,"",Roster!$L$18)</f>
        <v/>
      </c>
      <c r="R104" s="150"/>
      <c r="S104" s="473" t="str">
        <f>IF(Roster!$AA$18=0,"",Roster!$AA$18)</f>
        <v/>
      </c>
      <c r="T104" s="473"/>
      <c r="U104" s="473"/>
      <c r="V104" s="473"/>
      <c r="W104" s="473"/>
      <c r="X104" s="473"/>
      <c r="Y104" s="473"/>
      <c r="Z104" s="473"/>
      <c r="AA104" s="473"/>
      <c r="AB104" s="473"/>
      <c r="AC104" s="473"/>
      <c r="AD104" s="146"/>
      <c r="AF104" s="152" t="str">
        <f>IF(Roster!$L$19=0,"",Roster!$L$19)</f>
        <v/>
      </c>
      <c r="AG104" s="195"/>
      <c r="AH104" s="473" t="str">
        <f>IF(Roster!$AA$19=0,"",Roster!$AA$19)</f>
        <v/>
      </c>
      <c r="AI104" s="473"/>
      <c r="AJ104" s="473"/>
      <c r="AK104" s="473"/>
      <c r="AL104" s="473"/>
      <c r="AM104" s="473"/>
      <c r="AN104" s="473"/>
      <c r="AO104" s="473"/>
      <c r="AP104" s="473"/>
      <c r="AQ104" s="473"/>
      <c r="AR104" s="473"/>
      <c r="AS104" s="146"/>
      <c r="AU104" s="152" t="str">
        <f>IF(Roster!$L$20=0,"",Roster!$L$20)</f>
        <v/>
      </c>
      <c r="AV104" s="195"/>
      <c r="AW104" s="473" t="str">
        <f>IF(Roster!$AA$20=0,"",Roster!$AA$20)</f>
        <v/>
      </c>
      <c r="AX104" s="473"/>
      <c r="AY104" s="473"/>
      <c r="AZ104" s="473"/>
      <c r="BA104" s="473"/>
      <c r="BB104" s="473"/>
      <c r="BC104" s="473"/>
      <c r="BD104" s="473"/>
      <c r="BE104" s="473"/>
      <c r="BF104" s="473"/>
      <c r="BG104" s="473"/>
      <c r="BH104" s="146"/>
    </row>
    <row r="105" spans="2:60" ht="11.25" customHeight="1" x14ac:dyDescent="0.2">
      <c r="B105" s="150" t="str">
        <f>IF(Roster!$M$1=0,"",Roster!$M$1)</f>
        <v>AG</v>
      </c>
      <c r="C105" s="149"/>
      <c r="D105" s="492"/>
      <c r="E105" s="492"/>
      <c r="F105" s="492"/>
      <c r="G105" s="492"/>
      <c r="H105" s="492"/>
      <c r="I105" s="492"/>
      <c r="J105" s="492"/>
      <c r="K105" s="492"/>
      <c r="L105" s="492"/>
      <c r="M105" s="492"/>
      <c r="N105" s="492"/>
      <c r="O105" s="146"/>
      <c r="Q105" s="150" t="str">
        <f>IF(Roster!$M$1=0,"",Roster!$M$1)</f>
        <v>AG</v>
      </c>
      <c r="R105" s="150"/>
      <c r="S105" s="473"/>
      <c r="T105" s="473"/>
      <c r="U105" s="473"/>
      <c r="V105" s="473"/>
      <c r="W105" s="473"/>
      <c r="X105" s="473"/>
      <c r="Y105" s="473"/>
      <c r="Z105" s="473"/>
      <c r="AA105" s="473"/>
      <c r="AB105" s="473"/>
      <c r="AC105" s="473"/>
      <c r="AD105" s="146"/>
      <c r="AF105" s="150" t="str">
        <f>IF(Roster!$M$1=0,"",Roster!$M$1)</f>
        <v>AG</v>
      </c>
      <c r="AG105" s="195"/>
      <c r="AH105" s="473"/>
      <c r="AI105" s="473"/>
      <c r="AJ105" s="473"/>
      <c r="AK105" s="473"/>
      <c r="AL105" s="473"/>
      <c r="AM105" s="473"/>
      <c r="AN105" s="473"/>
      <c r="AO105" s="473"/>
      <c r="AP105" s="473"/>
      <c r="AQ105" s="473"/>
      <c r="AR105" s="473"/>
      <c r="AS105" s="146"/>
      <c r="AU105" s="150" t="str">
        <f>IF(Roster!$M$1=0,"",Roster!$M$1)</f>
        <v>AG</v>
      </c>
      <c r="AV105" s="195"/>
      <c r="AW105" s="473"/>
      <c r="AX105" s="473"/>
      <c r="AY105" s="473"/>
      <c r="AZ105" s="473"/>
      <c r="BA105" s="473"/>
      <c r="BB105" s="473"/>
      <c r="BC105" s="473"/>
      <c r="BD105" s="473"/>
      <c r="BE105" s="473"/>
      <c r="BF105" s="473"/>
      <c r="BG105" s="473"/>
      <c r="BH105" s="146"/>
    </row>
    <row r="106" spans="2:60" ht="37.5" customHeight="1" x14ac:dyDescent="0.2">
      <c r="B106" s="152" t="str">
        <f>IF(Roster!$M$17=0&amp;"+","",Roster!$M$17)</f>
        <v/>
      </c>
      <c r="C106" s="149"/>
      <c r="D106" s="492"/>
      <c r="E106" s="492"/>
      <c r="F106" s="492"/>
      <c r="G106" s="492"/>
      <c r="H106" s="492"/>
      <c r="I106" s="492"/>
      <c r="J106" s="492"/>
      <c r="K106" s="492"/>
      <c r="L106" s="492"/>
      <c r="M106" s="492"/>
      <c r="N106" s="492"/>
      <c r="O106" s="146"/>
      <c r="Q106" s="152" t="str">
        <f>IF(Roster!$M$18=0,"",Roster!$M$18)</f>
        <v/>
      </c>
      <c r="R106" s="150"/>
      <c r="S106" s="473"/>
      <c r="T106" s="473"/>
      <c r="U106" s="473"/>
      <c r="V106" s="473"/>
      <c r="W106" s="473"/>
      <c r="X106" s="473"/>
      <c r="Y106" s="473"/>
      <c r="Z106" s="473"/>
      <c r="AA106" s="473"/>
      <c r="AB106" s="473"/>
      <c r="AC106" s="473"/>
      <c r="AD106" s="146"/>
      <c r="AF106" s="152" t="str">
        <f>IF(Roster!$M$19=0,"",Roster!$M$19)</f>
        <v/>
      </c>
      <c r="AG106" s="195"/>
      <c r="AH106" s="473"/>
      <c r="AI106" s="473"/>
      <c r="AJ106" s="473"/>
      <c r="AK106" s="473"/>
      <c r="AL106" s="473"/>
      <c r="AM106" s="473"/>
      <c r="AN106" s="473"/>
      <c r="AO106" s="473"/>
      <c r="AP106" s="473"/>
      <c r="AQ106" s="473"/>
      <c r="AR106" s="473"/>
      <c r="AS106" s="146"/>
      <c r="AU106" s="152" t="str">
        <f>IF(Roster!$M$20=0,"",Roster!$M$20)</f>
        <v/>
      </c>
      <c r="AV106" s="195"/>
      <c r="AW106" s="473"/>
      <c r="AX106" s="473"/>
      <c r="AY106" s="473"/>
      <c r="AZ106" s="473"/>
      <c r="BA106" s="473"/>
      <c r="BB106" s="473"/>
      <c r="BC106" s="473"/>
      <c r="BD106" s="473"/>
      <c r="BE106" s="473"/>
      <c r="BF106" s="473"/>
      <c r="BG106" s="473"/>
      <c r="BH106" s="146"/>
    </row>
    <row r="107" spans="2:60" ht="11.25" customHeight="1" x14ac:dyDescent="0.2">
      <c r="B107" s="150" t="str">
        <f>IF(Roster!$N$1=0,"",Roster!$N$1)</f>
        <v>PA</v>
      </c>
      <c r="C107" s="149"/>
      <c r="D107" s="492"/>
      <c r="E107" s="492"/>
      <c r="F107" s="492"/>
      <c r="G107" s="492"/>
      <c r="H107" s="492"/>
      <c r="I107" s="492"/>
      <c r="J107" s="492"/>
      <c r="K107" s="492"/>
      <c r="L107" s="492"/>
      <c r="M107" s="492"/>
      <c r="N107" s="492"/>
      <c r="O107" s="155"/>
      <c r="Q107" s="150" t="str">
        <f>IF(Roster!$N$1=0,"",Roster!$N$1)</f>
        <v>PA</v>
      </c>
      <c r="R107" s="150"/>
      <c r="S107" s="473"/>
      <c r="T107" s="473"/>
      <c r="U107" s="473"/>
      <c r="V107" s="473"/>
      <c r="W107" s="473"/>
      <c r="X107" s="473"/>
      <c r="Y107" s="473"/>
      <c r="Z107" s="473"/>
      <c r="AA107" s="473"/>
      <c r="AB107" s="473"/>
      <c r="AC107" s="473"/>
      <c r="AD107" s="155"/>
      <c r="AF107" s="150" t="str">
        <f>IF(Roster!$N$1=0,"",Roster!$N$1)</f>
        <v>PA</v>
      </c>
      <c r="AG107" s="195"/>
      <c r="AH107" s="473"/>
      <c r="AI107" s="473"/>
      <c r="AJ107" s="473"/>
      <c r="AK107" s="473"/>
      <c r="AL107" s="473"/>
      <c r="AM107" s="473"/>
      <c r="AN107" s="473"/>
      <c r="AO107" s="473"/>
      <c r="AP107" s="473"/>
      <c r="AQ107" s="473"/>
      <c r="AR107" s="473"/>
      <c r="AS107" s="155"/>
      <c r="AU107" s="150" t="str">
        <f>IF(Roster!$N$1=0,"",Roster!$N$1)</f>
        <v>PA</v>
      </c>
      <c r="AV107" s="195"/>
      <c r="AW107" s="473"/>
      <c r="AX107" s="473"/>
      <c r="AY107" s="473"/>
      <c r="AZ107" s="473"/>
      <c r="BA107" s="473"/>
      <c r="BB107" s="473"/>
      <c r="BC107" s="473"/>
      <c r="BD107" s="473"/>
      <c r="BE107" s="473"/>
      <c r="BF107" s="473"/>
      <c r="BG107" s="473"/>
      <c r="BH107" s="155"/>
    </row>
    <row r="108" spans="2:60" ht="6" customHeight="1" x14ac:dyDescent="0.2">
      <c r="B108" s="474" t="str">
        <f>IF(Roster!$N$17=0&amp;"+","",Roster!$N$17)</f>
        <v/>
      </c>
      <c r="C108" s="149"/>
      <c r="D108" s="492"/>
      <c r="E108" s="492"/>
      <c r="F108" s="492"/>
      <c r="G108" s="492"/>
      <c r="H108" s="492"/>
      <c r="I108" s="492"/>
      <c r="J108" s="492"/>
      <c r="K108" s="492"/>
      <c r="L108" s="492"/>
      <c r="M108" s="492"/>
      <c r="N108" s="492"/>
      <c r="O108" s="157"/>
      <c r="Q108" s="474" t="str">
        <f>IF(Roster!$N$18=0,"",Roster!$N$18)</f>
        <v/>
      </c>
      <c r="R108" s="150"/>
      <c r="S108" s="473"/>
      <c r="T108" s="473"/>
      <c r="U108" s="473"/>
      <c r="V108" s="473"/>
      <c r="W108" s="473"/>
      <c r="X108" s="473"/>
      <c r="Y108" s="473"/>
      <c r="Z108" s="473"/>
      <c r="AA108" s="473"/>
      <c r="AB108" s="473"/>
      <c r="AC108" s="473"/>
      <c r="AD108" s="157"/>
      <c r="AF108" s="474" t="str">
        <f>IF(Roster!$N$19=0,"",Roster!$N$19)</f>
        <v/>
      </c>
      <c r="AG108" s="196"/>
      <c r="AH108" s="473"/>
      <c r="AI108" s="473"/>
      <c r="AJ108" s="473"/>
      <c r="AK108" s="473"/>
      <c r="AL108" s="473"/>
      <c r="AM108" s="473"/>
      <c r="AN108" s="473"/>
      <c r="AO108" s="473"/>
      <c r="AP108" s="473"/>
      <c r="AQ108" s="473"/>
      <c r="AR108" s="473"/>
      <c r="AS108" s="157"/>
      <c r="AU108" s="474" t="str">
        <f>IF(Roster!$N$20=0,"",Roster!$N$20)</f>
        <v/>
      </c>
      <c r="AV108" s="196"/>
      <c r="AW108" s="473"/>
      <c r="AX108" s="473"/>
      <c r="AY108" s="473"/>
      <c r="AZ108" s="473"/>
      <c r="BA108" s="473"/>
      <c r="BB108" s="473"/>
      <c r="BC108" s="473"/>
      <c r="BD108" s="473"/>
      <c r="BE108" s="473"/>
      <c r="BF108" s="473"/>
      <c r="BG108" s="473"/>
      <c r="BH108" s="157"/>
    </row>
    <row r="109" spans="2:60" ht="4.5" customHeight="1" x14ac:dyDescent="0.2">
      <c r="B109" s="290"/>
      <c r="C109" s="149"/>
      <c r="D109" s="146"/>
      <c r="E109" s="156"/>
      <c r="F109" s="146"/>
      <c r="G109" s="156"/>
      <c r="H109" s="146"/>
      <c r="I109" s="156"/>
      <c r="J109" s="146"/>
      <c r="K109" s="156"/>
      <c r="L109" s="146"/>
      <c r="M109" s="156"/>
      <c r="N109" s="146"/>
      <c r="O109" s="157"/>
      <c r="Q109" s="290"/>
      <c r="R109" s="150"/>
      <c r="S109" s="473"/>
      <c r="T109" s="473"/>
      <c r="U109" s="473"/>
      <c r="V109" s="473"/>
      <c r="W109" s="473"/>
      <c r="X109" s="473"/>
      <c r="Y109" s="473"/>
      <c r="Z109" s="473"/>
      <c r="AA109" s="473"/>
      <c r="AB109" s="473"/>
      <c r="AC109" s="473"/>
      <c r="AD109" s="157"/>
      <c r="AF109" s="290"/>
      <c r="AG109" s="191"/>
      <c r="AH109" s="473"/>
      <c r="AI109" s="473"/>
      <c r="AJ109" s="473"/>
      <c r="AK109" s="473"/>
      <c r="AL109" s="473"/>
      <c r="AM109" s="473"/>
      <c r="AN109" s="473"/>
      <c r="AO109" s="473"/>
      <c r="AP109" s="473"/>
      <c r="AQ109" s="473"/>
      <c r="AR109" s="473"/>
      <c r="AS109" s="157"/>
      <c r="AU109" s="290"/>
      <c r="AV109" s="191"/>
      <c r="AW109" s="473"/>
      <c r="AX109" s="473"/>
      <c r="AY109" s="473"/>
      <c r="AZ109" s="473"/>
      <c r="BA109" s="473"/>
      <c r="BB109" s="473"/>
      <c r="BC109" s="473"/>
      <c r="BD109" s="473"/>
      <c r="BE109" s="473"/>
      <c r="BF109" s="473"/>
      <c r="BG109" s="473"/>
      <c r="BH109" s="157"/>
    </row>
    <row r="110" spans="2:60" ht="11.25" customHeight="1" x14ac:dyDescent="0.2">
      <c r="B110" s="290"/>
      <c r="C110" s="149"/>
      <c r="D110" s="158" t="str">
        <f>IF(Roster!$AD$1=0,"",Roster!$AD$1)</f>
        <v>TD</v>
      </c>
      <c r="E110" s="156"/>
      <c r="F110" s="158" t="str">
        <f>IF(Roster!$K$25="Español","HER",(IF(Roster!$K$25="Deutsch","VER",(IF(Roster!$K$25="Français","BLES","CAS")))))</f>
        <v>CAS</v>
      </c>
      <c r="G110" s="156"/>
      <c r="H110" s="158" t="str">
        <f>IF(Roster!$AG$1=0,"",Roster!$AG$1)</f>
        <v>BH</v>
      </c>
      <c r="I110" s="156"/>
      <c r="J110" s="158" t="str">
        <f>IF(Roster!$AH$1=0,"",Roster!$AH$1)</f>
        <v>SI</v>
      </c>
      <c r="K110" s="156"/>
      <c r="L110" s="158" t="str">
        <f>IF(Roster!$AI$1=0,"",Roster!$AI$1)</f>
        <v>KILL</v>
      </c>
      <c r="M110" s="156"/>
      <c r="N110" s="158" t="str">
        <f>IF(Roster!$AC$1=0,"",Roster!$AC$1)</f>
        <v>CP</v>
      </c>
      <c r="O110" s="157"/>
      <c r="Q110" s="290"/>
      <c r="R110" s="150"/>
      <c r="S110" s="473"/>
      <c r="T110" s="473"/>
      <c r="U110" s="473"/>
      <c r="V110" s="473"/>
      <c r="W110" s="473"/>
      <c r="X110" s="473"/>
      <c r="Y110" s="473"/>
      <c r="Z110" s="473"/>
      <c r="AA110" s="473"/>
      <c r="AB110" s="473"/>
      <c r="AC110" s="473"/>
      <c r="AD110" s="157"/>
      <c r="AF110" s="290"/>
      <c r="AG110" s="191"/>
      <c r="AH110" s="473"/>
      <c r="AI110" s="473"/>
      <c r="AJ110" s="473"/>
      <c r="AK110" s="473"/>
      <c r="AL110" s="473"/>
      <c r="AM110" s="473"/>
      <c r="AN110" s="473"/>
      <c r="AO110" s="473"/>
      <c r="AP110" s="473"/>
      <c r="AQ110" s="473"/>
      <c r="AR110" s="473"/>
      <c r="AS110" s="157"/>
      <c r="AU110" s="290"/>
      <c r="AV110" s="191"/>
      <c r="AW110" s="473"/>
      <c r="AX110" s="473"/>
      <c r="AY110" s="473"/>
      <c r="AZ110" s="473"/>
      <c r="BA110" s="473"/>
      <c r="BB110" s="473"/>
      <c r="BC110" s="473"/>
      <c r="BD110" s="473"/>
      <c r="BE110" s="473"/>
      <c r="BF110" s="473"/>
      <c r="BG110" s="473"/>
      <c r="BH110" s="157"/>
    </row>
    <row r="111" spans="2:60" ht="15" customHeight="1" x14ac:dyDescent="0.2">
      <c r="B111" s="290"/>
      <c r="C111" s="151"/>
      <c r="D111" s="159" t="str">
        <f>IF(Roster!$AD$17=0,"",Roster!$AD$17)</f>
        <v/>
      </c>
      <c r="E111" s="151"/>
      <c r="F111" s="159" t="str">
        <f>IF((SUM(H111,J111,L111))=0,"",(SUM(H111,J111,L111)))</f>
        <v/>
      </c>
      <c r="G111" s="151"/>
      <c r="H111" s="159" t="str">
        <f>IF(Roster!$AG$17=0,"",Roster!$AG$17)</f>
        <v/>
      </c>
      <c r="I111" s="151"/>
      <c r="J111" s="159" t="str">
        <f>IF(Roster!$AH$17=0,"",Roster!$AH$17)</f>
        <v/>
      </c>
      <c r="K111" s="151"/>
      <c r="L111" s="159" t="str">
        <f>IF(Roster!$AI$17=0,"",Roster!$AI$17)</f>
        <v/>
      </c>
      <c r="M111" s="151"/>
      <c r="N111" s="159" t="str">
        <f>IF(Roster!$AC$17=0,"",Roster!$AC$17)</f>
        <v/>
      </c>
      <c r="O111" s="157"/>
      <c r="Q111" s="290"/>
      <c r="R111" s="150"/>
      <c r="S111" s="473"/>
      <c r="T111" s="473"/>
      <c r="U111" s="473"/>
      <c r="V111" s="473"/>
      <c r="W111" s="473"/>
      <c r="X111" s="473"/>
      <c r="Y111" s="473"/>
      <c r="Z111" s="473"/>
      <c r="AA111" s="473"/>
      <c r="AB111" s="473"/>
      <c r="AC111" s="473"/>
      <c r="AD111" s="157"/>
      <c r="AF111" s="290"/>
      <c r="AG111" s="192"/>
      <c r="AH111" s="473"/>
      <c r="AI111" s="473"/>
      <c r="AJ111" s="473"/>
      <c r="AK111" s="473"/>
      <c r="AL111" s="473"/>
      <c r="AM111" s="473"/>
      <c r="AN111" s="473"/>
      <c r="AO111" s="473"/>
      <c r="AP111" s="473"/>
      <c r="AQ111" s="473"/>
      <c r="AR111" s="473"/>
      <c r="AS111" s="157"/>
      <c r="AU111" s="290"/>
      <c r="AV111" s="192"/>
      <c r="AW111" s="473"/>
      <c r="AX111" s="473"/>
      <c r="AY111" s="473"/>
      <c r="AZ111" s="473"/>
      <c r="BA111" s="473"/>
      <c r="BB111" s="473"/>
      <c r="BC111" s="473"/>
      <c r="BD111" s="473"/>
      <c r="BE111" s="473"/>
      <c r="BF111" s="473"/>
      <c r="BG111" s="473"/>
      <c r="BH111" s="157"/>
    </row>
    <row r="112" spans="2:60" ht="4.5" customHeight="1" x14ac:dyDescent="0.2">
      <c r="B112" s="452"/>
      <c r="C112" s="151"/>
      <c r="D112" s="160"/>
      <c r="E112" s="151"/>
      <c r="F112" s="160"/>
      <c r="G112" s="151"/>
      <c r="H112" s="160"/>
      <c r="I112" s="151"/>
      <c r="J112" s="160"/>
      <c r="K112" s="151"/>
      <c r="L112" s="160"/>
      <c r="M112" s="151"/>
      <c r="N112" s="160"/>
      <c r="O112" s="157"/>
      <c r="Q112" s="452"/>
      <c r="R112" s="151"/>
      <c r="S112" s="165"/>
      <c r="T112" s="165"/>
      <c r="U112" s="165"/>
      <c r="V112" s="165"/>
      <c r="W112" s="165"/>
      <c r="X112" s="165"/>
      <c r="Y112" s="165"/>
      <c r="Z112" s="165"/>
      <c r="AA112" s="165"/>
      <c r="AB112" s="165"/>
      <c r="AC112" s="146"/>
      <c r="AD112" s="157"/>
      <c r="AF112" s="452"/>
      <c r="AG112" s="191"/>
      <c r="AH112" s="165"/>
      <c r="AI112" s="165"/>
      <c r="AJ112" s="165"/>
      <c r="AK112" s="165"/>
      <c r="AL112" s="165"/>
      <c r="AM112" s="165"/>
      <c r="AN112" s="165"/>
      <c r="AO112" s="165"/>
      <c r="AP112" s="165"/>
      <c r="AQ112" s="165"/>
      <c r="AR112" s="146"/>
      <c r="AS112" s="157"/>
      <c r="AU112" s="452"/>
      <c r="AV112" s="191"/>
      <c r="AW112" s="165"/>
      <c r="AX112" s="165"/>
      <c r="AY112" s="165"/>
      <c r="AZ112" s="165"/>
      <c r="BA112" s="165"/>
      <c r="BB112" s="165"/>
      <c r="BC112" s="165"/>
      <c r="BD112" s="165"/>
      <c r="BE112" s="165"/>
      <c r="BF112" s="165"/>
      <c r="BG112" s="146"/>
      <c r="BH112" s="157"/>
    </row>
    <row r="113" spans="2:60" ht="11.25" customHeight="1" x14ac:dyDescent="0.2">
      <c r="B113" s="150" t="str">
        <f>IF(Roster!$O$1=0,"",Roster!$O$1)</f>
        <v>AV</v>
      </c>
      <c r="C113" s="150"/>
      <c r="D113" s="158" t="str">
        <f>IF(Roster!$AE$1=0,"",Roster!$AE$1)</f>
        <v>DEF</v>
      </c>
      <c r="E113" s="150"/>
      <c r="F113" s="158" t="str">
        <f>IF(Roster!$AF$1=0,"",Roster!$AF$1)</f>
        <v>INT</v>
      </c>
      <c r="G113" s="150"/>
      <c r="H113" s="158" t="str">
        <f>IF(Roster!$AB$1=0,"",Roster!$AB$1)</f>
        <v>SPE</v>
      </c>
      <c r="I113" s="150"/>
      <c r="J113" s="158" t="str">
        <f>IF(Roster!$AJ$1=0,"",Roster!$AJ$1)</f>
        <v>MVP</v>
      </c>
      <c r="K113" s="150"/>
      <c r="L113" s="204" t="s">
        <v>257</v>
      </c>
      <c r="M113" s="150"/>
      <c r="N113" s="205" t="str">
        <f>IF(Roster!$K$25="Español","LPP/RT",(IF(Roster!$K$25="Deutsch","VNS/AD",(IF(Roster!$K$25="Français","RPM/RT","MNG/TR")))))</f>
        <v>MNG/TR</v>
      </c>
      <c r="O113" s="146"/>
      <c r="Q113" s="150" t="str">
        <f>IF(Roster!$O$1=0,"",Roster!$O$1)</f>
        <v>AV</v>
      </c>
      <c r="R113" s="151"/>
      <c r="S113" s="475" t="str">
        <f>IF(Roster!$K$25="Italiano","ABILITÀ &amp; TRATTI",(IF(Roster!$K$25="Español","HABILIDADES Y RASGOS","SKILLS &amp; TRAITS")))</f>
        <v>SKILLS &amp; TRAITS</v>
      </c>
      <c r="T113" s="303"/>
      <c r="U113" s="303"/>
      <c r="V113" s="303"/>
      <c r="W113" s="303"/>
      <c r="X113" s="303"/>
      <c r="Y113" s="303"/>
      <c r="Z113" s="303"/>
      <c r="AA113" s="303"/>
      <c r="AB113" s="303"/>
      <c r="AC113" s="304"/>
      <c r="AD113" s="146"/>
      <c r="AF113" s="150" t="str">
        <f>IF(Roster!$O$1=0,"",Roster!$O$1)</f>
        <v>AV</v>
      </c>
      <c r="AG113" s="191"/>
      <c r="AH113" s="475" t="str">
        <f>IF(Roster!$K$25="Italiano","ABILITÀ &amp; TRATTI",(IF(Roster!$K$25="Español","HABILIDADES Y RASGOS","SKILLS &amp; TRAITS")))</f>
        <v>SKILLS &amp; TRAITS</v>
      </c>
      <c r="AI113" s="303"/>
      <c r="AJ113" s="303"/>
      <c r="AK113" s="303"/>
      <c r="AL113" s="303"/>
      <c r="AM113" s="303"/>
      <c r="AN113" s="303"/>
      <c r="AO113" s="303"/>
      <c r="AP113" s="303"/>
      <c r="AQ113" s="303"/>
      <c r="AR113" s="304"/>
      <c r="AS113" s="146"/>
      <c r="AU113" s="150" t="str">
        <f>IF(Roster!$O$1=0,"",Roster!$O$1)</f>
        <v>AV</v>
      </c>
      <c r="AV113" s="191"/>
      <c r="AW113" s="475" t="str">
        <f>IF(Roster!$K$25="Italiano","ABILITÀ &amp; TRATTI",(IF(Roster!$K$25="Español","HABILIDADES Y RASGOS","SKILLS &amp; TRAITS")))</f>
        <v>SKILLS &amp; TRAITS</v>
      </c>
      <c r="AX113" s="303"/>
      <c r="AY113" s="303"/>
      <c r="AZ113" s="303"/>
      <c r="BA113" s="303"/>
      <c r="BB113" s="303"/>
      <c r="BC113" s="303"/>
      <c r="BD113" s="303"/>
      <c r="BE113" s="303"/>
      <c r="BF113" s="303"/>
      <c r="BG113" s="304"/>
      <c r="BH113" s="146"/>
    </row>
    <row r="114" spans="2:60" ht="15" customHeight="1" x14ac:dyDescent="0.2">
      <c r="B114" s="474" t="str">
        <f>IF(Roster!$O$17=0&amp;"+","",Roster!$O$17)</f>
        <v/>
      </c>
      <c r="C114" s="151"/>
      <c r="D114" s="159" t="str">
        <f>IF(Roster!$AE$17=0,"",Roster!$AE$17)</f>
        <v/>
      </c>
      <c r="E114" s="151"/>
      <c r="F114" s="159" t="str">
        <f>IF(Roster!$AF$17=0,"",Roster!$AF$17)</f>
        <v/>
      </c>
      <c r="G114" s="151"/>
      <c r="H114" s="159" t="str">
        <f>IF(Roster!$AB$17=0,"",Roster!$AB$17)</f>
        <v/>
      </c>
      <c r="I114" s="151"/>
      <c r="J114" s="159" t="str">
        <f>IF(Roster!$AJ$17=0,"",Roster!$AJ$17)</f>
        <v/>
      </c>
      <c r="K114" s="151"/>
      <c r="L114" s="159" t="str">
        <f>IF(Roster!$AK$17=0,"",Roster!$AK$17)</f>
        <v/>
      </c>
      <c r="M114" s="151"/>
      <c r="N114" s="159" t="str">
        <f>IF(Roster!$AA$17=0,"",Roster!$AA$17)</f>
        <v/>
      </c>
      <c r="O114" s="161"/>
      <c r="Q114" s="474" t="str">
        <f>IF(Roster!$O$18=0,"",Roster!$O$18)</f>
        <v/>
      </c>
      <c r="R114" s="150"/>
      <c r="S114" s="476" t="str">
        <f>IF(Roster!$P$18=0,"",Roster!$P$18)</f>
        <v/>
      </c>
      <c r="T114" s="476"/>
      <c r="U114" s="476"/>
      <c r="V114" s="476"/>
      <c r="W114" s="476"/>
      <c r="X114" s="476"/>
      <c r="Y114" s="476"/>
      <c r="Z114" s="476"/>
      <c r="AA114" s="476"/>
      <c r="AB114" s="476"/>
      <c r="AC114" s="476"/>
      <c r="AD114" s="161"/>
      <c r="AF114" s="474" t="str">
        <f>IF(Roster!$O$19=0,"",Roster!$O$19)</f>
        <v/>
      </c>
      <c r="AG114" s="192"/>
      <c r="AH114" s="476" t="str">
        <f>IF(Roster!$P$19=0,"",Roster!$P$19)</f>
        <v/>
      </c>
      <c r="AI114" s="476"/>
      <c r="AJ114" s="476"/>
      <c r="AK114" s="476"/>
      <c r="AL114" s="476"/>
      <c r="AM114" s="476"/>
      <c r="AN114" s="476"/>
      <c r="AO114" s="476"/>
      <c r="AP114" s="476"/>
      <c r="AQ114" s="476"/>
      <c r="AR114" s="476"/>
      <c r="AS114" s="161"/>
      <c r="AU114" s="474" t="str">
        <f>IF(Roster!$O$20=0,"",Roster!$O$20)</f>
        <v/>
      </c>
      <c r="AV114" s="192"/>
      <c r="AW114" s="476" t="str">
        <f>IF(Roster!$P$20=0,"",Roster!$P$20)</f>
        <v/>
      </c>
      <c r="AX114" s="476"/>
      <c r="AY114" s="476"/>
      <c r="AZ114" s="476"/>
      <c r="BA114" s="476"/>
      <c r="BB114" s="476"/>
      <c r="BC114" s="476"/>
      <c r="BD114" s="476"/>
      <c r="BE114" s="476"/>
      <c r="BF114" s="476"/>
      <c r="BG114" s="476"/>
      <c r="BH114" s="161"/>
    </row>
    <row r="115" spans="2:60" ht="4.5" customHeight="1" x14ac:dyDescent="0.2">
      <c r="B115" s="290"/>
      <c r="C115" s="151"/>
      <c r="D115" s="151"/>
      <c r="E115" s="151"/>
      <c r="F115" s="151"/>
      <c r="G115" s="151"/>
      <c r="H115" s="151"/>
      <c r="I115" s="151"/>
      <c r="J115" s="151"/>
      <c r="K115" s="151"/>
      <c r="L115" s="151"/>
      <c r="M115" s="151"/>
      <c r="N115" s="157"/>
      <c r="O115" s="161"/>
      <c r="Q115" s="290"/>
      <c r="R115" s="165"/>
      <c r="S115" s="476"/>
      <c r="T115" s="476"/>
      <c r="U115" s="476"/>
      <c r="V115" s="476"/>
      <c r="W115" s="476"/>
      <c r="X115" s="476"/>
      <c r="Y115" s="476"/>
      <c r="Z115" s="476"/>
      <c r="AA115" s="476"/>
      <c r="AB115" s="476"/>
      <c r="AC115" s="476"/>
      <c r="AD115" s="161"/>
      <c r="AF115" s="290"/>
      <c r="AG115" s="193"/>
      <c r="AH115" s="476"/>
      <c r="AI115" s="476"/>
      <c r="AJ115" s="476"/>
      <c r="AK115" s="476"/>
      <c r="AL115" s="476"/>
      <c r="AM115" s="476"/>
      <c r="AN115" s="476"/>
      <c r="AO115" s="476"/>
      <c r="AP115" s="476"/>
      <c r="AQ115" s="476"/>
      <c r="AR115" s="476"/>
      <c r="AS115" s="161"/>
      <c r="AU115" s="290"/>
      <c r="AV115" s="193"/>
      <c r="AW115" s="476"/>
      <c r="AX115" s="476"/>
      <c r="AY115" s="476"/>
      <c r="AZ115" s="476"/>
      <c r="BA115" s="476"/>
      <c r="BB115" s="476"/>
      <c r="BC115" s="476"/>
      <c r="BD115" s="476"/>
      <c r="BE115" s="476"/>
      <c r="BF115" s="476"/>
      <c r="BG115" s="476"/>
      <c r="BH115" s="161"/>
    </row>
    <row r="116" spans="2:60" ht="11.25" customHeight="1" x14ac:dyDescent="0.2">
      <c r="B116" s="290"/>
      <c r="C116" s="151"/>
      <c r="D116" s="475" t="str">
        <f>IF(Roster!$K$25="Italiano","ABILITÀ &amp; TRATTI",(IF(Roster!$K$25="Español","HABILIDADES Y RASGOS","SKILLS &amp; TRAITS")))</f>
        <v>SKILLS &amp; TRAITS</v>
      </c>
      <c r="E116" s="303"/>
      <c r="F116" s="303"/>
      <c r="G116" s="303"/>
      <c r="H116" s="303"/>
      <c r="I116" s="303"/>
      <c r="J116" s="303"/>
      <c r="K116" s="303"/>
      <c r="L116" s="303"/>
      <c r="M116" s="303"/>
      <c r="N116" s="304"/>
      <c r="O116" s="161"/>
      <c r="Q116" s="290"/>
      <c r="R116" s="146"/>
      <c r="S116" s="476"/>
      <c r="T116" s="476"/>
      <c r="U116" s="476"/>
      <c r="V116" s="476"/>
      <c r="W116" s="476"/>
      <c r="X116" s="476"/>
      <c r="Y116" s="476"/>
      <c r="Z116" s="476"/>
      <c r="AA116" s="476"/>
      <c r="AB116" s="476"/>
      <c r="AC116" s="476"/>
      <c r="AD116" s="161"/>
      <c r="AF116" s="290"/>
      <c r="AG116" s="194"/>
      <c r="AH116" s="476"/>
      <c r="AI116" s="476"/>
      <c r="AJ116" s="476"/>
      <c r="AK116" s="476"/>
      <c r="AL116" s="476"/>
      <c r="AM116" s="476"/>
      <c r="AN116" s="476"/>
      <c r="AO116" s="476"/>
      <c r="AP116" s="476"/>
      <c r="AQ116" s="476"/>
      <c r="AR116" s="476"/>
      <c r="AS116" s="161"/>
      <c r="AU116" s="290"/>
      <c r="AV116" s="194"/>
      <c r="AW116" s="476"/>
      <c r="AX116" s="476"/>
      <c r="AY116" s="476"/>
      <c r="AZ116" s="476"/>
      <c r="BA116" s="476"/>
      <c r="BB116" s="476"/>
      <c r="BC116" s="476"/>
      <c r="BD116" s="476"/>
      <c r="BE116" s="476"/>
      <c r="BF116" s="476"/>
      <c r="BG116" s="476"/>
      <c r="BH116" s="161"/>
    </row>
    <row r="117" spans="2:60" ht="6.75" customHeight="1" x14ac:dyDescent="0.2">
      <c r="B117" s="452"/>
      <c r="C117" s="151"/>
      <c r="D117" s="482" t="str">
        <f>IF(Roster!$P$17=0&amp;BF17,"",Roster!$P$17)</f>
        <v/>
      </c>
      <c r="E117" s="483"/>
      <c r="F117" s="483"/>
      <c r="G117" s="483"/>
      <c r="H117" s="483"/>
      <c r="I117" s="483"/>
      <c r="J117" s="483"/>
      <c r="K117" s="483"/>
      <c r="L117" s="483"/>
      <c r="M117" s="483"/>
      <c r="N117" s="484"/>
      <c r="O117" s="161"/>
      <c r="Q117" s="452"/>
      <c r="R117" s="166"/>
      <c r="S117" s="476"/>
      <c r="T117" s="476"/>
      <c r="U117" s="476"/>
      <c r="V117" s="476"/>
      <c r="W117" s="476"/>
      <c r="X117" s="476"/>
      <c r="Y117" s="476"/>
      <c r="Z117" s="476"/>
      <c r="AA117" s="476"/>
      <c r="AB117" s="476"/>
      <c r="AC117" s="476"/>
      <c r="AD117" s="161"/>
      <c r="AF117" s="452"/>
      <c r="AG117" s="166"/>
      <c r="AH117" s="476"/>
      <c r="AI117" s="476"/>
      <c r="AJ117" s="476"/>
      <c r="AK117" s="476"/>
      <c r="AL117" s="476"/>
      <c r="AM117" s="476"/>
      <c r="AN117" s="476"/>
      <c r="AO117" s="476"/>
      <c r="AP117" s="476"/>
      <c r="AQ117" s="476"/>
      <c r="AR117" s="476"/>
      <c r="AS117" s="161"/>
      <c r="AU117" s="452"/>
      <c r="AV117" s="166"/>
      <c r="AW117" s="476"/>
      <c r="AX117" s="476"/>
      <c r="AY117" s="476"/>
      <c r="AZ117" s="476"/>
      <c r="BA117" s="476"/>
      <c r="BB117" s="476"/>
      <c r="BC117" s="476"/>
      <c r="BD117" s="476"/>
      <c r="BE117" s="476"/>
      <c r="BF117" s="476"/>
      <c r="BG117" s="476"/>
      <c r="BH117" s="161"/>
    </row>
    <row r="118" spans="2:60" ht="11.25" customHeight="1" x14ac:dyDescent="0.2">
      <c r="B118" s="150" t="str">
        <f>IF(Roster!$AO$1=0,"",Roster!$AO$1)</f>
        <v>COST</v>
      </c>
      <c r="C118" s="150"/>
      <c r="D118" s="485"/>
      <c r="E118" s="486"/>
      <c r="F118" s="486"/>
      <c r="G118" s="486"/>
      <c r="H118" s="486"/>
      <c r="I118" s="486"/>
      <c r="J118" s="486"/>
      <c r="K118" s="486"/>
      <c r="L118" s="486"/>
      <c r="M118" s="486"/>
      <c r="N118" s="487"/>
      <c r="O118" s="162"/>
      <c r="Q118" s="150" t="str">
        <f>IF(Roster!$AO$1=0,"",Roster!$AO$1)</f>
        <v>COST</v>
      </c>
      <c r="R118" s="166"/>
      <c r="S118" s="476"/>
      <c r="T118" s="476"/>
      <c r="U118" s="476"/>
      <c r="V118" s="476"/>
      <c r="W118" s="476"/>
      <c r="X118" s="476"/>
      <c r="Y118" s="476"/>
      <c r="Z118" s="476"/>
      <c r="AA118" s="476"/>
      <c r="AB118" s="476"/>
      <c r="AC118" s="476"/>
      <c r="AD118" s="162"/>
      <c r="AF118" s="150" t="str">
        <f>IF(Roster!$AO$1=0,"",Roster!$AO$1)</f>
        <v>COST</v>
      </c>
      <c r="AG118" s="166"/>
      <c r="AH118" s="476"/>
      <c r="AI118" s="476"/>
      <c r="AJ118" s="476"/>
      <c r="AK118" s="476"/>
      <c r="AL118" s="476"/>
      <c r="AM118" s="476"/>
      <c r="AN118" s="476"/>
      <c r="AO118" s="476"/>
      <c r="AP118" s="476"/>
      <c r="AQ118" s="476"/>
      <c r="AR118" s="476"/>
      <c r="AS118" s="162"/>
      <c r="AU118" s="150" t="str">
        <f>IF(Roster!$AO$1=0,"",Roster!$AO$1)</f>
        <v>COST</v>
      </c>
      <c r="AV118" s="166"/>
      <c r="AW118" s="476"/>
      <c r="AX118" s="476"/>
      <c r="AY118" s="476"/>
      <c r="AZ118" s="476"/>
      <c r="BA118" s="476"/>
      <c r="BB118" s="476"/>
      <c r="BC118" s="476"/>
      <c r="BD118" s="476"/>
      <c r="BE118" s="476"/>
      <c r="BF118" s="476"/>
      <c r="BG118" s="476"/>
      <c r="BH118" s="162"/>
    </row>
    <row r="119" spans="2:60" ht="34.5" customHeight="1" x14ac:dyDescent="0.2">
      <c r="B119" s="164" t="str">
        <f>IF(Roster!$AO$17=0,"",Roster!$AO$17)</f>
        <v/>
      </c>
      <c r="C119" s="165"/>
      <c r="D119" s="488"/>
      <c r="E119" s="489"/>
      <c r="F119" s="489"/>
      <c r="G119" s="489"/>
      <c r="H119" s="489"/>
      <c r="I119" s="489"/>
      <c r="J119" s="489"/>
      <c r="K119" s="489"/>
      <c r="L119" s="489"/>
      <c r="M119" s="489"/>
      <c r="N119" s="490"/>
      <c r="O119" s="162"/>
      <c r="Q119" s="164" t="str">
        <f>IF(Roster!$AO$18=0,"",Roster!$AO$18)</f>
        <v/>
      </c>
      <c r="R119" s="166"/>
      <c r="S119" s="476"/>
      <c r="T119" s="476"/>
      <c r="U119" s="476"/>
      <c r="V119" s="476"/>
      <c r="W119" s="476"/>
      <c r="X119" s="476"/>
      <c r="Y119" s="476"/>
      <c r="Z119" s="476"/>
      <c r="AA119" s="476"/>
      <c r="AB119" s="476"/>
      <c r="AC119" s="476"/>
      <c r="AD119" s="162"/>
      <c r="AF119" s="164" t="str">
        <f>IF(Roster!$AO$19=0,"",Roster!$AO$19)</f>
        <v/>
      </c>
      <c r="AG119" s="166"/>
      <c r="AH119" s="476"/>
      <c r="AI119" s="476"/>
      <c r="AJ119" s="476"/>
      <c r="AK119" s="476"/>
      <c r="AL119" s="476"/>
      <c r="AM119" s="476"/>
      <c r="AN119" s="476"/>
      <c r="AO119" s="476"/>
      <c r="AP119" s="476"/>
      <c r="AQ119" s="476"/>
      <c r="AR119" s="476"/>
      <c r="AS119" s="162"/>
      <c r="AU119" s="164" t="str">
        <f>IF(Roster!$AO$20=0,"",Roster!$AO$20)</f>
        <v/>
      </c>
      <c r="AV119" s="166"/>
      <c r="AW119" s="476"/>
      <c r="AX119" s="476"/>
      <c r="AY119" s="476"/>
      <c r="AZ119" s="476"/>
      <c r="BA119" s="476"/>
      <c r="BB119" s="476"/>
      <c r="BC119" s="476"/>
      <c r="BD119" s="476"/>
      <c r="BE119" s="476"/>
      <c r="BF119" s="476"/>
      <c r="BG119" s="476"/>
      <c r="BH119" s="162"/>
    </row>
    <row r="120" spans="2:60" ht="4.5" customHeight="1" x14ac:dyDescent="0.2">
      <c r="B120" s="146"/>
      <c r="C120" s="146"/>
      <c r="D120" s="146"/>
      <c r="E120" s="146"/>
      <c r="F120" s="146"/>
      <c r="G120" s="146"/>
      <c r="H120" s="146"/>
      <c r="I120" s="146"/>
      <c r="J120" s="146"/>
      <c r="K120" s="146"/>
      <c r="L120" s="146"/>
      <c r="M120" s="146"/>
      <c r="N120" s="162"/>
      <c r="O120" s="162"/>
      <c r="Q120" s="146"/>
      <c r="R120" s="146"/>
      <c r="S120" s="146"/>
      <c r="T120" s="146"/>
      <c r="U120" s="146"/>
      <c r="V120" s="146"/>
      <c r="W120" s="146"/>
      <c r="X120" s="146"/>
      <c r="Y120" s="146"/>
      <c r="Z120" s="146"/>
      <c r="AA120" s="146"/>
      <c r="AB120" s="146"/>
      <c r="AC120" s="162"/>
      <c r="AD120" s="162"/>
      <c r="AF120" s="146"/>
      <c r="AG120" s="146"/>
      <c r="AH120" s="146"/>
      <c r="AI120" s="146"/>
      <c r="AJ120" s="146"/>
      <c r="AK120" s="146"/>
      <c r="AL120" s="146"/>
      <c r="AM120" s="146"/>
      <c r="AN120" s="146"/>
      <c r="AO120" s="146"/>
      <c r="AP120" s="146"/>
      <c r="AQ120" s="146"/>
      <c r="AR120" s="162"/>
      <c r="AS120" s="162"/>
      <c r="AU120" s="146"/>
      <c r="AV120" s="146"/>
      <c r="AW120" s="146"/>
      <c r="AX120" s="146"/>
      <c r="AY120" s="146"/>
      <c r="AZ120" s="146"/>
      <c r="BA120" s="146"/>
      <c r="BB120" s="146"/>
      <c r="BC120" s="146"/>
      <c r="BD120" s="146"/>
      <c r="BE120" s="146"/>
      <c r="BF120" s="146"/>
      <c r="BG120" s="162"/>
      <c r="BH120" s="162"/>
    </row>
    <row r="121" spans="2:60" ht="11.25" customHeight="1" x14ac:dyDescent="0.2"/>
    <row r="122" spans="2:60" ht="12.75" hidden="1" customHeight="1" x14ac:dyDescent="0.2"/>
    <row r="123" spans="2:60" ht="12.75" hidden="1" customHeight="1" x14ac:dyDescent="0.2"/>
    <row r="124" spans="2:60" ht="12.75" hidden="1" customHeight="1" x14ac:dyDescent="0.2"/>
    <row r="125" spans="2:60" ht="12.75" hidden="1" customHeight="1" x14ac:dyDescent="0.2"/>
    <row r="126" spans="2:60" ht="12.75" hidden="1" customHeight="1" x14ac:dyDescent="0.2"/>
    <row r="127" spans="2:60" ht="12.75" hidden="1" customHeight="1" x14ac:dyDescent="0.2"/>
    <row r="128" spans="2:60"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row r="292" ht="12.75" hidden="1" customHeight="1" x14ac:dyDescent="0.2"/>
    <row r="293" ht="12.75" hidden="1" customHeight="1" x14ac:dyDescent="0.2"/>
    <row r="294" ht="12.75" hidden="1" customHeight="1" x14ac:dyDescent="0.2"/>
    <row r="295" ht="12.75" hidden="1" customHeight="1" x14ac:dyDescent="0.2"/>
    <row r="296" ht="12.75" hidden="1" customHeight="1" x14ac:dyDescent="0.2"/>
    <row r="297" ht="12.75" hidden="1" customHeight="1" x14ac:dyDescent="0.2"/>
    <row r="298" ht="12.75" hidden="1" customHeight="1" x14ac:dyDescent="0.2"/>
    <row r="299" ht="12.75" hidden="1" customHeight="1" x14ac:dyDescent="0.2"/>
    <row r="300" ht="12.75" hidden="1" customHeight="1" x14ac:dyDescent="0.2"/>
    <row r="301" ht="12.75" hidden="1" customHeight="1" x14ac:dyDescent="0.2"/>
    <row r="302" ht="12.75" hidden="1" customHeight="1" x14ac:dyDescent="0.2"/>
    <row r="303" ht="12.75" hidden="1" customHeight="1" x14ac:dyDescent="0.2"/>
    <row r="304" ht="12.75" hidden="1" customHeight="1" x14ac:dyDescent="0.2"/>
    <row r="305" ht="12.75" hidden="1" customHeight="1" x14ac:dyDescent="0.2"/>
    <row r="306" ht="12.75" hidden="1" customHeight="1" x14ac:dyDescent="0.2"/>
    <row r="307" ht="12.75" hidden="1" customHeight="1" x14ac:dyDescent="0.2"/>
    <row r="308" ht="12.75" hidden="1" customHeight="1" x14ac:dyDescent="0.2"/>
    <row r="309" ht="12.75" hidden="1" customHeight="1" x14ac:dyDescent="0.2"/>
    <row r="310" ht="12.75" hidden="1" customHeight="1" x14ac:dyDescent="0.2"/>
    <row r="311" ht="12.75" hidden="1" customHeight="1" x14ac:dyDescent="0.2"/>
    <row r="312" ht="12.75" hidden="1" customHeight="1" x14ac:dyDescent="0.2"/>
    <row r="313" ht="12.75" hidden="1" customHeight="1" x14ac:dyDescent="0.2"/>
    <row r="314" ht="12.75" hidden="1" customHeight="1" x14ac:dyDescent="0.2"/>
    <row r="315" ht="12.75" hidden="1" customHeight="1" x14ac:dyDescent="0.2"/>
    <row r="316" ht="12.75" hidden="1" customHeight="1" x14ac:dyDescent="0.2"/>
    <row r="317" ht="12.75" hidden="1" customHeight="1" x14ac:dyDescent="0.2"/>
    <row r="318" ht="12.75" hidden="1" customHeight="1" x14ac:dyDescent="0.2"/>
    <row r="319" ht="12.75" hidden="1" customHeight="1" x14ac:dyDescent="0.2"/>
    <row r="320" ht="12.75" hidden="1" customHeight="1" x14ac:dyDescent="0.2"/>
    <row r="321" ht="12.75" hidden="1" customHeight="1" x14ac:dyDescent="0.2"/>
    <row r="322" ht="12.75" hidden="1" customHeight="1" x14ac:dyDescent="0.2"/>
    <row r="323" ht="12.75" hidden="1" customHeight="1" x14ac:dyDescent="0.2"/>
    <row r="324" ht="12.75" hidden="1" customHeight="1" x14ac:dyDescent="0.2"/>
    <row r="325" ht="12.75" hidden="1" customHeight="1" x14ac:dyDescent="0.2"/>
    <row r="326" ht="12.75" hidden="1" customHeight="1" x14ac:dyDescent="0.2"/>
    <row r="327" ht="12.75" hidden="1" customHeight="1" x14ac:dyDescent="0.2"/>
    <row r="328" ht="12.75" hidden="1" customHeight="1" x14ac:dyDescent="0.2"/>
    <row r="329" ht="12.75" hidden="1" customHeight="1" x14ac:dyDescent="0.2"/>
    <row r="330" ht="12.75" hidden="1" customHeight="1" x14ac:dyDescent="0.2"/>
    <row r="331" ht="12.75" hidden="1" customHeight="1" x14ac:dyDescent="0.2"/>
    <row r="332" ht="12.75" hidden="1" customHeight="1" x14ac:dyDescent="0.2"/>
    <row r="333" ht="12.75" hidden="1" customHeight="1" x14ac:dyDescent="0.2"/>
    <row r="334" ht="12.75" hidden="1" customHeight="1" x14ac:dyDescent="0.2"/>
    <row r="335" ht="12.75" hidden="1" customHeight="1" x14ac:dyDescent="0.2"/>
    <row r="336" ht="12.75" hidden="1" customHeight="1" x14ac:dyDescent="0.2"/>
    <row r="337" ht="12.75" hidden="1" customHeight="1" x14ac:dyDescent="0.2"/>
    <row r="338" ht="12.75" hidden="1" customHeight="1" x14ac:dyDescent="0.2"/>
    <row r="339" ht="12.75" hidden="1" customHeight="1" x14ac:dyDescent="0.2"/>
    <row r="340" ht="12.75" hidden="1" customHeight="1" x14ac:dyDescent="0.2"/>
    <row r="341" ht="12.75" hidden="1" customHeight="1" x14ac:dyDescent="0.2"/>
    <row r="342" ht="12.75" hidden="1" customHeight="1" x14ac:dyDescent="0.2"/>
    <row r="343" ht="12.75" hidden="1" customHeight="1" x14ac:dyDescent="0.2"/>
    <row r="344" ht="12.75" hidden="1" customHeight="1" x14ac:dyDescent="0.2"/>
    <row r="345" ht="12.75" hidden="1" customHeight="1" x14ac:dyDescent="0.2"/>
    <row r="346" ht="12.75" hidden="1" customHeight="1" x14ac:dyDescent="0.2"/>
    <row r="347" ht="12.75" hidden="1" customHeight="1" x14ac:dyDescent="0.2"/>
    <row r="348" ht="12.75" hidden="1" customHeight="1" x14ac:dyDescent="0.2"/>
    <row r="349" ht="12.75" hidden="1" customHeight="1" x14ac:dyDescent="0.2"/>
    <row r="350" ht="12.75" hidden="1" customHeight="1" x14ac:dyDescent="0.2"/>
    <row r="351" ht="12.75" hidden="1" customHeight="1" x14ac:dyDescent="0.2"/>
    <row r="352" ht="12.75" hidden="1" customHeight="1" x14ac:dyDescent="0.2"/>
    <row r="353" ht="12.75" hidden="1" customHeight="1" x14ac:dyDescent="0.2"/>
    <row r="354" ht="12.75" hidden="1" customHeight="1" x14ac:dyDescent="0.2"/>
    <row r="355" ht="12.75" hidden="1" customHeight="1" x14ac:dyDescent="0.2"/>
    <row r="356" ht="12.75" hidden="1" customHeight="1" x14ac:dyDescent="0.2"/>
    <row r="357" ht="12.75" hidden="1" customHeight="1" x14ac:dyDescent="0.2"/>
    <row r="358" ht="12.75" hidden="1" customHeight="1" x14ac:dyDescent="0.2"/>
    <row r="359" ht="12.75" hidden="1" customHeight="1" x14ac:dyDescent="0.2"/>
    <row r="360" ht="12.75" hidden="1" customHeight="1" x14ac:dyDescent="0.2"/>
    <row r="361" ht="12.75" hidden="1" customHeight="1" x14ac:dyDescent="0.2"/>
    <row r="362" ht="12.75" hidden="1" customHeight="1" x14ac:dyDescent="0.2"/>
    <row r="363" ht="12.75" hidden="1" customHeight="1" x14ac:dyDescent="0.2"/>
    <row r="364" ht="12.75" hidden="1" customHeight="1" x14ac:dyDescent="0.2"/>
    <row r="365" ht="12.75" hidden="1" customHeight="1" x14ac:dyDescent="0.2"/>
    <row r="366" ht="12.75" hidden="1" customHeight="1" x14ac:dyDescent="0.2"/>
    <row r="367" ht="12.75" hidden="1" customHeight="1" x14ac:dyDescent="0.2"/>
    <row r="368" ht="12.75" hidden="1" customHeight="1" x14ac:dyDescent="0.2"/>
    <row r="369" ht="12.75" hidden="1" customHeight="1" x14ac:dyDescent="0.2"/>
    <row r="370" ht="12.75" hidden="1" customHeight="1" x14ac:dyDescent="0.2"/>
    <row r="371" ht="12.75" hidden="1" customHeight="1" x14ac:dyDescent="0.2"/>
    <row r="372" ht="12.75" hidden="1" customHeight="1" x14ac:dyDescent="0.2"/>
    <row r="373" ht="12.75" hidden="1" customHeight="1" x14ac:dyDescent="0.2"/>
    <row r="374" ht="12.75" hidden="1" customHeight="1" x14ac:dyDescent="0.2"/>
    <row r="375" ht="12.75" hidden="1" customHeight="1" x14ac:dyDescent="0.2"/>
    <row r="376" ht="12.75" hidden="1" customHeight="1" x14ac:dyDescent="0.2"/>
    <row r="377" ht="12.75" hidden="1" customHeight="1" x14ac:dyDescent="0.2"/>
    <row r="378" ht="12.75" hidden="1" customHeight="1" x14ac:dyDescent="0.2"/>
    <row r="379" ht="12.75" hidden="1" customHeight="1" x14ac:dyDescent="0.2"/>
    <row r="380" ht="12.75" hidden="1" customHeight="1" x14ac:dyDescent="0.2"/>
    <row r="381" ht="12.75" hidden="1" customHeight="1" x14ac:dyDescent="0.2"/>
    <row r="382" ht="12.75" hidden="1" customHeight="1" x14ac:dyDescent="0.2"/>
    <row r="383" ht="12.75" hidden="1" customHeight="1" x14ac:dyDescent="0.2"/>
    <row r="384" ht="12.75" hidden="1" customHeight="1" x14ac:dyDescent="0.2"/>
    <row r="385" ht="12.75" hidden="1" customHeight="1" x14ac:dyDescent="0.2"/>
    <row r="386" ht="12.75" hidden="1" customHeight="1" x14ac:dyDescent="0.2"/>
    <row r="387" ht="12.75" hidden="1" customHeight="1" x14ac:dyDescent="0.2"/>
    <row r="388" ht="12.75" hidden="1" customHeight="1" x14ac:dyDescent="0.2"/>
    <row r="389" ht="12.75" hidden="1" customHeight="1" x14ac:dyDescent="0.2"/>
    <row r="390" ht="12.75" hidden="1" customHeight="1" x14ac:dyDescent="0.2"/>
    <row r="391" ht="12.75" hidden="1" customHeight="1" x14ac:dyDescent="0.2"/>
    <row r="392" ht="12.75" hidden="1" customHeight="1" x14ac:dyDescent="0.2"/>
    <row r="393" ht="12.75" hidden="1" customHeight="1" x14ac:dyDescent="0.2"/>
    <row r="394" ht="12.75" hidden="1" customHeight="1" x14ac:dyDescent="0.2"/>
    <row r="395" ht="12.75" hidden="1" customHeight="1" x14ac:dyDescent="0.2"/>
    <row r="396" ht="12.75" hidden="1" customHeight="1" x14ac:dyDescent="0.2"/>
    <row r="397" ht="12.75" hidden="1" customHeight="1" x14ac:dyDescent="0.2"/>
    <row r="398" ht="12.75" hidden="1" customHeight="1" x14ac:dyDescent="0.2"/>
    <row r="399" ht="12.75" hidden="1" customHeight="1" x14ac:dyDescent="0.2"/>
    <row r="400" ht="12.75" hidden="1" customHeight="1" x14ac:dyDescent="0.2"/>
    <row r="401" ht="12.75" hidden="1" customHeight="1" x14ac:dyDescent="0.2"/>
    <row r="402" ht="12.75" hidden="1" customHeight="1" x14ac:dyDescent="0.2"/>
    <row r="403" ht="12.75" hidden="1" customHeight="1" x14ac:dyDescent="0.2"/>
    <row r="404" ht="12.75" hidden="1" customHeight="1" x14ac:dyDescent="0.2"/>
    <row r="405" ht="12.75" hidden="1" customHeight="1" x14ac:dyDescent="0.2"/>
    <row r="406" ht="12.75" hidden="1" customHeight="1" x14ac:dyDescent="0.2"/>
    <row r="407" ht="12.75" hidden="1" customHeight="1" x14ac:dyDescent="0.2"/>
    <row r="408" ht="12.75" hidden="1" customHeight="1" x14ac:dyDescent="0.2"/>
    <row r="409" ht="12.75" hidden="1" customHeight="1" x14ac:dyDescent="0.2"/>
    <row r="410" ht="12.75" hidden="1" customHeight="1" x14ac:dyDescent="0.2"/>
    <row r="411" ht="12.75" hidden="1" customHeight="1" x14ac:dyDescent="0.2"/>
    <row r="412" ht="12.75" hidden="1" customHeight="1" x14ac:dyDescent="0.2"/>
    <row r="413" ht="12.75" hidden="1" customHeight="1" x14ac:dyDescent="0.2"/>
    <row r="414" ht="12.75" hidden="1" customHeight="1" x14ac:dyDescent="0.2"/>
    <row r="415" ht="12.75" hidden="1" customHeight="1" x14ac:dyDescent="0.2"/>
    <row r="416" ht="12.75" hidden="1" customHeight="1" x14ac:dyDescent="0.2"/>
    <row r="417" ht="12.75" hidden="1" customHeight="1" x14ac:dyDescent="0.2"/>
    <row r="418" ht="12.75" hidden="1" customHeight="1" x14ac:dyDescent="0.2"/>
    <row r="419" ht="12.75" hidden="1" customHeight="1" x14ac:dyDescent="0.2"/>
    <row r="420" ht="12.75" hidden="1" customHeight="1" x14ac:dyDescent="0.2"/>
    <row r="421" ht="12.75" hidden="1" customHeight="1" x14ac:dyDescent="0.2"/>
    <row r="422" ht="12.75" hidden="1" customHeight="1" x14ac:dyDescent="0.2"/>
    <row r="423" ht="12.75" hidden="1" customHeight="1" x14ac:dyDescent="0.2"/>
    <row r="424" ht="12.75" hidden="1" customHeight="1" x14ac:dyDescent="0.2"/>
    <row r="425" ht="12.75" hidden="1" customHeight="1" x14ac:dyDescent="0.2"/>
    <row r="426" ht="12.75" hidden="1" customHeight="1" x14ac:dyDescent="0.2"/>
    <row r="427" ht="12.75" hidden="1" customHeight="1" x14ac:dyDescent="0.2"/>
    <row r="428" ht="12.75" hidden="1" customHeight="1" x14ac:dyDescent="0.2"/>
    <row r="429" ht="12.75" hidden="1" customHeight="1" x14ac:dyDescent="0.2"/>
    <row r="430" ht="12.75" hidden="1" customHeight="1" x14ac:dyDescent="0.2"/>
    <row r="431" ht="12.75" hidden="1" customHeight="1" x14ac:dyDescent="0.2"/>
    <row r="432" ht="12.75" hidden="1" customHeight="1" x14ac:dyDescent="0.2"/>
    <row r="433" ht="12.75" hidden="1" customHeight="1" x14ac:dyDescent="0.2"/>
    <row r="434" ht="12.75" hidden="1" customHeight="1" x14ac:dyDescent="0.2"/>
    <row r="435" ht="12.75" hidden="1" customHeight="1" x14ac:dyDescent="0.2"/>
    <row r="436" ht="12.75" hidden="1" customHeight="1" x14ac:dyDescent="0.2"/>
    <row r="437" ht="12.75" hidden="1" customHeight="1" x14ac:dyDescent="0.2"/>
    <row r="438" ht="12.75" hidden="1" customHeight="1" x14ac:dyDescent="0.2"/>
    <row r="439" ht="12.75" hidden="1" customHeight="1" x14ac:dyDescent="0.2"/>
    <row r="440" ht="12.75" hidden="1" customHeight="1" x14ac:dyDescent="0.2"/>
    <row r="441" ht="12.75" hidden="1" customHeight="1" x14ac:dyDescent="0.2"/>
    <row r="442" ht="12.75" hidden="1" customHeight="1" x14ac:dyDescent="0.2"/>
    <row r="443" ht="12.75" hidden="1" customHeight="1" x14ac:dyDescent="0.2"/>
    <row r="444" ht="12.75" hidden="1" customHeight="1" x14ac:dyDescent="0.2"/>
    <row r="445" ht="12.75" hidden="1" customHeight="1" x14ac:dyDescent="0.2"/>
    <row r="446" ht="12.75" hidden="1" customHeight="1" x14ac:dyDescent="0.2"/>
    <row r="447" ht="12.75" hidden="1" customHeight="1" x14ac:dyDescent="0.2"/>
    <row r="448" ht="12.75" hidden="1" customHeight="1" x14ac:dyDescent="0.2"/>
    <row r="449" ht="12.75" hidden="1" customHeight="1" x14ac:dyDescent="0.2"/>
    <row r="450" ht="12.75" hidden="1" customHeight="1" x14ac:dyDescent="0.2"/>
    <row r="451" ht="12.75" hidden="1" customHeight="1" x14ac:dyDescent="0.2"/>
    <row r="452" ht="12.75" hidden="1" customHeight="1" x14ac:dyDescent="0.2"/>
    <row r="453" ht="12.75" hidden="1" customHeight="1" x14ac:dyDescent="0.2"/>
    <row r="454" ht="12.75" hidden="1" customHeight="1" x14ac:dyDescent="0.2"/>
    <row r="455" ht="12.75" hidden="1" customHeight="1" x14ac:dyDescent="0.2"/>
    <row r="456" ht="12.75" hidden="1" customHeight="1" x14ac:dyDescent="0.2"/>
    <row r="457" ht="12.75" hidden="1" customHeight="1" x14ac:dyDescent="0.2"/>
    <row r="458" ht="12.75" hidden="1" customHeight="1" x14ac:dyDescent="0.2"/>
    <row r="459" ht="12.75" hidden="1" customHeight="1" x14ac:dyDescent="0.2"/>
    <row r="460" ht="12.75" hidden="1" customHeight="1" x14ac:dyDescent="0.2"/>
    <row r="461" ht="12.75" hidden="1" customHeight="1" x14ac:dyDescent="0.2"/>
    <row r="462" ht="12.75" hidden="1" customHeight="1" x14ac:dyDescent="0.2"/>
    <row r="463" ht="12.75" hidden="1" customHeight="1" x14ac:dyDescent="0.2"/>
    <row r="464" ht="12.75" hidden="1" customHeight="1" x14ac:dyDescent="0.2"/>
    <row r="465" ht="12.75" hidden="1" customHeight="1" x14ac:dyDescent="0.2"/>
    <row r="466" ht="12.75" hidden="1" customHeight="1" x14ac:dyDescent="0.2"/>
    <row r="467" ht="12.75" hidden="1" customHeight="1" x14ac:dyDescent="0.2"/>
    <row r="468" ht="12.75" hidden="1" customHeight="1" x14ac:dyDescent="0.2"/>
    <row r="469" ht="12.75" hidden="1" customHeight="1" x14ac:dyDescent="0.2"/>
    <row r="470" ht="12.75" hidden="1" customHeight="1" x14ac:dyDescent="0.2"/>
    <row r="471" ht="12.75" hidden="1" customHeight="1" x14ac:dyDescent="0.2"/>
    <row r="472" ht="12.75" hidden="1" customHeight="1" x14ac:dyDescent="0.2"/>
    <row r="473" ht="12.75" hidden="1" customHeight="1" x14ac:dyDescent="0.2"/>
    <row r="474" ht="12.75" hidden="1" customHeight="1" x14ac:dyDescent="0.2"/>
    <row r="475" ht="12.75" hidden="1" customHeight="1" x14ac:dyDescent="0.2"/>
    <row r="476" ht="12.75" hidden="1" customHeight="1" x14ac:dyDescent="0.2"/>
    <row r="477" ht="12.75" hidden="1" customHeight="1" x14ac:dyDescent="0.2"/>
    <row r="478" ht="12.75" hidden="1" customHeight="1" x14ac:dyDescent="0.2"/>
    <row r="479" ht="12.75" hidden="1" customHeight="1" x14ac:dyDescent="0.2"/>
    <row r="480" ht="12.75" hidden="1" customHeight="1" x14ac:dyDescent="0.2"/>
    <row r="481" ht="12.75" hidden="1" customHeight="1" x14ac:dyDescent="0.2"/>
    <row r="482" ht="12.75" hidden="1" customHeight="1" x14ac:dyDescent="0.2"/>
    <row r="483" ht="12.75" hidden="1" customHeight="1" x14ac:dyDescent="0.2"/>
    <row r="484" ht="12.75" hidden="1" customHeight="1" x14ac:dyDescent="0.2"/>
    <row r="485" ht="12.75" hidden="1" customHeight="1" x14ac:dyDescent="0.2"/>
    <row r="486" ht="12.75" hidden="1" customHeight="1" x14ac:dyDescent="0.2"/>
    <row r="487" ht="12.75" hidden="1" customHeight="1" x14ac:dyDescent="0.2"/>
    <row r="488" ht="12.75" hidden="1" customHeight="1" x14ac:dyDescent="0.2"/>
    <row r="489" ht="12.75" hidden="1" customHeight="1" x14ac:dyDescent="0.2"/>
    <row r="490" ht="12.75" hidden="1" customHeight="1" x14ac:dyDescent="0.2"/>
    <row r="491" ht="12.75" hidden="1" customHeight="1" x14ac:dyDescent="0.2"/>
    <row r="492" ht="12.75" hidden="1" customHeight="1" x14ac:dyDescent="0.2"/>
    <row r="493" ht="12.75" hidden="1" customHeight="1" x14ac:dyDescent="0.2"/>
    <row r="494" ht="12.75" hidden="1" customHeight="1" x14ac:dyDescent="0.2"/>
    <row r="495" ht="12.75" hidden="1" customHeight="1" x14ac:dyDescent="0.2"/>
    <row r="496" ht="12.75" hidden="1" customHeight="1" x14ac:dyDescent="0.2"/>
    <row r="497" ht="12.75" hidden="1" customHeight="1" x14ac:dyDescent="0.2"/>
    <row r="498" ht="12.75" hidden="1" customHeight="1" x14ac:dyDescent="0.2"/>
    <row r="499" ht="12.75" hidden="1" customHeight="1" x14ac:dyDescent="0.2"/>
    <row r="500" ht="12.75" hidden="1" customHeight="1" x14ac:dyDescent="0.2"/>
    <row r="501" ht="12.75" hidden="1" customHeight="1" x14ac:dyDescent="0.2"/>
    <row r="502" ht="12.75" hidden="1" customHeight="1" x14ac:dyDescent="0.2"/>
    <row r="503" ht="12.75" hidden="1" customHeight="1" x14ac:dyDescent="0.2"/>
    <row r="504" ht="12.75" hidden="1" customHeight="1" x14ac:dyDescent="0.2"/>
    <row r="505" ht="12.75" hidden="1" customHeight="1" x14ac:dyDescent="0.2"/>
    <row r="506" ht="12.75" hidden="1" customHeight="1" x14ac:dyDescent="0.2"/>
    <row r="507" ht="12.75" hidden="1" customHeight="1" x14ac:dyDescent="0.2"/>
    <row r="508" ht="12.75" hidden="1" customHeight="1" x14ac:dyDescent="0.2"/>
    <row r="509" ht="12.75" hidden="1" customHeight="1" x14ac:dyDescent="0.2"/>
    <row r="510" ht="12.75" hidden="1" customHeight="1" x14ac:dyDescent="0.2"/>
    <row r="511" ht="12.75" hidden="1" customHeight="1" x14ac:dyDescent="0.2"/>
    <row r="512" ht="12.75" hidden="1" customHeight="1" x14ac:dyDescent="0.2"/>
    <row r="513" ht="12.75" hidden="1" customHeight="1" x14ac:dyDescent="0.2"/>
    <row r="514" ht="12.75" hidden="1" customHeight="1" x14ac:dyDescent="0.2"/>
    <row r="515" ht="12.75" hidden="1" customHeight="1" x14ac:dyDescent="0.2"/>
    <row r="516" ht="12.75" hidden="1" customHeight="1" x14ac:dyDescent="0.2"/>
    <row r="517" ht="12.75" hidden="1" customHeight="1" x14ac:dyDescent="0.2"/>
    <row r="518" ht="12.75" hidden="1" customHeight="1" x14ac:dyDescent="0.2"/>
    <row r="519" ht="12.75" hidden="1" customHeight="1" x14ac:dyDescent="0.2"/>
    <row r="520" ht="12.75" hidden="1" customHeight="1" x14ac:dyDescent="0.2"/>
    <row r="521" ht="12.75" hidden="1" customHeight="1" x14ac:dyDescent="0.2"/>
    <row r="522" ht="12.75" hidden="1" customHeight="1" x14ac:dyDescent="0.2"/>
    <row r="523" ht="12.75" hidden="1" customHeight="1" x14ac:dyDescent="0.2"/>
    <row r="524" ht="12.75" hidden="1" customHeight="1" x14ac:dyDescent="0.2"/>
    <row r="525" ht="12.75" hidden="1" customHeight="1" x14ac:dyDescent="0.2"/>
    <row r="526" ht="12.75" hidden="1" customHeight="1" x14ac:dyDescent="0.2"/>
    <row r="527" ht="12.75" hidden="1" customHeight="1" x14ac:dyDescent="0.2"/>
    <row r="528" ht="12.75" hidden="1" customHeight="1" x14ac:dyDescent="0.2"/>
    <row r="529" ht="12.75" hidden="1" customHeight="1" x14ac:dyDescent="0.2"/>
    <row r="530" ht="12.75" hidden="1" customHeight="1" x14ac:dyDescent="0.2"/>
    <row r="531" ht="12.75" hidden="1" customHeight="1" x14ac:dyDescent="0.2"/>
    <row r="532" ht="12.75" hidden="1" customHeight="1" x14ac:dyDescent="0.2"/>
    <row r="533" ht="12.75" hidden="1" customHeight="1" x14ac:dyDescent="0.2"/>
    <row r="534" ht="12.75" hidden="1" customHeight="1" x14ac:dyDescent="0.2"/>
    <row r="535" ht="12.75" hidden="1" customHeight="1" x14ac:dyDescent="0.2"/>
    <row r="536" ht="12.75" hidden="1" customHeight="1" x14ac:dyDescent="0.2"/>
    <row r="537" ht="12.75" hidden="1" customHeight="1" x14ac:dyDescent="0.2"/>
    <row r="538" ht="12.75" hidden="1" customHeight="1" x14ac:dyDescent="0.2"/>
    <row r="539" ht="12.75" hidden="1" customHeight="1" x14ac:dyDescent="0.2"/>
    <row r="540" ht="12.75" hidden="1" customHeight="1" x14ac:dyDescent="0.2"/>
    <row r="541" ht="12.75" hidden="1" customHeight="1" x14ac:dyDescent="0.2"/>
    <row r="542" ht="12.75" hidden="1" customHeight="1" x14ac:dyDescent="0.2"/>
    <row r="543" ht="12.75" hidden="1" customHeight="1" x14ac:dyDescent="0.2"/>
    <row r="544" ht="12.75" hidden="1" customHeight="1" x14ac:dyDescent="0.2"/>
    <row r="545" ht="12.75" hidden="1" customHeight="1" x14ac:dyDescent="0.2"/>
    <row r="546" ht="12.75" hidden="1" customHeight="1" x14ac:dyDescent="0.2"/>
    <row r="547" ht="12.75" hidden="1" customHeight="1" x14ac:dyDescent="0.2"/>
    <row r="548" ht="12.75" hidden="1" customHeight="1" x14ac:dyDescent="0.2"/>
    <row r="549" ht="12.75" hidden="1" customHeight="1" x14ac:dyDescent="0.2"/>
    <row r="550" ht="12.75" hidden="1" customHeight="1" x14ac:dyDescent="0.2"/>
    <row r="551" ht="12.75" hidden="1" customHeight="1" x14ac:dyDescent="0.2"/>
    <row r="552" ht="12.75" hidden="1" customHeight="1" x14ac:dyDescent="0.2"/>
    <row r="553" ht="12.75" hidden="1" customHeight="1" x14ac:dyDescent="0.2"/>
    <row r="554" ht="12.75" hidden="1" customHeight="1" x14ac:dyDescent="0.2"/>
    <row r="555" ht="12.75" hidden="1" customHeight="1" x14ac:dyDescent="0.2"/>
    <row r="556" ht="12.75" hidden="1" customHeight="1" x14ac:dyDescent="0.2"/>
    <row r="557" ht="12.75" hidden="1" customHeight="1" x14ac:dyDescent="0.2"/>
    <row r="558" ht="12.75" hidden="1" customHeight="1" x14ac:dyDescent="0.2"/>
    <row r="559" ht="12.75" hidden="1" customHeight="1" x14ac:dyDescent="0.2"/>
    <row r="560" ht="12.75" hidden="1" customHeight="1" x14ac:dyDescent="0.2"/>
    <row r="561" ht="12.75" hidden="1" customHeight="1" x14ac:dyDescent="0.2"/>
    <row r="562" ht="12.75" hidden="1" customHeight="1" x14ac:dyDescent="0.2"/>
    <row r="563" ht="12.75" hidden="1" customHeight="1" x14ac:dyDescent="0.2"/>
    <row r="564" ht="12.75" hidden="1" customHeight="1" x14ac:dyDescent="0.2"/>
    <row r="565" ht="12.75" hidden="1" customHeight="1" x14ac:dyDescent="0.2"/>
    <row r="566" ht="12.75" hidden="1" customHeight="1" x14ac:dyDescent="0.2"/>
    <row r="567" ht="12.75" hidden="1" customHeight="1" x14ac:dyDescent="0.2"/>
    <row r="568" ht="12.75" hidden="1" customHeight="1" x14ac:dyDescent="0.2"/>
    <row r="569" ht="12.75" hidden="1" customHeight="1" x14ac:dyDescent="0.2"/>
    <row r="570" ht="12.75" hidden="1" customHeight="1" x14ac:dyDescent="0.2"/>
    <row r="571" ht="12.75" hidden="1" customHeight="1" x14ac:dyDescent="0.2"/>
    <row r="572" ht="12.75" hidden="1" customHeight="1" x14ac:dyDescent="0.2"/>
    <row r="573" ht="12.75" hidden="1" customHeight="1" x14ac:dyDescent="0.2"/>
    <row r="574" ht="12.75" hidden="1" customHeight="1" x14ac:dyDescent="0.2"/>
    <row r="575" ht="12.75" hidden="1" customHeight="1" x14ac:dyDescent="0.2"/>
    <row r="576" ht="12.75" hidden="1" customHeight="1" x14ac:dyDescent="0.2"/>
    <row r="577" ht="12.75" hidden="1" customHeight="1" x14ac:dyDescent="0.2"/>
    <row r="578" ht="12.75" hidden="1" customHeight="1" x14ac:dyDescent="0.2"/>
    <row r="579" ht="12.75" hidden="1" customHeight="1" x14ac:dyDescent="0.2"/>
    <row r="580" ht="12.75" hidden="1" customHeight="1" x14ac:dyDescent="0.2"/>
    <row r="581" ht="12.75" hidden="1" customHeight="1" x14ac:dyDescent="0.2"/>
    <row r="582" ht="12.75" hidden="1" customHeight="1" x14ac:dyDescent="0.2"/>
    <row r="583" ht="12.75" hidden="1" customHeight="1" x14ac:dyDescent="0.2"/>
    <row r="584" ht="12.75" hidden="1" customHeight="1" x14ac:dyDescent="0.2"/>
    <row r="585" ht="12.75" hidden="1" customHeight="1" x14ac:dyDescent="0.2"/>
    <row r="586" ht="12.75" hidden="1" customHeight="1" x14ac:dyDescent="0.2"/>
    <row r="587" ht="12.75" hidden="1" customHeight="1" x14ac:dyDescent="0.2"/>
    <row r="588" ht="12.75" hidden="1" customHeight="1" x14ac:dyDescent="0.2"/>
    <row r="589" ht="12.75" hidden="1" customHeight="1" x14ac:dyDescent="0.2"/>
    <row r="590" ht="12.75" hidden="1" customHeight="1" x14ac:dyDescent="0.2"/>
    <row r="591" ht="12.75" hidden="1" customHeight="1" x14ac:dyDescent="0.2"/>
    <row r="592" ht="12.75" hidden="1" customHeight="1" x14ac:dyDescent="0.2"/>
    <row r="593" ht="12.75" hidden="1" customHeight="1" x14ac:dyDescent="0.2"/>
    <row r="594" ht="12.75" hidden="1" customHeight="1" x14ac:dyDescent="0.2"/>
    <row r="595" ht="12.75" hidden="1" customHeight="1" x14ac:dyDescent="0.2"/>
    <row r="596" ht="12.75" hidden="1" customHeight="1" x14ac:dyDescent="0.2"/>
    <row r="597" ht="12.75" hidden="1" customHeight="1" x14ac:dyDescent="0.2"/>
    <row r="598" ht="12.75" hidden="1" customHeight="1" x14ac:dyDescent="0.2"/>
    <row r="599" ht="12.75" hidden="1" customHeight="1" x14ac:dyDescent="0.2"/>
    <row r="600" ht="12.75" hidden="1" customHeight="1" x14ac:dyDescent="0.2"/>
    <row r="601" ht="12.75" hidden="1" customHeight="1" x14ac:dyDescent="0.2"/>
    <row r="602" ht="12.75" hidden="1" customHeight="1" x14ac:dyDescent="0.2"/>
    <row r="603" ht="12.75" hidden="1" customHeight="1" x14ac:dyDescent="0.2"/>
    <row r="604" ht="12.75" hidden="1" customHeight="1" x14ac:dyDescent="0.2"/>
    <row r="605" ht="12.75" hidden="1" customHeight="1" x14ac:dyDescent="0.2"/>
    <row r="606" ht="12.75" hidden="1" customHeight="1" x14ac:dyDescent="0.2"/>
    <row r="607" ht="12.75" hidden="1" customHeight="1" x14ac:dyDescent="0.2"/>
    <row r="608" ht="12.75" hidden="1" customHeight="1" x14ac:dyDescent="0.2"/>
    <row r="609" ht="12.75" hidden="1" customHeight="1" x14ac:dyDescent="0.2"/>
    <row r="610" ht="12.75" hidden="1" customHeight="1" x14ac:dyDescent="0.2"/>
    <row r="611" ht="12.75" hidden="1" customHeight="1" x14ac:dyDescent="0.2"/>
    <row r="612" ht="12.75" hidden="1" customHeight="1" x14ac:dyDescent="0.2"/>
    <row r="613" ht="12.75" hidden="1" customHeight="1" x14ac:dyDescent="0.2"/>
    <row r="614" ht="12.75" hidden="1" customHeight="1" x14ac:dyDescent="0.2"/>
    <row r="615" ht="12.75" hidden="1" customHeight="1" x14ac:dyDescent="0.2"/>
    <row r="616" ht="12.75" hidden="1" customHeight="1" x14ac:dyDescent="0.2"/>
    <row r="617" ht="12.75" hidden="1" customHeight="1" x14ac:dyDescent="0.2"/>
    <row r="618" ht="12.75" hidden="1" customHeight="1" x14ac:dyDescent="0.2"/>
    <row r="619" ht="12.75" hidden="1" customHeight="1" x14ac:dyDescent="0.2"/>
    <row r="620" ht="12.75" hidden="1" customHeight="1" x14ac:dyDescent="0.2"/>
    <row r="621" ht="12.75" hidden="1" customHeight="1" x14ac:dyDescent="0.2"/>
    <row r="622" ht="12.75" hidden="1" customHeight="1" x14ac:dyDescent="0.2"/>
    <row r="623" ht="12.75" hidden="1" customHeight="1" x14ac:dyDescent="0.2"/>
    <row r="624" ht="12.75" hidden="1" customHeight="1" x14ac:dyDescent="0.2"/>
    <row r="625" ht="12.75" hidden="1" customHeight="1" x14ac:dyDescent="0.2"/>
    <row r="626" ht="12.75" hidden="1" customHeight="1" x14ac:dyDescent="0.2"/>
    <row r="627" ht="12.75" hidden="1" customHeight="1" x14ac:dyDescent="0.2"/>
    <row r="628" ht="12.75" hidden="1" customHeight="1" x14ac:dyDescent="0.2"/>
    <row r="629" ht="12.75" hidden="1" customHeight="1" x14ac:dyDescent="0.2"/>
    <row r="630" ht="12.75" hidden="1" customHeight="1" x14ac:dyDescent="0.2"/>
    <row r="631" ht="12.75" hidden="1" customHeight="1" x14ac:dyDescent="0.2"/>
    <row r="632" ht="12.75" hidden="1" customHeight="1" x14ac:dyDescent="0.2"/>
    <row r="633" ht="12.75" hidden="1" customHeight="1" x14ac:dyDescent="0.2"/>
    <row r="634" ht="12.75" hidden="1" customHeight="1" x14ac:dyDescent="0.2"/>
    <row r="635" ht="12.75" hidden="1" customHeight="1" x14ac:dyDescent="0.2"/>
    <row r="636" ht="12.75" hidden="1" customHeight="1" x14ac:dyDescent="0.2"/>
    <row r="637" ht="12.75" hidden="1" customHeight="1" x14ac:dyDescent="0.2"/>
    <row r="638" ht="12.75" hidden="1" customHeight="1" x14ac:dyDescent="0.2"/>
    <row r="639" ht="12.75" hidden="1" customHeight="1" x14ac:dyDescent="0.2"/>
    <row r="640" ht="12.75" hidden="1" customHeight="1" x14ac:dyDescent="0.2"/>
    <row r="641" ht="12.75" hidden="1" customHeight="1" x14ac:dyDescent="0.2"/>
    <row r="642" ht="12.75" hidden="1" customHeight="1" x14ac:dyDescent="0.2"/>
    <row r="643" ht="12.75" hidden="1" customHeight="1" x14ac:dyDescent="0.2"/>
    <row r="644" ht="12.75" hidden="1" customHeight="1" x14ac:dyDescent="0.2"/>
    <row r="645" ht="12.75" hidden="1" customHeight="1" x14ac:dyDescent="0.2"/>
    <row r="646" ht="12.75" hidden="1" customHeight="1" x14ac:dyDescent="0.2"/>
    <row r="647" ht="12.75" hidden="1" customHeight="1" x14ac:dyDescent="0.2"/>
    <row r="648" ht="12.75" hidden="1" customHeight="1" x14ac:dyDescent="0.2"/>
    <row r="649" ht="12.75" hidden="1" customHeight="1" x14ac:dyDescent="0.2"/>
    <row r="650" ht="12.75" hidden="1" customHeight="1" x14ac:dyDescent="0.2"/>
    <row r="651" ht="12.75" hidden="1" customHeight="1" x14ac:dyDescent="0.2"/>
    <row r="652" ht="12.75" hidden="1" customHeight="1" x14ac:dyDescent="0.2"/>
    <row r="653" ht="12.75" hidden="1" customHeight="1" x14ac:dyDescent="0.2"/>
    <row r="654" ht="12.75" hidden="1" customHeight="1" x14ac:dyDescent="0.2"/>
    <row r="655" ht="12.75" hidden="1" customHeight="1" x14ac:dyDescent="0.2"/>
    <row r="656" ht="12.75" hidden="1" customHeight="1" x14ac:dyDescent="0.2"/>
    <row r="657" ht="12.75" hidden="1" customHeight="1" x14ac:dyDescent="0.2"/>
    <row r="658" ht="12.75" hidden="1" customHeight="1" x14ac:dyDescent="0.2"/>
    <row r="659" ht="12.75" hidden="1" customHeight="1" x14ac:dyDescent="0.2"/>
    <row r="660" ht="12.75" hidden="1" customHeight="1" x14ac:dyDescent="0.2"/>
    <row r="661" ht="12.75" hidden="1" customHeight="1" x14ac:dyDescent="0.2"/>
    <row r="662" ht="12.75" hidden="1" customHeight="1" x14ac:dyDescent="0.2"/>
    <row r="663" ht="12.75" hidden="1" customHeight="1" x14ac:dyDescent="0.2"/>
    <row r="664" ht="12.75" hidden="1" customHeight="1" x14ac:dyDescent="0.2"/>
    <row r="665" ht="12.75" hidden="1" customHeight="1" x14ac:dyDescent="0.2"/>
    <row r="666" ht="12.75" hidden="1" customHeight="1" x14ac:dyDescent="0.2"/>
    <row r="667" ht="12.75" hidden="1" customHeight="1" x14ac:dyDescent="0.2"/>
    <row r="668" ht="12.75" hidden="1" customHeight="1" x14ac:dyDescent="0.2"/>
    <row r="669" ht="12.75" hidden="1" customHeight="1" x14ac:dyDescent="0.2"/>
    <row r="670" ht="12.75" hidden="1" customHeight="1" x14ac:dyDescent="0.2"/>
    <row r="671" ht="12.75" hidden="1" customHeight="1" x14ac:dyDescent="0.2"/>
    <row r="672" ht="12.75" hidden="1" customHeight="1" x14ac:dyDescent="0.2"/>
    <row r="673" ht="12.75" hidden="1" customHeight="1" x14ac:dyDescent="0.2"/>
    <row r="674" ht="12.75" hidden="1" customHeight="1" x14ac:dyDescent="0.2"/>
    <row r="675" ht="12.75" hidden="1" customHeight="1" x14ac:dyDescent="0.2"/>
    <row r="676" ht="12.75" hidden="1" customHeight="1" x14ac:dyDescent="0.2"/>
    <row r="677" ht="12.75" hidden="1" customHeight="1" x14ac:dyDescent="0.2"/>
    <row r="678" ht="12.75" hidden="1" customHeight="1" x14ac:dyDescent="0.2"/>
    <row r="679" ht="12.75" hidden="1" customHeight="1" x14ac:dyDescent="0.2"/>
    <row r="680" ht="12.75" hidden="1" customHeight="1" x14ac:dyDescent="0.2"/>
    <row r="681" ht="12.75" hidden="1" customHeight="1" x14ac:dyDescent="0.2"/>
    <row r="682" ht="12.75" hidden="1" customHeight="1" x14ac:dyDescent="0.2"/>
    <row r="683" ht="12.75" hidden="1" customHeight="1" x14ac:dyDescent="0.2"/>
    <row r="684" ht="12.75" hidden="1" customHeight="1" x14ac:dyDescent="0.2"/>
    <row r="685" ht="12.75" hidden="1" customHeight="1" x14ac:dyDescent="0.2"/>
    <row r="686" ht="12.75" hidden="1" customHeight="1" x14ac:dyDescent="0.2"/>
    <row r="687" ht="12.75" hidden="1" customHeight="1" x14ac:dyDescent="0.2"/>
    <row r="688" ht="12.75" hidden="1" customHeight="1" x14ac:dyDescent="0.2"/>
    <row r="689" ht="12.75" hidden="1" customHeight="1" x14ac:dyDescent="0.2"/>
    <row r="690" ht="12.75" hidden="1" customHeight="1" x14ac:dyDescent="0.2"/>
    <row r="691" ht="12.75" hidden="1" customHeight="1" x14ac:dyDescent="0.2"/>
    <row r="692" ht="12.75" hidden="1" customHeight="1" x14ac:dyDescent="0.2"/>
    <row r="693" ht="12.75" hidden="1" customHeight="1" x14ac:dyDescent="0.2"/>
    <row r="694" ht="12.75" hidden="1" customHeight="1" x14ac:dyDescent="0.2"/>
    <row r="695" ht="12.75" hidden="1" customHeight="1" x14ac:dyDescent="0.2"/>
    <row r="696" ht="12.75" hidden="1" customHeight="1" x14ac:dyDescent="0.2"/>
    <row r="697" ht="12.75" hidden="1" customHeight="1" x14ac:dyDescent="0.2"/>
    <row r="698" ht="12.75" hidden="1" customHeight="1" x14ac:dyDescent="0.2"/>
    <row r="699" ht="12.75" hidden="1" customHeight="1" x14ac:dyDescent="0.2"/>
    <row r="700" ht="12.75" hidden="1" customHeight="1" x14ac:dyDescent="0.2"/>
    <row r="701" ht="12.75" hidden="1" customHeight="1" x14ac:dyDescent="0.2"/>
    <row r="702" ht="12.75" hidden="1" customHeight="1" x14ac:dyDescent="0.2"/>
    <row r="703" ht="12.75" hidden="1" customHeight="1" x14ac:dyDescent="0.2"/>
    <row r="704" ht="12.75" hidden="1" customHeight="1" x14ac:dyDescent="0.2"/>
    <row r="705" ht="12.75" hidden="1" customHeight="1" x14ac:dyDescent="0.2"/>
    <row r="706" ht="12.75" hidden="1" customHeight="1" x14ac:dyDescent="0.2"/>
    <row r="707" ht="12.75" hidden="1" customHeight="1" x14ac:dyDescent="0.2"/>
    <row r="708" ht="12.75" hidden="1" customHeight="1" x14ac:dyDescent="0.2"/>
    <row r="709" ht="12.75" hidden="1" customHeight="1" x14ac:dyDescent="0.2"/>
    <row r="710" ht="12.75" hidden="1" customHeight="1" x14ac:dyDescent="0.2"/>
    <row r="711" ht="12.75" hidden="1" customHeight="1" x14ac:dyDescent="0.2"/>
    <row r="712" ht="12.75" hidden="1" customHeight="1" x14ac:dyDescent="0.2"/>
    <row r="713" ht="12.75" hidden="1" customHeight="1" x14ac:dyDescent="0.2"/>
    <row r="714" ht="12.75" hidden="1" customHeight="1" x14ac:dyDescent="0.2"/>
    <row r="715" ht="12.75" hidden="1" customHeight="1" x14ac:dyDescent="0.2"/>
    <row r="716" ht="12.75" hidden="1" customHeight="1" x14ac:dyDescent="0.2"/>
    <row r="717" ht="12.75" hidden="1" customHeight="1" x14ac:dyDescent="0.2"/>
    <row r="718" ht="12.75" hidden="1" customHeight="1" x14ac:dyDescent="0.2"/>
    <row r="719" ht="12.75" hidden="1" customHeight="1" x14ac:dyDescent="0.2"/>
    <row r="720" ht="12.75" hidden="1" customHeight="1" x14ac:dyDescent="0.2"/>
    <row r="721" ht="12.75" hidden="1" customHeight="1" x14ac:dyDescent="0.2"/>
    <row r="722" ht="12.75" hidden="1" customHeight="1" x14ac:dyDescent="0.2"/>
    <row r="723" ht="12.75" hidden="1" customHeight="1" x14ac:dyDescent="0.2"/>
    <row r="724" ht="12.75" hidden="1" customHeight="1" x14ac:dyDescent="0.2"/>
    <row r="725" ht="12.75" hidden="1" customHeight="1" x14ac:dyDescent="0.2"/>
    <row r="726" ht="12.75" hidden="1" customHeight="1" x14ac:dyDescent="0.2"/>
    <row r="727" ht="12.75" hidden="1" customHeight="1" x14ac:dyDescent="0.2"/>
    <row r="728" ht="12.75" hidden="1" customHeight="1" x14ac:dyDescent="0.2"/>
    <row r="729" ht="12.75" hidden="1" customHeight="1" x14ac:dyDescent="0.2"/>
    <row r="730" ht="12.75" hidden="1" customHeight="1" x14ac:dyDescent="0.2"/>
    <row r="731" ht="12.75" hidden="1" customHeight="1" x14ac:dyDescent="0.2"/>
    <row r="732" ht="12.75" hidden="1" customHeight="1" x14ac:dyDescent="0.2"/>
    <row r="733" ht="12.75" hidden="1" customHeight="1" x14ac:dyDescent="0.2"/>
    <row r="734" ht="12.75" hidden="1" customHeight="1" x14ac:dyDescent="0.2"/>
    <row r="735" ht="12.75" hidden="1" customHeight="1" x14ac:dyDescent="0.2"/>
    <row r="736" ht="12.75" hidden="1" customHeight="1" x14ac:dyDescent="0.2"/>
    <row r="737" ht="12.75" hidden="1" customHeight="1" x14ac:dyDescent="0.2"/>
    <row r="738" ht="12.75" hidden="1" customHeight="1" x14ac:dyDescent="0.2"/>
    <row r="739" ht="12.75" hidden="1" customHeight="1" x14ac:dyDescent="0.2"/>
    <row r="740" ht="12.75" hidden="1" customHeight="1" x14ac:dyDescent="0.2"/>
    <row r="741" ht="12.75" hidden="1" customHeight="1" x14ac:dyDescent="0.2"/>
    <row r="742" ht="12.75" hidden="1" customHeight="1" x14ac:dyDescent="0.2"/>
    <row r="743" ht="12.75" hidden="1" customHeight="1" x14ac:dyDescent="0.2"/>
    <row r="744" ht="12.75" hidden="1" customHeight="1" x14ac:dyDescent="0.2"/>
    <row r="745" ht="12.75" hidden="1" customHeight="1" x14ac:dyDescent="0.2"/>
    <row r="746" ht="12.75" hidden="1" customHeight="1" x14ac:dyDescent="0.2"/>
    <row r="747" ht="12.75" hidden="1" customHeight="1" x14ac:dyDescent="0.2"/>
    <row r="748" ht="12.75" hidden="1" customHeight="1" x14ac:dyDescent="0.2"/>
    <row r="749" ht="12.75" hidden="1" customHeight="1" x14ac:dyDescent="0.2"/>
    <row r="750" ht="12.75" hidden="1" customHeight="1" x14ac:dyDescent="0.2"/>
    <row r="751" ht="12.75" hidden="1" customHeight="1" x14ac:dyDescent="0.2"/>
    <row r="752" ht="12.75" hidden="1" customHeight="1" x14ac:dyDescent="0.2"/>
    <row r="753" ht="12.75" hidden="1" customHeight="1" x14ac:dyDescent="0.2"/>
    <row r="754" ht="12.75" hidden="1" customHeight="1" x14ac:dyDescent="0.2"/>
    <row r="755" ht="12.75" hidden="1" customHeight="1" x14ac:dyDescent="0.2"/>
    <row r="756" ht="12.75" hidden="1" customHeight="1" x14ac:dyDescent="0.2"/>
    <row r="757" ht="12.75" hidden="1" customHeight="1" x14ac:dyDescent="0.2"/>
    <row r="758" ht="12.75" hidden="1" customHeight="1" x14ac:dyDescent="0.2"/>
    <row r="759" ht="12.75" hidden="1" customHeight="1" x14ac:dyDescent="0.2"/>
    <row r="760" ht="12.75" hidden="1" customHeight="1" x14ac:dyDescent="0.2"/>
    <row r="761" ht="12.75" hidden="1" customHeight="1" x14ac:dyDescent="0.2"/>
    <row r="762" ht="12.75" hidden="1" customHeight="1" x14ac:dyDescent="0.2"/>
    <row r="763" ht="12.75" hidden="1" customHeight="1" x14ac:dyDescent="0.2"/>
    <row r="764" ht="12.75" hidden="1" customHeight="1" x14ac:dyDescent="0.2"/>
    <row r="765" ht="12.75" hidden="1" customHeight="1" x14ac:dyDescent="0.2"/>
    <row r="766" ht="12.75" hidden="1" customHeight="1" x14ac:dyDescent="0.2"/>
    <row r="767" ht="12.75" hidden="1" customHeight="1" x14ac:dyDescent="0.2"/>
    <row r="768" ht="12.75" hidden="1" customHeight="1" x14ac:dyDescent="0.2"/>
    <row r="769" ht="12.75" hidden="1" customHeight="1" x14ac:dyDescent="0.2"/>
    <row r="770" ht="12.75" hidden="1" customHeight="1" x14ac:dyDescent="0.2"/>
    <row r="771" ht="12.75" hidden="1" customHeight="1" x14ac:dyDescent="0.2"/>
    <row r="772" ht="12.75" hidden="1" customHeight="1" x14ac:dyDescent="0.2"/>
    <row r="773" ht="12.75" hidden="1" customHeight="1" x14ac:dyDescent="0.2"/>
    <row r="774" ht="12.75" hidden="1" customHeight="1" x14ac:dyDescent="0.2"/>
    <row r="775" ht="12.75" hidden="1" customHeight="1" x14ac:dyDescent="0.2"/>
    <row r="776" ht="12.75" hidden="1" customHeight="1" x14ac:dyDescent="0.2"/>
    <row r="777" ht="12.75" hidden="1" customHeight="1" x14ac:dyDescent="0.2"/>
    <row r="778" ht="12.75" hidden="1" customHeight="1" x14ac:dyDescent="0.2"/>
    <row r="779" ht="12.75" hidden="1" customHeight="1" x14ac:dyDescent="0.2"/>
    <row r="780" ht="12.75" hidden="1" customHeight="1" x14ac:dyDescent="0.2"/>
    <row r="781" ht="12.75" hidden="1" customHeight="1" x14ac:dyDescent="0.2"/>
    <row r="782" ht="12.75" hidden="1" customHeight="1" x14ac:dyDescent="0.2"/>
    <row r="783" ht="12.75" hidden="1" customHeight="1" x14ac:dyDescent="0.2"/>
    <row r="784" ht="12.75" hidden="1" customHeight="1" x14ac:dyDescent="0.2"/>
    <row r="785" ht="12.75" hidden="1" customHeight="1" x14ac:dyDescent="0.2"/>
    <row r="786" ht="12.75" hidden="1" customHeight="1" x14ac:dyDescent="0.2"/>
    <row r="787" ht="12.75" hidden="1" customHeight="1" x14ac:dyDescent="0.2"/>
    <row r="788" ht="12.75" hidden="1" customHeight="1" x14ac:dyDescent="0.2"/>
    <row r="789" ht="12.75" hidden="1" customHeight="1" x14ac:dyDescent="0.2"/>
    <row r="790" ht="12.75" hidden="1" customHeight="1" x14ac:dyDescent="0.2"/>
    <row r="791" ht="12.75" hidden="1" customHeight="1" x14ac:dyDescent="0.2"/>
    <row r="792" ht="12.75" hidden="1" customHeight="1" x14ac:dyDescent="0.2"/>
    <row r="793" ht="12.75" hidden="1" customHeight="1" x14ac:dyDescent="0.2"/>
    <row r="794" ht="12.75" hidden="1" customHeight="1" x14ac:dyDescent="0.2"/>
    <row r="795" ht="12.75" hidden="1" customHeight="1" x14ac:dyDescent="0.2"/>
    <row r="796" ht="12.75" hidden="1" customHeight="1" x14ac:dyDescent="0.2"/>
    <row r="797" ht="12.75" hidden="1" customHeight="1" x14ac:dyDescent="0.2"/>
    <row r="798" ht="12.75" hidden="1" customHeight="1" x14ac:dyDescent="0.2"/>
    <row r="799" ht="12.75" hidden="1" customHeight="1" x14ac:dyDescent="0.2"/>
    <row r="800" ht="12.75" hidden="1" customHeight="1" x14ac:dyDescent="0.2"/>
    <row r="801" ht="12.75" hidden="1" customHeight="1" x14ac:dyDescent="0.2"/>
    <row r="802" ht="12.75" hidden="1" customHeight="1" x14ac:dyDescent="0.2"/>
    <row r="803" ht="12.75" hidden="1" customHeight="1" x14ac:dyDescent="0.2"/>
    <row r="804" ht="12.75" hidden="1" customHeight="1" x14ac:dyDescent="0.2"/>
    <row r="805" ht="12.75" hidden="1" customHeight="1" x14ac:dyDescent="0.2"/>
    <row r="806" ht="12.75" hidden="1" customHeight="1" x14ac:dyDescent="0.2"/>
    <row r="807" ht="12.75" hidden="1" customHeight="1" x14ac:dyDescent="0.2"/>
    <row r="808" ht="12.75" hidden="1" customHeight="1" x14ac:dyDescent="0.2"/>
    <row r="809" ht="12.75" hidden="1" customHeight="1" x14ac:dyDescent="0.2"/>
    <row r="810" ht="12.75" hidden="1" customHeight="1" x14ac:dyDescent="0.2"/>
    <row r="811" ht="12.75" hidden="1" customHeight="1" x14ac:dyDescent="0.2"/>
    <row r="812" ht="12.75" hidden="1" customHeight="1" x14ac:dyDescent="0.2"/>
    <row r="813" ht="12.75" hidden="1" customHeight="1" x14ac:dyDescent="0.2"/>
    <row r="814" ht="12.75" hidden="1" customHeight="1" x14ac:dyDescent="0.2"/>
    <row r="815" ht="12.75" hidden="1" customHeight="1" x14ac:dyDescent="0.2"/>
    <row r="816" ht="12.75" hidden="1" customHeight="1" x14ac:dyDescent="0.2"/>
    <row r="817" ht="12.75" hidden="1" customHeight="1" x14ac:dyDescent="0.2"/>
    <row r="818" ht="12.75" hidden="1" customHeight="1" x14ac:dyDescent="0.2"/>
    <row r="819" ht="12.75" hidden="1" customHeight="1" x14ac:dyDescent="0.2"/>
    <row r="820" ht="12.75" hidden="1" customHeight="1" x14ac:dyDescent="0.2"/>
    <row r="821" ht="12.75" hidden="1" customHeight="1" x14ac:dyDescent="0.2"/>
    <row r="822" ht="12.75" hidden="1" customHeight="1" x14ac:dyDescent="0.2"/>
    <row r="823" ht="12.75" hidden="1" customHeight="1" x14ac:dyDescent="0.2"/>
    <row r="824" ht="12.75" hidden="1" customHeight="1" x14ac:dyDescent="0.2"/>
    <row r="825" ht="12.75" hidden="1" customHeight="1" x14ac:dyDescent="0.2"/>
    <row r="826" ht="12.75" hidden="1" customHeight="1" x14ac:dyDescent="0.2"/>
    <row r="827" ht="12.75" hidden="1" customHeight="1" x14ac:dyDescent="0.2"/>
    <row r="828" ht="12.75" hidden="1" customHeight="1" x14ac:dyDescent="0.2"/>
    <row r="829" ht="12.75" hidden="1" customHeight="1" x14ac:dyDescent="0.2"/>
    <row r="830" ht="12.75" hidden="1" customHeight="1" x14ac:dyDescent="0.2"/>
    <row r="831" ht="12.75" hidden="1" customHeight="1" x14ac:dyDescent="0.2"/>
    <row r="832" ht="12.75" hidden="1" customHeight="1" x14ac:dyDescent="0.2"/>
    <row r="833" ht="12.75" hidden="1" customHeight="1" x14ac:dyDescent="0.2"/>
    <row r="834" ht="12.75" hidden="1" customHeight="1" x14ac:dyDescent="0.2"/>
    <row r="835" ht="12.75" hidden="1" customHeight="1" x14ac:dyDescent="0.2"/>
    <row r="836" ht="12.75" hidden="1" customHeight="1" x14ac:dyDescent="0.2"/>
    <row r="837" ht="12.75" hidden="1" customHeight="1" x14ac:dyDescent="0.2"/>
    <row r="838" ht="12.75" hidden="1" customHeight="1" x14ac:dyDescent="0.2"/>
    <row r="839" ht="12.75" hidden="1" customHeight="1" x14ac:dyDescent="0.2"/>
    <row r="840" ht="12.75" hidden="1" customHeight="1" x14ac:dyDescent="0.2"/>
    <row r="841" ht="12.75" hidden="1" customHeight="1" x14ac:dyDescent="0.2"/>
    <row r="842" ht="12.75" hidden="1" customHeight="1" x14ac:dyDescent="0.2"/>
    <row r="843" ht="12.75" hidden="1" customHeight="1" x14ac:dyDescent="0.2"/>
    <row r="844" ht="12.75" hidden="1" customHeight="1" x14ac:dyDescent="0.2"/>
    <row r="845" ht="12.75" hidden="1" customHeight="1" x14ac:dyDescent="0.2"/>
    <row r="846" ht="12.75" hidden="1" customHeight="1" x14ac:dyDescent="0.2"/>
    <row r="847" ht="12.75" hidden="1" customHeight="1" x14ac:dyDescent="0.2"/>
    <row r="848" ht="12.75" hidden="1" customHeight="1" x14ac:dyDescent="0.2"/>
    <row r="849" ht="12.75" hidden="1" customHeight="1" x14ac:dyDescent="0.2"/>
    <row r="850" ht="12.75" hidden="1" customHeight="1" x14ac:dyDescent="0.2"/>
    <row r="851" ht="12.75" hidden="1" customHeight="1" x14ac:dyDescent="0.2"/>
    <row r="852" ht="12.75" hidden="1" customHeight="1" x14ac:dyDescent="0.2"/>
    <row r="853" ht="12.75" hidden="1" customHeight="1" x14ac:dyDescent="0.2"/>
    <row r="854" ht="12.75" hidden="1" customHeight="1" x14ac:dyDescent="0.2"/>
    <row r="855" ht="12.75" hidden="1" customHeight="1" x14ac:dyDescent="0.2"/>
    <row r="856" ht="12.75" hidden="1" customHeight="1" x14ac:dyDescent="0.2"/>
    <row r="857" ht="12.75" hidden="1" customHeight="1" x14ac:dyDescent="0.2"/>
    <row r="858" ht="12.75" hidden="1" customHeight="1" x14ac:dyDescent="0.2"/>
    <row r="859" ht="12.75" hidden="1" customHeight="1" x14ac:dyDescent="0.2"/>
    <row r="860" ht="12.75" hidden="1" customHeight="1" x14ac:dyDescent="0.2"/>
    <row r="861" ht="12.75" hidden="1" customHeight="1" x14ac:dyDescent="0.2"/>
    <row r="862" ht="12.75" hidden="1" customHeight="1" x14ac:dyDescent="0.2"/>
    <row r="863" ht="12.75" hidden="1" customHeight="1" x14ac:dyDescent="0.2"/>
    <row r="864" ht="12.75" hidden="1" customHeight="1" x14ac:dyDescent="0.2"/>
    <row r="865" ht="12.75" hidden="1" customHeight="1" x14ac:dyDescent="0.2"/>
    <row r="866" ht="12.75" hidden="1" customHeight="1" x14ac:dyDescent="0.2"/>
    <row r="867" ht="12.75" hidden="1" customHeight="1" x14ac:dyDescent="0.2"/>
    <row r="868" ht="12.75" hidden="1" customHeight="1" x14ac:dyDescent="0.2"/>
    <row r="869" ht="12.75" hidden="1" customHeight="1" x14ac:dyDescent="0.2"/>
    <row r="870" ht="12.75" hidden="1" customHeight="1" x14ac:dyDescent="0.2"/>
    <row r="871" ht="12.75" hidden="1" customHeight="1" x14ac:dyDescent="0.2"/>
    <row r="872" ht="12.75" hidden="1" customHeight="1" x14ac:dyDescent="0.2"/>
    <row r="873" ht="12.75" hidden="1" customHeight="1" x14ac:dyDescent="0.2"/>
    <row r="874" ht="12.75" hidden="1" customHeight="1" x14ac:dyDescent="0.2"/>
    <row r="875" ht="12.75" hidden="1" customHeight="1" x14ac:dyDescent="0.2"/>
    <row r="876" ht="12.75" hidden="1" customHeight="1" x14ac:dyDescent="0.2"/>
    <row r="877" ht="12.75" hidden="1" customHeight="1" x14ac:dyDescent="0.2"/>
    <row r="878" ht="12.75" hidden="1" customHeight="1" x14ac:dyDescent="0.2"/>
    <row r="879" ht="12.75" hidden="1" customHeight="1" x14ac:dyDescent="0.2"/>
    <row r="880" ht="12.75" hidden="1" customHeight="1" x14ac:dyDescent="0.2"/>
    <row r="881" ht="12.75" hidden="1" customHeight="1" x14ac:dyDescent="0.2"/>
    <row r="882" ht="12.75" hidden="1" customHeight="1" x14ac:dyDescent="0.2"/>
    <row r="883" ht="12.75" hidden="1" customHeight="1" x14ac:dyDescent="0.2"/>
    <row r="884" ht="12.75" hidden="1" customHeight="1" x14ac:dyDescent="0.2"/>
    <row r="885" ht="12.75" hidden="1" customHeight="1" x14ac:dyDescent="0.2"/>
    <row r="886" ht="12.75" hidden="1" customHeight="1" x14ac:dyDescent="0.2"/>
    <row r="887" ht="12.75" hidden="1" customHeight="1" x14ac:dyDescent="0.2"/>
    <row r="888" ht="12.75" hidden="1" customHeight="1" x14ac:dyDescent="0.2"/>
    <row r="889" ht="12.75" hidden="1" customHeight="1" x14ac:dyDescent="0.2"/>
    <row r="890" ht="12.75" hidden="1" customHeight="1" x14ac:dyDescent="0.2"/>
    <row r="891" ht="12.75" hidden="1" customHeight="1" x14ac:dyDescent="0.2"/>
    <row r="892" ht="12.75" hidden="1" customHeight="1" x14ac:dyDescent="0.2"/>
    <row r="893" ht="12.75" hidden="1" customHeight="1" x14ac:dyDescent="0.2"/>
    <row r="894" ht="12.75" hidden="1" customHeight="1" x14ac:dyDescent="0.2"/>
    <row r="895" ht="12.75" hidden="1" customHeight="1" x14ac:dyDescent="0.2"/>
    <row r="896" ht="12.75" hidden="1" customHeight="1" x14ac:dyDescent="0.2"/>
    <row r="897" ht="12.75" hidden="1" customHeight="1" x14ac:dyDescent="0.2"/>
    <row r="898" ht="12.75" hidden="1" customHeight="1" x14ac:dyDescent="0.2"/>
    <row r="899" ht="12.75" hidden="1" customHeight="1" x14ac:dyDescent="0.2"/>
    <row r="900" ht="12.75" hidden="1" customHeight="1" x14ac:dyDescent="0.2"/>
    <row r="901" ht="12.75" hidden="1" customHeight="1" x14ac:dyDescent="0.2"/>
    <row r="902" ht="12.75" hidden="1" customHeight="1" x14ac:dyDescent="0.2"/>
    <row r="903" ht="12.75" hidden="1" customHeight="1" x14ac:dyDescent="0.2"/>
    <row r="904" ht="12.75" hidden="1" customHeight="1" x14ac:dyDescent="0.2"/>
    <row r="905" ht="12.75" hidden="1" customHeight="1" x14ac:dyDescent="0.2"/>
    <row r="906" ht="12.75" hidden="1" customHeight="1" x14ac:dyDescent="0.2"/>
    <row r="907" ht="12.75" hidden="1" customHeight="1" x14ac:dyDescent="0.2"/>
    <row r="908" ht="12.75" hidden="1" customHeight="1" x14ac:dyDescent="0.2"/>
    <row r="909" ht="12.75" hidden="1" customHeight="1" x14ac:dyDescent="0.2"/>
    <row r="910" ht="12.75" hidden="1" customHeight="1" x14ac:dyDescent="0.2"/>
    <row r="911" ht="12.75" hidden="1" customHeight="1" x14ac:dyDescent="0.2"/>
    <row r="912" ht="12.75" hidden="1" customHeight="1" x14ac:dyDescent="0.2"/>
    <row r="913" ht="12.75" hidden="1" customHeight="1" x14ac:dyDescent="0.2"/>
    <row r="914" ht="12.75" hidden="1" customHeight="1" x14ac:dyDescent="0.2"/>
    <row r="915" ht="12.75" hidden="1" customHeight="1" x14ac:dyDescent="0.2"/>
    <row r="916" ht="12.75" hidden="1" customHeight="1" x14ac:dyDescent="0.2"/>
    <row r="917" ht="12.75" hidden="1" customHeight="1" x14ac:dyDescent="0.2"/>
    <row r="918" ht="12.75" hidden="1" customHeight="1" x14ac:dyDescent="0.2"/>
    <row r="919" ht="12.75" hidden="1" customHeight="1" x14ac:dyDescent="0.2"/>
    <row r="920" ht="12.75" hidden="1" customHeight="1" x14ac:dyDescent="0.2"/>
    <row r="921" ht="12.75" hidden="1" customHeight="1" x14ac:dyDescent="0.2"/>
    <row r="922" ht="12.75" hidden="1" customHeight="1" x14ac:dyDescent="0.2"/>
    <row r="923" ht="12.75" hidden="1" customHeight="1" x14ac:dyDescent="0.2"/>
    <row r="924" ht="12.75" hidden="1" customHeight="1" x14ac:dyDescent="0.2"/>
    <row r="925" ht="12.75" hidden="1" customHeight="1" x14ac:dyDescent="0.2"/>
    <row r="926" ht="12.75" hidden="1" customHeight="1" x14ac:dyDescent="0.2"/>
    <row r="927" ht="12.75" hidden="1" customHeight="1" x14ac:dyDescent="0.2"/>
    <row r="928" ht="12.75" hidden="1" customHeight="1" x14ac:dyDescent="0.2"/>
    <row r="929" ht="12.75" hidden="1" customHeight="1" x14ac:dyDescent="0.2"/>
    <row r="930" ht="12.75" hidden="1" customHeight="1" x14ac:dyDescent="0.2"/>
    <row r="931" ht="12.75" hidden="1" customHeight="1" x14ac:dyDescent="0.2"/>
    <row r="932" ht="12.75" hidden="1" customHeight="1" x14ac:dyDescent="0.2"/>
    <row r="933" ht="12.75" hidden="1" customHeight="1" x14ac:dyDescent="0.2"/>
    <row r="934" ht="12.75" hidden="1" customHeight="1" x14ac:dyDescent="0.2"/>
    <row r="935" ht="12.75" hidden="1" customHeight="1" x14ac:dyDescent="0.2"/>
    <row r="936" ht="12.75" hidden="1" customHeight="1" x14ac:dyDescent="0.2"/>
    <row r="937" ht="12.75" hidden="1" customHeight="1" x14ac:dyDescent="0.2"/>
    <row r="938" ht="12.75" hidden="1" customHeight="1" x14ac:dyDescent="0.2"/>
    <row r="939" ht="12.75" hidden="1" customHeight="1" x14ac:dyDescent="0.2"/>
    <row r="940" ht="12.75" hidden="1" customHeight="1" x14ac:dyDescent="0.2"/>
    <row r="941" ht="12.75" hidden="1" customHeight="1" x14ac:dyDescent="0.2"/>
    <row r="942" ht="12.75" hidden="1" customHeight="1" x14ac:dyDescent="0.2"/>
    <row r="943" ht="12.75" hidden="1" customHeight="1" x14ac:dyDescent="0.2"/>
    <row r="944" ht="12.75" hidden="1" customHeight="1" x14ac:dyDescent="0.2"/>
    <row r="945" ht="12.75" hidden="1" customHeight="1" x14ac:dyDescent="0.2"/>
    <row r="946" ht="12.75" hidden="1" customHeight="1" x14ac:dyDescent="0.2"/>
    <row r="947" ht="12.75" hidden="1" customHeight="1" x14ac:dyDescent="0.2"/>
    <row r="948" ht="12.75" hidden="1" customHeight="1" x14ac:dyDescent="0.2"/>
    <row r="949" ht="12.75" hidden="1" customHeight="1" x14ac:dyDescent="0.2"/>
    <row r="950" ht="12.75" hidden="1" customHeight="1" x14ac:dyDescent="0.2"/>
    <row r="951" ht="12.75" hidden="1" customHeight="1" x14ac:dyDescent="0.2"/>
    <row r="952" ht="12.75" hidden="1" customHeight="1" x14ac:dyDescent="0.2"/>
    <row r="953" ht="12.75" hidden="1" customHeight="1" x14ac:dyDescent="0.2"/>
    <row r="954" ht="12.75" hidden="1" customHeight="1" x14ac:dyDescent="0.2"/>
    <row r="955" ht="12.75" hidden="1" customHeight="1" x14ac:dyDescent="0.2"/>
    <row r="956" ht="12.75" hidden="1" customHeight="1" x14ac:dyDescent="0.2"/>
    <row r="957" ht="12.75" hidden="1" customHeight="1" x14ac:dyDescent="0.2"/>
    <row r="958" ht="12.75" hidden="1" customHeight="1" x14ac:dyDescent="0.2"/>
    <row r="959" ht="12.75" hidden="1" customHeight="1" x14ac:dyDescent="0.2"/>
    <row r="960" ht="12.75" hidden="1" customHeight="1" x14ac:dyDescent="0.2"/>
    <row r="961" ht="12.75" hidden="1" customHeight="1" x14ac:dyDescent="0.2"/>
    <row r="962" ht="12.75" hidden="1" customHeight="1" x14ac:dyDescent="0.2"/>
    <row r="963" ht="12.75" hidden="1" customHeight="1" x14ac:dyDescent="0.2"/>
    <row r="964" ht="12.75" hidden="1" customHeight="1" x14ac:dyDescent="0.2"/>
    <row r="965" ht="12.75" hidden="1" customHeight="1" x14ac:dyDescent="0.2"/>
    <row r="966" ht="12.75" hidden="1" customHeight="1" x14ac:dyDescent="0.2"/>
    <row r="967" ht="12.75" hidden="1" customHeight="1" x14ac:dyDescent="0.2"/>
    <row r="968" ht="12.75" hidden="1" customHeight="1" x14ac:dyDescent="0.2"/>
    <row r="969" ht="12.75" hidden="1" customHeight="1" x14ac:dyDescent="0.2"/>
    <row r="970" ht="12.75" hidden="1" customHeight="1" x14ac:dyDescent="0.2"/>
    <row r="971" ht="12.75" hidden="1" customHeight="1" x14ac:dyDescent="0.2"/>
    <row r="972" ht="12.75" hidden="1" customHeight="1" x14ac:dyDescent="0.2"/>
    <row r="973" ht="12.75" hidden="1" customHeight="1" x14ac:dyDescent="0.2"/>
    <row r="974" ht="12.75" hidden="1" customHeight="1" x14ac:dyDescent="0.2"/>
    <row r="975" ht="12.75" hidden="1" customHeight="1" x14ac:dyDescent="0.2"/>
    <row r="976" ht="12.75" hidden="1" customHeight="1" x14ac:dyDescent="0.2"/>
    <row r="977" ht="12.75" hidden="1" customHeight="1" x14ac:dyDescent="0.2"/>
    <row r="978" ht="12.75" hidden="1" customHeight="1" x14ac:dyDescent="0.2"/>
    <row r="979" ht="12.75" hidden="1" customHeight="1" x14ac:dyDescent="0.2"/>
    <row r="980" ht="12.75" hidden="1" customHeight="1" x14ac:dyDescent="0.2"/>
    <row r="981" ht="12.75" hidden="1" customHeight="1" x14ac:dyDescent="0.2"/>
    <row r="982" ht="12.75" hidden="1" customHeight="1" x14ac:dyDescent="0.2"/>
    <row r="983" ht="12.75" hidden="1" customHeight="1" x14ac:dyDescent="0.2"/>
    <row r="984" ht="12.75" hidden="1" customHeight="1" x14ac:dyDescent="0.2"/>
    <row r="985" ht="12.75" hidden="1" customHeight="1" x14ac:dyDescent="0.2"/>
    <row r="986" ht="12.75" hidden="1" customHeight="1" x14ac:dyDescent="0.2"/>
    <row r="987" ht="12.75" hidden="1" customHeight="1" x14ac:dyDescent="0.2"/>
    <row r="988" ht="12.75" hidden="1" customHeight="1" x14ac:dyDescent="0.2"/>
    <row r="989" ht="12.75" hidden="1" customHeight="1" x14ac:dyDescent="0.2"/>
    <row r="990" ht="12.75" hidden="1" customHeight="1" x14ac:dyDescent="0.2"/>
    <row r="991" ht="12.75" hidden="1" customHeight="1" x14ac:dyDescent="0.2"/>
    <row r="992" ht="12.75" hidden="1" customHeight="1" x14ac:dyDescent="0.2"/>
    <row r="993" ht="12.75" hidden="1" customHeight="1" x14ac:dyDescent="0.2"/>
    <row r="994" ht="12.75" hidden="1" customHeight="1" x14ac:dyDescent="0.2"/>
    <row r="995" ht="12.75" hidden="1" customHeight="1" x14ac:dyDescent="0.2"/>
    <row r="996" ht="12.75" hidden="1" customHeight="1" x14ac:dyDescent="0.2"/>
    <row r="997" ht="12.75" hidden="1" customHeight="1" x14ac:dyDescent="0.2"/>
    <row r="998" ht="12.75" hidden="1" customHeight="1" x14ac:dyDescent="0.2"/>
    <row r="999" ht="12.75" hidden="1" customHeight="1" x14ac:dyDescent="0.2"/>
    <row r="1000" ht="12.75" hidden="1" customHeight="1" x14ac:dyDescent="0.2"/>
  </sheetData>
  <mergeCells count="198">
    <mergeCell ref="AV75:BG75"/>
    <mergeCell ref="AV99:BG99"/>
    <mergeCell ref="AV100:BG102"/>
    <mergeCell ref="AW103:BG103"/>
    <mergeCell ref="AV76:BG76"/>
    <mergeCell ref="AU74:AU76"/>
    <mergeCell ref="R75:AC75"/>
    <mergeCell ref="AG75:AR75"/>
    <mergeCell ref="AF66:AF69"/>
    <mergeCell ref="S68:AC68"/>
    <mergeCell ref="AW92:BG92"/>
    <mergeCell ref="S92:AC92"/>
    <mergeCell ref="AH92:AR92"/>
    <mergeCell ref="S69:AC71"/>
    <mergeCell ref="AH68:AR68"/>
    <mergeCell ref="AH69:AR71"/>
    <mergeCell ref="AU98:AU100"/>
    <mergeCell ref="S93:AC95"/>
    <mergeCell ref="AH103:AR103"/>
    <mergeCell ref="R99:AC99"/>
    <mergeCell ref="AW53:BG60"/>
    <mergeCell ref="D77:N84"/>
    <mergeCell ref="S77:AC84"/>
    <mergeCell ref="AH77:AR84"/>
    <mergeCell ref="AW77:BG84"/>
    <mergeCell ref="D101:N108"/>
    <mergeCell ref="AH93:AR95"/>
    <mergeCell ref="AW93:BG95"/>
    <mergeCell ref="AF98:AF100"/>
    <mergeCell ref="AG99:AR99"/>
    <mergeCell ref="R100:AC102"/>
    <mergeCell ref="AF108:AF112"/>
    <mergeCell ref="S103:AC103"/>
    <mergeCell ref="Q98:Q100"/>
    <mergeCell ref="Q108:Q112"/>
    <mergeCell ref="AW68:BG68"/>
    <mergeCell ref="AW69:BG71"/>
    <mergeCell ref="AU66:AU69"/>
    <mergeCell ref="S53:AC60"/>
    <mergeCell ref="AH53:AR60"/>
    <mergeCell ref="C99:N99"/>
    <mergeCell ref="C100:N100"/>
    <mergeCell ref="D53:N60"/>
    <mergeCell ref="Q66:Q69"/>
    <mergeCell ref="S114:AC119"/>
    <mergeCell ref="S104:AC111"/>
    <mergeCell ref="AG100:AR102"/>
    <mergeCell ref="AH114:AR119"/>
    <mergeCell ref="AH104:AR111"/>
    <mergeCell ref="AF60:AF64"/>
    <mergeCell ref="AU60:AU64"/>
    <mergeCell ref="AF74:AF76"/>
    <mergeCell ref="AU84:AU88"/>
    <mergeCell ref="AU90:AU93"/>
    <mergeCell ref="AF114:AF117"/>
    <mergeCell ref="S113:AC113"/>
    <mergeCell ref="AH113:AR113"/>
    <mergeCell ref="R76:AC76"/>
    <mergeCell ref="AG76:AR76"/>
    <mergeCell ref="AF84:AF88"/>
    <mergeCell ref="AF90:AF93"/>
    <mergeCell ref="AW44:BG44"/>
    <mergeCell ref="AV51:BG51"/>
    <mergeCell ref="AF50:AF52"/>
    <mergeCell ref="R52:AC52"/>
    <mergeCell ref="S29:AC36"/>
    <mergeCell ref="AH29:AR36"/>
    <mergeCell ref="AW29:BG36"/>
    <mergeCell ref="AV52:BG52"/>
    <mergeCell ref="S44:AC44"/>
    <mergeCell ref="AH44:AR44"/>
    <mergeCell ref="S45:AC47"/>
    <mergeCell ref="AH45:AR47"/>
    <mergeCell ref="AW45:BG47"/>
    <mergeCell ref="AU50:AU52"/>
    <mergeCell ref="AG52:AR52"/>
    <mergeCell ref="R51:AC51"/>
    <mergeCell ref="AG51:AR51"/>
    <mergeCell ref="AF36:AF40"/>
    <mergeCell ref="AU36:AU40"/>
    <mergeCell ref="AF42:AF45"/>
    <mergeCell ref="AU42:AU45"/>
    <mergeCell ref="R27:AC27"/>
    <mergeCell ref="C28:N28"/>
    <mergeCell ref="R28:AC28"/>
    <mergeCell ref="H9:J9"/>
    <mergeCell ref="L9:N9"/>
    <mergeCell ref="H12:J16"/>
    <mergeCell ref="L12:N16"/>
    <mergeCell ref="Q12:Q16"/>
    <mergeCell ref="H17:J17"/>
    <mergeCell ref="L17:N17"/>
    <mergeCell ref="S21:AC23"/>
    <mergeCell ref="H22:J22"/>
    <mergeCell ref="L22:N22"/>
    <mergeCell ref="H23:J23"/>
    <mergeCell ref="B24:N24"/>
    <mergeCell ref="Q24:AC24"/>
    <mergeCell ref="S5:AC12"/>
    <mergeCell ref="D17:F17"/>
    <mergeCell ref="D18:F21"/>
    <mergeCell ref="H18:J21"/>
    <mergeCell ref="L18:N21"/>
    <mergeCell ref="Q18:Q21"/>
    <mergeCell ref="AF24:AR24"/>
    <mergeCell ref="AF26:AF28"/>
    <mergeCell ref="AU26:AU28"/>
    <mergeCell ref="AG27:AR27"/>
    <mergeCell ref="AV27:BG27"/>
    <mergeCell ref="AG28:AR28"/>
    <mergeCell ref="AV28:BG28"/>
    <mergeCell ref="AG3:AR3"/>
    <mergeCell ref="AG4:AR4"/>
    <mergeCell ref="AU12:AU16"/>
    <mergeCell ref="AW20:BG20"/>
    <mergeCell ref="AW21:BG23"/>
    <mergeCell ref="AF12:AF16"/>
    <mergeCell ref="AH5:AR12"/>
    <mergeCell ref="AW5:BG12"/>
    <mergeCell ref="AF2:AF4"/>
    <mergeCell ref="AU2:AU4"/>
    <mergeCell ref="AH20:AR20"/>
    <mergeCell ref="AF18:AF21"/>
    <mergeCell ref="AU18:AU21"/>
    <mergeCell ref="AH21:AR23"/>
    <mergeCell ref="R3:AC3"/>
    <mergeCell ref="AV3:BG3"/>
    <mergeCell ref="R4:AC4"/>
    <mergeCell ref="AV4:BG4"/>
    <mergeCell ref="D6:F6"/>
    <mergeCell ref="D7:F7"/>
    <mergeCell ref="L6:N6"/>
    <mergeCell ref="L7:N7"/>
    <mergeCell ref="B84:B88"/>
    <mergeCell ref="Q36:Q40"/>
    <mergeCell ref="Q42:Q45"/>
    <mergeCell ref="D44:N44"/>
    <mergeCell ref="D45:N47"/>
    <mergeCell ref="D29:N36"/>
    <mergeCell ref="B2:B5"/>
    <mergeCell ref="D5:F5"/>
    <mergeCell ref="B6:B23"/>
    <mergeCell ref="D8:F8"/>
    <mergeCell ref="D9:F9"/>
    <mergeCell ref="D10:F10"/>
    <mergeCell ref="D12:F16"/>
    <mergeCell ref="D22:F22"/>
    <mergeCell ref="D23:F23"/>
    <mergeCell ref="S20:AC20"/>
    <mergeCell ref="B108:B112"/>
    <mergeCell ref="B114:B117"/>
    <mergeCell ref="B26:B28"/>
    <mergeCell ref="B36:B40"/>
    <mergeCell ref="B42:B45"/>
    <mergeCell ref="B50:B52"/>
    <mergeCell ref="B60:B64"/>
    <mergeCell ref="B66:B69"/>
    <mergeCell ref="B74:B76"/>
    <mergeCell ref="Q74:Q76"/>
    <mergeCell ref="Q84:Q88"/>
    <mergeCell ref="Q90:Q93"/>
    <mergeCell ref="B90:B93"/>
    <mergeCell ref="B98:B100"/>
    <mergeCell ref="D11:F11"/>
    <mergeCell ref="H11:J11"/>
    <mergeCell ref="C3:N3"/>
    <mergeCell ref="C4:N4"/>
    <mergeCell ref="H5:J5"/>
    <mergeCell ref="L5:N5"/>
    <mergeCell ref="H6:J6"/>
    <mergeCell ref="H7:J7"/>
    <mergeCell ref="L11:N11"/>
    <mergeCell ref="Q26:Q28"/>
    <mergeCell ref="C27:N27"/>
    <mergeCell ref="AW104:BG111"/>
    <mergeCell ref="AU108:AU112"/>
    <mergeCell ref="AW113:BG113"/>
    <mergeCell ref="AU114:AU117"/>
    <mergeCell ref="AW114:BG119"/>
    <mergeCell ref="Q2:Q4"/>
    <mergeCell ref="H8:J8"/>
    <mergeCell ref="L8:N8"/>
    <mergeCell ref="L23:N23"/>
    <mergeCell ref="H10:J10"/>
    <mergeCell ref="L10:N10"/>
    <mergeCell ref="Q114:Q117"/>
    <mergeCell ref="Q50:Q52"/>
    <mergeCell ref="C51:N51"/>
    <mergeCell ref="C52:N52"/>
    <mergeCell ref="Q60:Q64"/>
    <mergeCell ref="D68:N68"/>
    <mergeCell ref="D69:N71"/>
    <mergeCell ref="D116:N116"/>
    <mergeCell ref="D117:N119"/>
    <mergeCell ref="C75:N75"/>
    <mergeCell ref="C76:N76"/>
    <mergeCell ref="D92:N92"/>
    <mergeCell ref="D93:N95"/>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1000"/>
  <sheetViews>
    <sheetView showGridLines="0" zoomScaleNormal="100" workbookViewId="0"/>
  </sheetViews>
  <sheetFormatPr defaultColWidth="0" defaultRowHeight="15" customHeight="1" zeroHeight="1" x14ac:dyDescent="0.2"/>
  <cols>
    <col min="1" max="1" width="2.140625" customWidth="1"/>
    <col min="2" max="2" width="7.85546875" customWidth="1"/>
    <col min="3" max="3" width="0.85546875" customWidth="1"/>
    <col min="4" max="4" width="5" customWidth="1"/>
    <col min="5" max="5" width="0.85546875" customWidth="1"/>
    <col min="6" max="6" width="5" customWidth="1"/>
    <col min="7" max="7" width="0.85546875" customWidth="1"/>
    <col min="8" max="8" width="5" customWidth="1"/>
    <col min="9" max="9" width="0.85546875" customWidth="1"/>
    <col min="10" max="10" width="5" customWidth="1"/>
    <col min="11" max="11" width="0.85546875" customWidth="1"/>
    <col min="12" max="12" width="5" customWidth="1"/>
    <col min="13" max="13" width="0.85546875" customWidth="1"/>
    <col min="14" max="14" width="5" customWidth="1"/>
    <col min="15" max="15" width="0.85546875" customWidth="1"/>
    <col min="16" max="16" width="2.140625" customWidth="1"/>
    <col min="17" max="17" width="7.85546875" customWidth="1"/>
    <col min="18" max="18" width="0.85546875" customWidth="1"/>
    <col min="19" max="19" width="5" customWidth="1"/>
    <col min="20" max="20" width="0.85546875" customWidth="1"/>
    <col min="21" max="21" width="5" customWidth="1"/>
    <col min="22" max="22" width="0.85546875" customWidth="1"/>
    <col min="23" max="23" width="5" customWidth="1"/>
    <col min="24" max="24" width="0.85546875" customWidth="1"/>
    <col min="25" max="25" width="5" customWidth="1"/>
    <col min="26" max="26" width="0.85546875" customWidth="1"/>
    <col min="27" max="27" width="5" customWidth="1"/>
    <col min="28" max="28" width="0.85546875" customWidth="1"/>
    <col min="29" max="29" width="5" customWidth="1"/>
    <col min="30" max="30" width="0.85546875" customWidth="1"/>
    <col min="31" max="31" width="2.140625" customWidth="1"/>
    <col min="32" max="32" width="7.85546875" customWidth="1"/>
    <col min="33" max="33" width="0.85546875" customWidth="1"/>
    <col min="34" max="34" width="5" customWidth="1"/>
    <col min="35" max="35" width="0.85546875" customWidth="1"/>
    <col min="36" max="36" width="5" customWidth="1"/>
    <col min="37" max="37" width="0.85546875" customWidth="1"/>
    <col min="38" max="38" width="5" customWidth="1"/>
    <col min="39" max="39" width="0.85546875" customWidth="1"/>
    <col min="40" max="40" width="5" customWidth="1"/>
    <col min="41" max="41" width="0.85546875" customWidth="1"/>
    <col min="42" max="42" width="5" customWidth="1"/>
    <col min="43" max="43" width="0.85546875" customWidth="1"/>
    <col min="44" max="44" width="5" customWidth="1"/>
    <col min="45" max="45" width="0.85546875" customWidth="1"/>
    <col min="46" max="46" width="2.140625" customWidth="1"/>
    <col min="47" max="47" width="7.85546875" customWidth="1"/>
    <col min="48" max="48" width="0.85546875" customWidth="1"/>
    <col min="49" max="49" width="5" customWidth="1"/>
    <col min="50" max="50" width="0.85546875" customWidth="1"/>
    <col min="51" max="51" width="5" customWidth="1"/>
    <col min="52" max="52" width="0.85546875" customWidth="1"/>
    <col min="53" max="53" width="5" customWidth="1"/>
    <col min="54" max="54" width="0.85546875" customWidth="1"/>
    <col min="55" max="55" width="5" customWidth="1"/>
    <col min="56" max="56" width="0.85546875" customWidth="1"/>
    <col min="57" max="57" width="5" customWidth="1"/>
    <col min="58" max="58" width="0.85546875" customWidth="1"/>
    <col min="59" max="59" width="5" customWidth="1"/>
    <col min="60" max="60" width="0.85546875" customWidth="1"/>
    <col min="61" max="61" width="2.140625" customWidth="1"/>
    <col min="62" max="16384" width="14.42578125" hidden="1"/>
  </cols>
  <sheetData>
    <row r="1" spans="2:60" ht="11.25" customHeight="1" x14ac:dyDescent="0.2"/>
    <row r="2" spans="2:60" ht="4.5" customHeight="1" x14ac:dyDescent="0.2">
      <c r="B2" s="514"/>
      <c r="C2" s="167"/>
      <c r="D2" s="167"/>
      <c r="E2" s="167"/>
      <c r="F2" s="167"/>
      <c r="G2" s="167"/>
      <c r="H2" s="167"/>
      <c r="I2" s="167"/>
      <c r="J2" s="167"/>
      <c r="K2" s="167"/>
      <c r="L2" s="167"/>
      <c r="M2" s="167"/>
      <c r="N2" s="167"/>
      <c r="O2" s="168"/>
      <c r="Q2" s="514" t="str">
        <f>IF(Roster!$A$2=0,"","#"&amp;Roster!$A$2)</f>
        <v>#1</v>
      </c>
      <c r="R2" s="167"/>
      <c r="S2" s="167"/>
      <c r="T2" s="167"/>
      <c r="U2" s="167"/>
      <c r="V2" s="167"/>
      <c r="W2" s="167"/>
      <c r="X2" s="167"/>
      <c r="Y2" s="167"/>
      <c r="Z2" s="167"/>
      <c r="AA2" s="167"/>
      <c r="AB2" s="167"/>
      <c r="AC2" s="167"/>
      <c r="AD2" s="168"/>
      <c r="AF2" s="514" t="str">
        <f>IF(Roster!$A$3=0,"","#"&amp;Roster!$A$3)</f>
        <v>#2</v>
      </c>
      <c r="AG2" s="167"/>
      <c r="AH2" s="167"/>
      <c r="AI2" s="167"/>
      <c r="AJ2" s="167"/>
      <c r="AK2" s="167"/>
      <c r="AL2" s="167"/>
      <c r="AM2" s="167"/>
      <c r="AN2" s="167"/>
      <c r="AO2" s="167"/>
      <c r="AP2" s="167"/>
      <c r="AQ2" s="167"/>
      <c r="AR2" s="167"/>
      <c r="AS2" s="168"/>
      <c r="AU2" s="514" t="str">
        <f>IF(Roster!$A$4=0,"","#"&amp;Roster!$A$4)</f>
        <v>#3</v>
      </c>
      <c r="AV2" s="167"/>
      <c r="AW2" s="167"/>
      <c r="AX2" s="167"/>
      <c r="AY2" s="167"/>
      <c r="AZ2" s="167"/>
      <c r="BA2" s="167"/>
      <c r="BB2" s="167"/>
      <c r="BC2" s="167"/>
      <c r="BD2" s="167"/>
      <c r="BE2" s="167"/>
      <c r="BF2" s="167"/>
      <c r="BG2" s="167"/>
      <c r="BH2" s="168"/>
    </row>
    <row r="3" spans="2:60" ht="15" customHeight="1" x14ac:dyDescent="0.25">
      <c r="B3" s="515"/>
      <c r="C3" s="537" t="str">
        <f>IF(Roster!$K$24=0,Roster!$D$24,Roster!$K$24)</f>
        <v>Sgaua</v>
      </c>
      <c r="D3" s="303"/>
      <c r="E3" s="303"/>
      <c r="F3" s="303"/>
      <c r="G3" s="303"/>
      <c r="H3" s="303"/>
      <c r="I3" s="303"/>
      <c r="J3" s="303"/>
      <c r="K3" s="303"/>
      <c r="L3" s="303"/>
      <c r="M3" s="303"/>
      <c r="N3" s="304"/>
      <c r="O3" s="169"/>
      <c r="Q3" s="515"/>
      <c r="R3" s="537" t="str">
        <f>IF(Roster!$B$2=0,"",Roster!$B$2)</f>
        <v/>
      </c>
      <c r="S3" s="303"/>
      <c r="T3" s="303"/>
      <c r="U3" s="303"/>
      <c r="V3" s="303"/>
      <c r="W3" s="303"/>
      <c r="X3" s="303"/>
      <c r="Y3" s="303"/>
      <c r="Z3" s="303"/>
      <c r="AA3" s="303"/>
      <c r="AB3" s="303"/>
      <c r="AC3" s="304"/>
      <c r="AD3" s="169"/>
      <c r="AF3" s="515"/>
      <c r="AG3" s="537" t="str">
        <f>IF(Roster!$B$3=0,"",Roster!$B$3)</f>
        <v>Tunnese</v>
      </c>
      <c r="AH3" s="303"/>
      <c r="AI3" s="303"/>
      <c r="AJ3" s="303"/>
      <c r="AK3" s="303"/>
      <c r="AL3" s="303"/>
      <c r="AM3" s="303"/>
      <c r="AN3" s="303"/>
      <c r="AO3" s="303"/>
      <c r="AP3" s="303"/>
      <c r="AQ3" s="303"/>
      <c r="AR3" s="304"/>
      <c r="AS3" s="169"/>
      <c r="AU3" s="515"/>
      <c r="AV3" s="537" t="str">
        <f>IF(Roster!$B$4=0,"",Roster!$B$4)</f>
        <v>Semmuone</v>
      </c>
      <c r="AW3" s="303"/>
      <c r="AX3" s="303"/>
      <c r="AY3" s="303"/>
      <c r="AZ3" s="303"/>
      <c r="BA3" s="303"/>
      <c r="BB3" s="303"/>
      <c r="BC3" s="303"/>
      <c r="BD3" s="303"/>
      <c r="BE3" s="303"/>
      <c r="BF3" s="303"/>
      <c r="BG3" s="304"/>
      <c r="BH3" s="169"/>
    </row>
    <row r="4" spans="2:60" ht="11.25" customHeight="1" x14ac:dyDescent="0.2">
      <c r="B4" s="515"/>
      <c r="C4" s="517" t="str">
        <f>IF(Roster!$K$21="SPONSORS",Roster!$K$23,Roster!$K$23&amp;"; Sponsor: "&amp;Roster!$K$21)</f>
        <v>Ogre</v>
      </c>
      <c r="D4" s="303"/>
      <c r="E4" s="303"/>
      <c r="F4" s="303"/>
      <c r="G4" s="303"/>
      <c r="H4" s="303"/>
      <c r="I4" s="303"/>
      <c r="J4" s="303"/>
      <c r="K4" s="303"/>
      <c r="L4" s="303"/>
      <c r="M4" s="303"/>
      <c r="N4" s="304"/>
      <c r="O4" s="170"/>
      <c r="Q4" s="516"/>
      <c r="R4" s="517" t="str">
        <f>IF(Roster!$D$2=0,"",Roster!$D$2)</f>
        <v/>
      </c>
      <c r="S4" s="303"/>
      <c r="T4" s="303"/>
      <c r="U4" s="303"/>
      <c r="V4" s="303"/>
      <c r="W4" s="303"/>
      <c r="X4" s="303"/>
      <c r="Y4" s="303"/>
      <c r="Z4" s="303"/>
      <c r="AA4" s="303"/>
      <c r="AB4" s="303"/>
      <c r="AC4" s="304"/>
      <c r="AD4" s="170"/>
      <c r="AF4" s="516"/>
      <c r="AG4" s="517" t="str">
        <f>IF(Roster!$D$3=0,"",Roster!$D$3)</f>
        <v xml:space="preserve">Ogre </v>
      </c>
      <c r="AH4" s="303"/>
      <c r="AI4" s="303"/>
      <c r="AJ4" s="303"/>
      <c r="AK4" s="303"/>
      <c r="AL4" s="303"/>
      <c r="AM4" s="303"/>
      <c r="AN4" s="303"/>
      <c r="AO4" s="303"/>
      <c r="AP4" s="303"/>
      <c r="AQ4" s="303"/>
      <c r="AR4" s="304"/>
      <c r="AS4" s="170"/>
      <c r="AU4" s="516"/>
      <c r="AV4" s="517" t="str">
        <f>IF(Roster!$D$4=0,"",Roster!$D$4)</f>
        <v xml:space="preserve">Ogre </v>
      </c>
      <c r="AW4" s="303"/>
      <c r="AX4" s="303"/>
      <c r="AY4" s="303"/>
      <c r="AZ4" s="303"/>
      <c r="BA4" s="303"/>
      <c r="BB4" s="303"/>
      <c r="BC4" s="303"/>
      <c r="BD4" s="303"/>
      <c r="BE4" s="303"/>
      <c r="BF4" s="303"/>
      <c r="BG4" s="304"/>
      <c r="BH4" s="170"/>
    </row>
    <row r="5" spans="2:60" ht="11.25" customHeight="1" x14ac:dyDescent="0.2">
      <c r="B5" s="516"/>
      <c r="C5" s="171"/>
      <c r="D5" s="517" t="str">
        <f>IF(Roster!$D$32=0,"",Roster!$D$32)</f>
        <v>TEAM VALUE</v>
      </c>
      <c r="E5" s="303"/>
      <c r="F5" s="304"/>
      <c r="G5" s="172"/>
      <c r="H5" s="517" t="str">
        <f>IF(Roster!$D$26=0,"",Roster!$D$26)</f>
        <v>TEAM NAME</v>
      </c>
      <c r="I5" s="303"/>
      <c r="J5" s="304"/>
      <c r="K5" s="172"/>
      <c r="L5" s="517" t="str">
        <f>IF(Roster!$AE$21=0,"",Roster!$AE$21)</f>
        <v>TOTAL REROLLS</v>
      </c>
      <c r="M5" s="303"/>
      <c r="N5" s="304"/>
      <c r="O5" s="169"/>
      <c r="Q5" s="173" t="str">
        <f>IF(Roster!$K$1=0,"",Roster!$K$1)</f>
        <v>MA</v>
      </c>
      <c r="R5" s="174"/>
      <c r="S5" s="174"/>
      <c r="T5" s="174"/>
      <c r="U5" s="174"/>
      <c r="V5" s="174"/>
      <c r="W5" s="174"/>
      <c r="X5" s="174"/>
      <c r="Y5" s="174"/>
      <c r="Z5" s="174"/>
      <c r="AA5" s="174"/>
      <c r="AB5" s="174"/>
      <c r="AC5" s="174"/>
      <c r="AD5" s="169"/>
      <c r="AF5" s="173" t="str">
        <f>IF(Roster!$K$1=0,"",Roster!$K$1)</f>
        <v>MA</v>
      </c>
      <c r="AG5" s="174"/>
      <c r="AH5" s="174"/>
      <c r="AI5" s="174"/>
      <c r="AJ5" s="174"/>
      <c r="AK5" s="174"/>
      <c r="AL5" s="174"/>
      <c r="AM5" s="174"/>
      <c r="AN5" s="174"/>
      <c r="AO5" s="174"/>
      <c r="AP5" s="174"/>
      <c r="AQ5" s="174"/>
      <c r="AR5" s="174"/>
      <c r="AS5" s="169"/>
      <c r="AU5" s="173" t="str">
        <f>IF(Roster!$K$1=0,"",Roster!$K$1)</f>
        <v>MA</v>
      </c>
      <c r="AV5" s="174"/>
      <c r="AW5" s="174"/>
      <c r="AX5" s="174"/>
      <c r="AY5" s="174"/>
      <c r="AZ5" s="174"/>
      <c r="BA5" s="174"/>
      <c r="BB5" s="174"/>
      <c r="BC5" s="174"/>
      <c r="BD5" s="174"/>
      <c r="BE5" s="174"/>
      <c r="BF5" s="174"/>
      <c r="BG5" s="174"/>
      <c r="BH5" s="169"/>
    </row>
    <row r="6" spans="2:60" ht="37.5" customHeight="1" x14ac:dyDescent="0.2">
      <c r="B6" s="561" t="str">
        <f>IF(Roster!$K$22=0,"",Roster!$K$22)</f>
        <v>STADIUM</v>
      </c>
      <c r="C6" s="175"/>
      <c r="D6" s="560">
        <f>Roster!$K$32</f>
        <v>1010</v>
      </c>
      <c r="E6" s="300"/>
      <c r="F6" s="301"/>
      <c r="G6" s="172"/>
      <c r="H6" s="560" t="str">
        <f>IF(Roster!$K$26=0,"",Roster!$K$26)</f>
        <v>I Figli del Sole</v>
      </c>
      <c r="I6" s="300"/>
      <c r="J6" s="301"/>
      <c r="K6" s="172"/>
      <c r="L6" s="560">
        <f>Roster!$AJ$22</f>
        <v>3</v>
      </c>
      <c r="M6" s="300"/>
      <c r="N6" s="301"/>
      <c r="O6" s="169"/>
      <c r="Q6" s="176" t="str">
        <f>IF(Roster!$K$2=0,"",Roster!$K$2)</f>
        <v/>
      </c>
      <c r="R6" s="174"/>
      <c r="S6" s="547"/>
      <c r="T6" s="548"/>
      <c r="U6" s="548"/>
      <c r="V6" s="548"/>
      <c r="W6" s="548"/>
      <c r="X6" s="548"/>
      <c r="Y6" s="548"/>
      <c r="Z6" s="548"/>
      <c r="AA6" s="548"/>
      <c r="AB6" s="548"/>
      <c r="AC6" s="549"/>
      <c r="AD6" s="169"/>
      <c r="AF6" s="176">
        <f>IF(Roster!$K$3=0,"",Roster!$K$3)</f>
        <v>5</v>
      </c>
      <c r="AG6" s="174"/>
      <c r="AH6" s="538"/>
      <c r="AI6" s="539"/>
      <c r="AJ6" s="539"/>
      <c r="AK6" s="539"/>
      <c r="AL6" s="539"/>
      <c r="AM6" s="539"/>
      <c r="AN6" s="539"/>
      <c r="AO6" s="539"/>
      <c r="AP6" s="539"/>
      <c r="AQ6" s="539"/>
      <c r="AR6" s="540"/>
      <c r="AS6" s="169"/>
      <c r="AU6" s="176">
        <f>IF(Roster!$K$4=0,"",Roster!$K$4)</f>
        <v>5</v>
      </c>
      <c r="AV6" s="174"/>
      <c r="AW6" s="538"/>
      <c r="AX6" s="539"/>
      <c r="AY6" s="539"/>
      <c r="AZ6" s="539"/>
      <c r="BA6" s="539"/>
      <c r="BB6" s="539"/>
      <c r="BC6" s="539"/>
      <c r="BD6" s="539"/>
      <c r="BE6" s="539"/>
      <c r="BF6" s="539"/>
      <c r="BG6" s="540"/>
      <c r="BH6" s="169"/>
    </row>
    <row r="7" spans="2:60" ht="11.25" customHeight="1" x14ac:dyDescent="0.2">
      <c r="B7" s="515"/>
      <c r="C7" s="174"/>
      <c r="D7" s="517" t="str">
        <f>IF(Roster!$S$22=0,"",Roster!$S$22)</f>
        <v>APOTHECARY</v>
      </c>
      <c r="E7" s="303"/>
      <c r="F7" s="304"/>
      <c r="G7" s="172"/>
      <c r="H7" s="517" t="str">
        <f>IF(Roster!$S$23=0,"",Roster!$S$23)</f>
        <v>CHEERLEADERS</v>
      </c>
      <c r="I7" s="303"/>
      <c r="J7" s="304"/>
      <c r="K7" s="172"/>
      <c r="L7" s="517" t="str">
        <f>IF(Roster!$S$24=0,"",Roster!$S$24)</f>
        <v>ASSISTANT COACHES</v>
      </c>
      <c r="M7" s="303"/>
      <c r="N7" s="304"/>
      <c r="O7" s="169"/>
      <c r="Q7" s="173" t="str">
        <f>IF(Roster!$L$1=0,"",Roster!$L$1)</f>
        <v>ST</v>
      </c>
      <c r="R7" s="174"/>
      <c r="S7" s="550"/>
      <c r="T7" s="551"/>
      <c r="U7" s="551"/>
      <c r="V7" s="551"/>
      <c r="W7" s="551"/>
      <c r="X7" s="551"/>
      <c r="Y7" s="551"/>
      <c r="Z7" s="551"/>
      <c r="AA7" s="551"/>
      <c r="AB7" s="551"/>
      <c r="AC7" s="552"/>
      <c r="AD7" s="169"/>
      <c r="AF7" s="173" t="str">
        <f>IF(Roster!$L$1=0,"",Roster!$L$1)</f>
        <v>ST</v>
      </c>
      <c r="AG7" s="174"/>
      <c r="AH7" s="541"/>
      <c r="AI7" s="542"/>
      <c r="AJ7" s="542"/>
      <c r="AK7" s="542"/>
      <c r="AL7" s="542"/>
      <c r="AM7" s="542"/>
      <c r="AN7" s="542"/>
      <c r="AO7" s="542"/>
      <c r="AP7" s="542"/>
      <c r="AQ7" s="542"/>
      <c r="AR7" s="543"/>
      <c r="AS7" s="169"/>
      <c r="AU7" s="173" t="str">
        <f>IF(Roster!$L$1=0,"",Roster!$L$1)</f>
        <v>ST</v>
      </c>
      <c r="AV7" s="174"/>
      <c r="AW7" s="541"/>
      <c r="AX7" s="542"/>
      <c r="AY7" s="542"/>
      <c r="AZ7" s="542"/>
      <c r="BA7" s="542"/>
      <c r="BB7" s="542"/>
      <c r="BC7" s="542"/>
      <c r="BD7" s="542"/>
      <c r="BE7" s="542"/>
      <c r="BF7" s="542"/>
      <c r="BG7" s="543"/>
      <c r="BH7" s="169"/>
    </row>
    <row r="8" spans="2:60" ht="37.5" customHeight="1" x14ac:dyDescent="0.2">
      <c r="B8" s="515"/>
      <c r="C8" s="177"/>
      <c r="D8" s="560">
        <f>Roster!$X$22</f>
        <v>1</v>
      </c>
      <c r="E8" s="300"/>
      <c r="F8" s="301"/>
      <c r="G8" s="172"/>
      <c r="H8" s="560">
        <f>Roster!$X$23</f>
        <v>0</v>
      </c>
      <c r="I8" s="300"/>
      <c r="J8" s="301"/>
      <c r="K8" s="172"/>
      <c r="L8" s="560">
        <f>Roster!$X$24</f>
        <v>0</v>
      </c>
      <c r="M8" s="300"/>
      <c r="N8" s="301"/>
      <c r="O8" s="169"/>
      <c r="Q8" s="176" t="str">
        <f>IF(Roster!$L$2=0,"",Roster!$L$2)</f>
        <v/>
      </c>
      <c r="R8" s="174"/>
      <c r="S8" s="550"/>
      <c r="T8" s="551"/>
      <c r="U8" s="551"/>
      <c r="V8" s="551"/>
      <c r="W8" s="551"/>
      <c r="X8" s="551"/>
      <c r="Y8" s="551"/>
      <c r="Z8" s="551"/>
      <c r="AA8" s="551"/>
      <c r="AB8" s="551"/>
      <c r="AC8" s="552"/>
      <c r="AD8" s="169"/>
      <c r="AF8" s="176">
        <f>IF(Roster!$L$3=0,"",Roster!$L$3)</f>
        <v>5</v>
      </c>
      <c r="AG8" s="174"/>
      <c r="AH8" s="541"/>
      <c r="AI8" s="542"/>
      <c r="AJ8" s="542"/>
      <c r="AK8" s="542"/>
      <c r="AL8" s="542"/>
      <c r="AM8" s="542"/>
      <c r="AN8" s="542"/>
      <c r="AO8" s="542"/>
      <c r="AP8" s="542"/>
      <c r="AQ8" s="542"/>
      <c r="AR8" s="543"/>
      <c r="AS8" s="169"/>
      <c r="AU8" s="176">
        <f>IF(Roster!$L$4=0,"",Roster!$L$4)</f>
        <v>5</v>
      </c>
      <c r="AV8" s="174"/>
      <c r="AW8" s="541"/>
      <c r="AX8" s="542"/>
      <c r="AY8" s="542"/>
      <c r="AZ8" s="542"/>
      <c r="BA8" s="542"/>
      <c r="BB8" s="542"/>
      <c r="BC8" s="542"/>
      <c r="BD8" s="542"/>
      <c r="BE8" s="542"/>
      <c r="BF8" s="542"/>
      <c r="BG8" s="543"/>
      <c r="BH8" s="169"/>
    </row>
    <row r="9" spans="2:60" ht="11.25" customHeight="1" x14ac:dyDescent="0.2">
      <c r="B9" s="515"/>
      <c r="C9" s="171"/>
      <c r="D9" s="517" t="str">
        <f>IF(Roster!$S$25=0,"",Roster!$S$25)</f>
        <v>BLOODWEISER KEGS</v>
      </c>
      <c r="E9" s="303"/>
      <c r="F9" s="304"/>
      <c r="G9" s="172"/>
      <c r="H9" s="517" t="str">
        <f>IF(Roster!$S$29=0,"",Roster!$S$29)</f>
        <v>BRIBES</v>
      </c>
      <c r="I9" s="303"/>
      <c r="J9" s="304"/>
      <c r="K9" s="172"/>
      <c r="L9" s="517" t="str">
        <f>IF(Roster!$S$30=0,"",Roster!$S$30)</f>
        <v>MASTER CHEF</v>
      </c>
      <c r="M9" s="303"/>
      <c r="N9" s="304"/>
      <c r="O9" s="169"/>
      <c r="Q9" s="173" t="str">
        <f>IF(Roster!$M$1=0,"",Roster!$M$1)</f>
        <v>AG</v>
      </c>
      <c r="R9" s="174"/>
      <c r="S9" s="550"/>
      <c r="T9" s="551"/>
      <c r="U9" s="551"/>
      <c r="V9" s="551"/>
      <c r="W9" s="551"/>
      <c r="X9" s="551"/>
      <c r="Y9" s="551"/>
      <c r="Z9" s="551"/>
      <c r="AA9" s="551"/>
      <c r="AB9" s="551"/>
      <c r="AC9" s="552"/>
      <c r="AD9" s="169"/>
      <c r="AF9" s="173" t="str">
        <f>IF(Roster!$M$1=0,"",Roster!$M$1)</f>
        <v>AG</v>
      </c>
      <c r="AG9" s="174"/>
      <c r="AH9" s="541"/>
      <c r="AI9" s="542"/>
      <c r="AJ9" s="542"/>
      <c r="AK9" s="542"/>
      <c r="AL9" s="542"/>
      <c r="AM9" s="542"/>
      <c r="AN9" s="542"/>
      <c r="AO9" s="542"/>
      <c r="AP9" s="542"/>
      <c r="AQ9" s="542"/>
      <c r="AR9" s="543"/>
      <c r="AS9" s="169"/>
      <c r="AU9" s="173" t="str">
        <f>IF(Roster!$M$1=0,"",Roster!$M$1)</f>
        <v>AG</v>
      </c>
      <c r="AV9" s="174"/>
      <c r="AW9" s="541"/>
      <c r="AX9" s="542"/>
      <c r="AY9" s="542"/>
      <c r="AZ9" s="542"/>
      <c r="BA9" s="542"/>
      <c r="BB9" s="542"/>
      <c r="BC9" s="542"/>
      <c r="BD9" s="542"/>
      <c r="BE9" s="542"/>
      <c r="BF9" s="542"/>
      <c r="BG9" s="543"/>
      <c r="BH9" s="169"/>
    </row>
    <row r="10" spans="2:60" ht="37.5" customHeight="1" x14ac:dyDescent="0.2">
      <c r="B10" s="515"/>
      <c r="C10" s="177"/>
      <c r="D10" s="560">
        <f>Roster!$X$25</f>
        <v>0</v>
      </c>
      <c r="E10" s="300"/>
      <c r="F10" s="301"/>
      <c r="G10" s="172"/>
      <c r="H10" s="560">
        <f>Roster!$X$29</f>
        <v>0</v>
      </c>
      <c r="I10" s="300"/>
      <c r="J10" s="301"/>
      <c r="K10" s="172"/>
      <c r="L10" s="560">
        <f>Roster!$X$30</f>
        <v>0</v>
      </c>
      <c r="M10" s="300"/>
      <c r="N10" s="301"/>
      <c r="O10" s="169"/>
      <c r="Q10" s="176" t="str">
        <f>IF(Roster!$M$2=0&amp;"+","",Roster!$M$2)</f>
        <v/>
      </c>
      <c r="R10" s="174"/>
      <c r="S10" s="550"/>
      <c r="T10" s="551"/>
      <c r="U10" s="551"/>
      <c r="V10" s="551"/>
      <c r="W10" s="551"/>
      <c r="X10" s="551"/>
      <c r="Y10" s="551"/>
      <c r="Z10" s="551"/>
      <c r="AA10" s="551"/>
      <c r="AB10" s="551"/>
      <c r="AC10" s="552"/>
      <c r="AD10" s="169"/>
      <c r="AF10" s="176" t="str">
        <f>IF(Roster!$M$3=0&amp;"+","",Roster!$M$3)</f>
        <v>4+</v>
      </c>
      <c r="AG10" s="174"/>
      <c r="AH10" s="541"/>
      <c r="AI10" s="542"/>
      <c r="AJ10" s="542"/>
      <c r="AK10" s="542"/>
      <c r="AL10" s="542"/>
      <c r="AM10" s="542"/>
      <c r="AN10" s="542"/>
      <c r="AO10" s="542"/>
      <c r="AP10" s="542"/>
      <c r="AQ10" s="542"/>
      <c r="AR10" s="543"/>
      <c r="AS10" s="169"/>
      <c r="AU10" s="176" t="str">
        <f>IF(Roster!$M$4=0&amp;"+","",Roster!$M$4)</f>
        <v>4+</v>
      </c>
      <c r="AV10" s="174"/>
      <c r="AW10" s="541"/>
      <c r="AX10" s="542"/>
      <c r="AY10" s="542"/>
      <c r="AZ10" s="542"/>
      <c r="BA10" s="542"/>
      <c r="BB10" s="542"/>
      <c r="BC10" s="542"/>
      <c r="BD10" s="542"/>
      <c r="BE10" s="542"/>
      <c r="BF10" s="542"/>
      <c r="BG10" s="543"/>
      <c r="BH10" s="169"/>
    </row>
    <row r="11" spans="2:60" ht="11.25" customHeight="1" x14ac:dyDescent="0.2">
      <c r="B11" s="515"/>
      <c r="C11" s="174"/>
      <c r="D11" s="559" t="str">
        <f>IF(Roster!$S$31=0,"",Roster!$S$31)</f>
        <v>RIOTOUS ROOKIES</v>
      </c>
      <c r="E11" s="303"/>
      <c r="F11" s="304"/>
      <c r="G11" s="174"/>
      <c r="H11" s="559" t="str">
        <f>IF(Roster!$AE$25=0,"",Roster!$AE$25)</f>
        <v>WIZARDS</v>
      </c>
      <c r="I11" s="303"/>
      <c r="J11" s="304"/>
      <c r="K11" s="174"/>
      <c r="L11" s="517" t="str">
        <f>IF(Roster!$AE$24=0,"",Roster!$AE$24)</f>
        <v>WEATHER MAGE</v>
      </c>
      <c r="M11" s="303"/>
      <c r="N11" s="304"/>
      <c r="O11" s="178"/>
      <c r="Q11" s="173" t="str">
        <f>IF(Roster!$N$1=0,"",Roster!$N$1)</f>
        <v>PA</v>
      </c>
      <c r="R11" s="174"/>
      <c r="S11" s="550"/>
      <c r="T11" s="551"/>
      <c r="U11" s="551"/>
      <c r="V11" s="551"/>
      <c r="W11" s="551"/>
      <c r="X11" s="551"/>
      <c r="Y11" s="551"/>
      <c r="Z11" s="551"/>
      <c r="AA11" s="551"/>
      <c r="AB11" s="551"/>
      <c r="AC11" s="552"/>
      <c r="AD11" s="178"/>
      <c r="AF11" s="173" t="str">
        <f>IF(Roster!$N$1=0,"",Roster!$N$1)</f>
        <v>PA</v>
      </c>
      <c r="AG11" s="174"/>
      <c r="AH11" s="541"/>
      <c r="AI11" s="542"/>
      <c r="AJ11" s="542"/>
      <c r="AK11" s="542"/>
      <c r="AL11" s="542"/>
      <c r="AM11" s="542"/>
      <c r="AN11" s="542"/>
      <c r="AO11" s="542"/>
      <c r="AP11" s="542"/>
      <c r="AQ11" s="542"/>
      <c r="AR11" s="543"/>
      <c r="AS11" s="178"/>
      <c r="AU11" s="173" t="str">
        <f>IF(Roster!$N$1=0,"",Roster!$N$1)</f>
        <v>PA</v>
      </c>
      <c r="AV11" s="174"/>
      <c r="AW11" s="541"/>
      <c r="AX11" s="542"/>
      <c r="AY11" s="542"/>
      <c r="AZ11" s="542"/>
      <c r="BA11" s="542"/>
      <c r="BB11" s="542"/>
      <c r="BC11" s="542"/>
      <c r="BD11" s="542"/>
      <c r="BE11" s="542"/>
      <c r="BF11" s="542"/>
      <c r="BG11" s="543"/>
      <c r="BH11" s="178"/>
    </row>
    <row r="12" spans="2:60" ht="6" customHeight="1" x14ac:dyDescent="0.2">
      <c r="B12" s="515"/>
      <c r="C12" s="175"/>
      <c r="D12" s="556">
        <f>Roster!$X$31</f>
        <v>0</v>
      </c>
      <c r="E12" s="378"/>
      <c r="F12" s="339"/>
      <c r="G12" s="179"/>
      <c r="H12" s="556">
        <f>Roster!$AJ$25</f>
        <v>0</v>
      </c>
      <c r="I12" s="378"/>
      <c r="J12" s="339"/>
      <c r="K12" s="179"/>
      <c r="L12" s="556">
        <f>Roster!$AJ$24</f>
        <v>0</v>
      </c>
      <c r="M12" s="378"/>
      <c r="N12" s="339"/>
      <c r="O12" s="180"/>
      <c r="Q12" s="530" t="str">
        <f>IF(Roster!$N$2=0&amp;"+","",Roster!$N$2)</f>
        <v/>
      </c>
      <c r="R12" s="174"/>
      <c r="S12" s="553"/>
      <c r="T12" s="554"/>
      <c r="U12" s="554"/>
      <c r="V12" s="554"/>
      <c r="W12" s="554"/>
      <c r="X12" s="554"/>
      <c r="Y12" s="554"/>
      <c r="Z12" s="554"/>
      <c r="AA12" s="554"/>
      <c r="AB12" s="554"/>
      <c r="AC12" s="555"/>
      <c r="AD12" s="180"/>
      <c r="AF12" s="530" t="str">
        <f>IF(Roster!$N$3=0&amp;"+","",Roster!$N$3)</f>
        <v>5+</v>
      </c>
      <c r="AG12" s="174"/>
      <c r="AH12" s="544"/>
      <c r="AI12" s="545"/>
      <c r="AJ12" s="545"/>
      <c r="AK12" s="545"/>
      <c r="AL12" s="545"/>
      <c r="AM12" s="545"/>
      <c r="AN12" s="545"/>
      <c r="AO12" s="545"/>
      <c r="AP12" s="545"/>
      <c r="AQ12" s="545"/>
      <c r="AR12" s="546"/>
      <c r="AS12" s="180"/>
      <c r="AU12" s="530" t="str">
        <f>IF(Roster!$N$4=0&amp;"+","",Roster!$N$4)</f>
        <v>5+</v>
      </c>
      <c r="AV12" s="174"/>
      <c r="AW12" s="544"/>
      <c r="AX12" s="545"/>
      <c r="AY12" s="545"/>
      <c r="AZ12" s="545"/>
      <c r="BA12" s="545"/>
      <c r="BB12" s="545"/>
      <c r="BC12" s="545"/>
      <c r="BD12" s="545"/>
      <c r="BE12" s="545"/>
      <c r="BF12" s="545"/>
      <c r="BG12" s="546"/>
      <c r="BH12" s="180"/>
    </row>
    <row r="13" spans="2:60" ht="4.5" customHeight="1" x14ac:dyDescent="0.2">
      <c r="B13" s="515"/>
      <c r="C13" s="175"/>
      <c r="D13" s="557"/>
      <c r="E13" s="385"/>
      <c r="F13" s="558"/>
      <c r="G13" s="179"/>
      <c r="H13" s="557"/>
      <c r="I13" s="385"/>
      <c r="J13" s="558"/>
      <c r="K13" s="179"/>
      <c r="L13" s="557"/>
      <c r="M13" s="385"/>
      <c r="N13" s="558"/>
      <c r="O13" s="180"/>
      <c r="Q13" s="531"/>
      <c r="R13" s="172"/>
      <c r="S13" s="181"/>
      <c r="T13" s="179"/>
      <c r="U13" s="181"/>
      <c r="V13" s="179"/>
      <c r="W13" s="181"/>
      <c r="X13" s="179"/>
      <c r="Y13" s="181"/>
      <c r="Z13" s="179"/>
      <c r="AA13" s="181"/>
      <c r="AB13" s="179"/>
      <c r="AC13" s="181"/>
      <c r="AD13" s="180"/>
      <c r="AF13" s="531"/>
      <c r="AG13" s="172"/>
      <c r="AH13" s="181"/>
      <c r="AI13" s="179"/>
      <c r="AJ13" s="181"/>
      <c r="AK13" s="179"/>
      <c r="AL13" s="181"/>
      <c r="AM13" s="179"/>
      <c r="AN13" s="181"/>
      <c r="AO13" s="179"/>
      <c r="AP13" s="181"/>
      <c r="AQ13" s="179"/>
      <c r="AR13" s="181"/>
      <c r="AS13" s="180"/>
      <c r="AU13" s="531"/>
      <c r="AV13" s="172"/>
      <c r="AW13" s="181"/>
      <c r="AX13" s="179"/>
      <c r="AY13" s="181"/>
      <c r="AZ13" s="179"/>
      <c r="BA13" s="181"/>
      <c r="BB13" s="179"/>
      <c r="BC13" s="181"/>
      <c r="BD13" s="179"/>
      <c r="BE13" s="181"/>
      <c r="BF13" s="179"/>
      <c r="BG13" s="181"/>
      <c r="BH13" s="180"/>
    </row>
    <row r="14" spans="2:60" ht="11.25" customHeight="1" x14ac:dyDescent="0.2">
      <c r="B14" s="515"/>
      <c r="C14" s="175"/>
      <c r="D14" s="557"/>
      <c r="E14" s="385"/>
      <c r="F14" s="558"/>
      <c r="G14" s="179"/>
      <c r="H14" s="557"/>
      <c r="I14" s="385"/>
      <c r="J14" s="558"/>
      <c r="K14" s="179"/>
      <c r="L14" s="557"/>
      <c r="M14" s="385"/>
      <c r="N14" s="558"/>
      <c r="O14" s="180"/>
      <c r="Q14" s="531"/>
      <c r="R14" s="172"/>
      <c r="S14" s="211" t="str">
        <f>IF(Roster!$AD$1=0,"",Roster!$AD$1)</f>
        <v>TD</v>
      </c>
      <c r="T14" s="206"/>
      <c r="U14" s="211" t="str">
        <f>IF(Roster!$K$25="Español","HER",(IF(Roster!$K$25="Deutsch","VER",(IF(Roster!$K$25="Français","BLES","CAS")))))</f>
        <v>CAS</v>
      </c>
      <c r="V14" s="206"/>
      <c r="W14" s="211" t="str">
        <f>IF(Roster!$AG$1=0,"",Roster!$AG$1)</f>
        <v>BH</v>
      </c>
      <c r="X14" s="206"/>
      <c r="Y14" s="211" t="str">
        <f>IF(Roster!$AH$1=0,"",Roster!$AH$1)</f>
        <v>SI</v>
      </c>
      <c r="Z14" s="206"/>
      <c r="AA14" s="211" t="str">
        <f>IF(Roster!$AI$1=0,"",Roster!$AI$1)</f>
        <v>KILL</v>
      </c>
      <c r="AB14" s="206"/>
      <c r="AC14" s="211" t="str">
        <f>IF(Roster!$AC$1=0,"",Roster!$AC$1)</f>
        <v>CP</v>
      </c>
      <c r="AD14" s="180"/>
      <c r="AF14" s="531"/>
      <c r="AG14" s="172"/>
      <c r="AH14" s="211" t="str">
        <f>IF(Roster!$AD$1=0,"",Roster!$AD$1)</f>
        <v>TD</v>
      </c>
      <c r="AI14" s="206"/>
      <c r="AJ14" s="211" t="str">
        <f>IF(Roster!$K$25="Español","HER",(IF(Roster!$K$25="Deutsch","VER",(IF(Roster!$K$25="Français","BLES","CAS")))))</f>
        <v>CAS</v>
      </c>
      <c r="AK14" s="206"/>
      <c r="AL14" s="211" t="str">
        <f>IF(Roster!$AG$1=0,"",Roster!$AG$1)</f>
        <v>BH</v>
      </c>
      <c r="AM14" s="206"/>
      <c r="AN14" s="211" t="str">
        <f>IF(Roster!$AH$1=0,"",Roster!$AH$1)</f>
        <v>SI</v>
      </c>
      <c r="AO14" s="206"/>
      <c r="AP14" s="211" t="str">
        <f>IF(Roster!$AI$1=0,"",Roster!$AI$1)</f>
        <v>KILL</v>
      </c>
      <c r="AQ14" s="206"/>
      <c r="AR14" s="211" t="str">
        <f>IF(Roster!$AC$1=0,"",Roster!$AC$1)</f>
        <v>CP</v>
      </c>
      <c r="AS14" s="180"/>
      <c r="AU14" s="531"/>
      <c r="AV14" s="172"/>
      <c r="AW14" s="211" t="str">
        <f>IF(Roster!$AD$1=0,"",Roster!$AD$1)</f>
        <v>TD</v>
      </c>
      <c r="AX14" s="206"/>
      <c r="AY14" s="211" t="str">
        <f>IF(Roster!$K$25="Español","HER",(IF(Roster!$K$25="Deutsch","VER",(IF(Roster!$K$25="Français","BLES","CAS")))))</f>
        <v>CAS</v>
      </c>
      <c r="AZ14" s="206"/>
      <c r="BA14" s="211" t="str">
        <f>IF(Roster!$AG$1=0,"",Roster!$AG$1)</f>
        <v>BH</v>
      </c>
      <c r="BB14" s="206"/>
      <c r="BC14" s="211" t="str">
        <f>IF(Roster!$AH$1=0,"",Roster!$AH$1)</f>
        <v>SI</v>
      </c>
      <c r="BD14" s="206"/>
      <c r="BE14" s="211" t="str">
        <f>IF(Roster!$AI$1=0,"",Roster!$AI$1)</f>
        <v>KILL</v>
      </c>
      <c r="BF14" s="206"/>
      <c r="BG14" s="211" t="str">
        <f>IF(Roster!$AC$1=0,"",Roster!$AC$1)</f>
        <v>CP</v>
      </c>
      <c r="BH14" s="180"/>
    </row>
    <row r="15" spans="2:60" ht="15" customHeight="1" x14ac:dyDescent="0.2">
      <c r="B15" s="515"/>
      <c r="C15" s="175"/>
      <c r="D15" s="557"/>
      <c r="E15" s="385"/>
      <c r="F15" s="558"/>
      <c r="G15" s="175"/>
      <c r="H15" s="557"/>
      <c r="I15" s="385"/>
      <c r="J15" s="558"/>
      <c r="K15" s="175"/>
      <c r="L15" s="557"/>
      <c r="M15" s="385"/>
      <c r="N15" s="558"/>
      <c r="O15" s="180"/>
      <c r="Q15" s="531"/>
      <c r="R15" s="175"/>
      <c r="S15" s="212" t="str">
        <f>IF(Roster!$AD$2=0,"",Roster!$AD$2)</f>
        <v/>
      </c>
      <c r="T15" s="207"/>
      <c r="U15" s="212" t="str">
        <f>IF((SUM(W15,Y15,AA15))=0,"",(SUM(W15,Y15,AA15)))</f>
        <v/>
      </c>
      <c r="V15" s="207"/>
      <c r="W15" s="212" t="str">
        <f>IF(Roster!$AG$2=0,"",Roster!$AG$2)</f>
        <v/>
      </c>
      <c r="X15" s="207"/>
      <c r="Y15" s="212" t="str">
        <f>IF(Roster!$AH$2=0,"",Roster!$AH$2)</f>
        <v/>
      </c>
      <c r="Z15" s="207"/>
      <c r="AA15" s="212" t="str">
        <f>IF(Roster!$AI$2=0,"",Roster!$AI$2)</f>
        <v/>
      </c>
      <c r="AB15" s="207"/>
      <c r="AC15" s="212" t="str">
        <f>IF(Roster!$AC$2=0,"",Roster!$AC$2)</f>
        <v/>
      </c>
      <c r="AD15" s="180"/>
      <c r="AF15" s="531"/>
      <c r="AG15" s="175"/>
      <c r="AH15" s="212" t="str">
        <f>IF(Roster!$AD$3=0,"",Roster!$AD$3)</f>
        <v/>
      </c>
      <c r="AI15" s="207"/>
      <c r="AJ15" s="212">
        <f>IF((SUM(AL15,AN15,AP15))=0,"",(SUM(AL15,AN15,AP15)))</f>
        <v>1</v>
      </c>
      <c r="AK15" s="207"/>
      <c r="AL15" s="212" t="str">
        <f>IF(Roster!$AG$3=0,"",Roster!$AG$3)</f>
        <v/>
      </c>
      <c r="AM15" s="207"/>
      <c r="AN15" s="212">
        <f>IF(Roster!$AH$3=0,"",Roster!$AH$3)</f>
        <v>1</v>
      </c>
      <c r="AO15" s="207"/>
      <c r="AP15" s="212" t="str">
        <f>IF(Roster!$AI$3=0,"",Roster!$AI$3)</f>
        <v/>
      </c>
      <c r="AQ15" s="207"/>
      <c r="AR15" s="212" t="str">
        <f>IF(Roster!$AC$3=0,"",Roster!$AC$3)</f>
        <v/>
      </c>
      <c r="AS15" s="180"/>
      <c r="AU15" s="531"/>
      <c r="AV15" s="175"/>
      <c r="AW15" s="212" t="str">
        <f>IF(Roster!$AD$4=0,"",Roster!$AD$4)</f>
        <v/>
      </c>
      <c r="AX15" s="207"/>
      <c r="AY15" s="212">
        <f>IF((SUM(BA15,BC15,BE15))=0,"",(SUM(BA15,BC15,BE15)))</f>
        <v>3</v>
      </c>
      <c r="AZ15" s="207"/>
      <c r="BA15" s="212">
        <f>IF(Roster!$AG$4=0,"",Roster!$AG$4)</f>
        <v>3</v>
      </c>
      <c r="BB15" s="207"/>
      <c r="BC15" s="212" t="str">
        <f>IF(Roster!$AH$4=0,"",Roster!$AH$4)</f>
        <v/>
      </c>
      <c r="BD15" s="207"/>
      <c r="BE15" s="212" t="str">
        <f>IF(Roster!$AI$4=0,"",Roster!$AI$4)</f>
        <v/>
      </c>
      <c r="BF15" s="207"/>
      <c r="BG15" s="212" t="str">
        <f>IF(Roster!$AC$4=0,"",Roster!$AC$4)</f>
        <v/>
      </c>
      <c r="BH15" s="180"/>
    </row>
    <row r="16" spans="2:60" ht="4.5" customHeight="1" x14ac:dyDescent="0.2">
      <c r="B16" s="515"/>
      <c r="C16" s="175"/>
      <c r="D16" s="340"/>
      <c r="E16" s="335"/>
      <c r="F16" s="341"/>
      <c r="G16" s="175"/>
      <c r="H16" s="340"/>
      <c r="I16" s="335"/>
      <c r="J16" s="341"/>
      <c r="K16" s="175"/>
      <c r="L16" s="340"/>
      <c r="M16" s="335"/>
      <c r="N16" s="341"/>
      <c r="O16" s="180"/>
      <c r="Q16" s="337"/>
      <c r="R16" s="175"/>
      <c r="S16" s="208"/>
      <c r="T16" s="207"/>
      <c r="U16" s="208"/>
      <c r="V16" s="207"/>
      <c r="W16" s="208"/>
      <c r="X16" s="207"/>
      <c r="Y16" s="208"/>
      <c r="Z16" s="207"/>
      <c r="AA16" s="208"/>
      <c r="AB16" s="207"/>
      <c r="AC16" s="208"/>
      <c r="AD16" s="180"/>
      <c r="AF16" s="337"/>
      <c r="AG16" s="175"/>
      <c r="AH16" s="208"/>
      <c r="AI16" s="207"/>
      <c r="AJ16" s="208"/>
      <c r="AK16" s="207"/>
      <c r="AL16" s="208"/>
      <c r="AM16" s="207"/>
      <c r="AN16" s="208"/>
      <c r="AO16" s="207"/>
      <c r="AP16" s="208"/>
      <c r="AQ16" s="207"/>
      <c r="AR16" s="208"/>
      <c r="AS16" s="180"/>
      <c r="AU16" s="337"/>
      <c r="AV16" s="175"/>
      <c r="AW16" s="208"/>
      <c r="AX16" s="207"/>
      <c r="AY16" s="208"/>
      <c r="AZ16" s="207"/>
      <c r="BA16" s="208"/>
      <c r="BB16" s="207"/>
      <c r="BC16" s="208"/>
      <c r="BD16" s="207"/>
      <c r="BE16" s="208"/>
      <c r="BF16" s="207"/>
      <c r="BG16" s="208"/>
      <c r="BH16" s="180"/>
    </row>
    <row r="17" spans="2:60" ht="11.25" customHeight="1" x14ac:dyDescent="0.2">
      <c r="B17" s="515"/>
      <c r="C17" s="174"/>
      <c r="D17" s="517" t="str">
        <f>IF(Roster!$S$26=0,"",Roster!$S$26)</f>
        <v>SPECIAL CARD</v>
      </c>
      <c r="E17" s="303"/>
      <c r="F17" s="304"/>
      <c r="G17" s="174"/>
      <c r="H17" s="559" t="str">
        <f>IF(Roster!$AE$26=0,"",Roster!$AE$26)</f>
        <v>(IN)FAMOUS COACHES</v>
      </c>
      <c r="I17" s="303"/>
      <c r="J17" s="304"/>
      <c r="K17" s="174"/>
      <c r="L17" s="559" t="str">
        <f>IF(Roster!$AE$27=0,"",Roster!$AE$27)</f>
        <v>(IN)FAMOUS COACHES</v>
      </c>
      <c r="M17" s="303"/>
      <c r="N17" s="304"/>
      <c r="O17" s="169"/>
      <c r="Q17" s="173" t="str">
        <f>IF(Roster!$O$1=0,"",Roster!$O$1)</f>
        <v>AV</v>
      </c>
      <c r="R17" s="174"/>
      <c r="S17" s="211" t="str">
        <f>IF(Roster!$AE$1=0,"",Roster!$AE$1)</f>
        <v>DEF</v>
      </c>
      <c r="T17" s="209"/>
      <c r="U17" s="211" t="str">
        <f>IF(Roster!$AF$1=0,"",Roster!$AF$1)</f>
        <v>INT</v>
      </c>
      <c r="V17" s="209"/>
      <c r="W17" s="211" t="str">
        <f>IF(Roster!$AB$1=0,"",Roster!$AB$1)</f>
        <v>SPE</v>
      </c>
      <c r="X17" s="209"/>
      <c r="Y17" s="211" t="str">
        <f>IF(Roster!$AJ$1=0,"",Roster!$AJ$1)</f>
        <v>MVP</v>
      </c>
      <c r="Z17" s="209"/>
      <c r="AA17" s="214" t="s">
        <v>257</v>
      </c>
      <c r="AB17" s="209"/>
      <c r="AC17" s="213" t="str">
        <f>IF(Roster!$K$25="Español","LPP/RT",(IF(Roster!$K$25="Deutsch","VNS/AD",(IF(Roster!$K$25="Français","RPM/RT","MNG/TR")))))</f>
        <v>MNG/TR</v>
      </c>
      <c r="AD17" s="169"/>
      <c r="AF17" s="173" t="str">
        <f>IF(Roster!$O$1=0,"",Roster!$O$1)</f>
        <v>AV</v>
      </c>
      <c r="AG17" s="174"/>
      <c r="AH17" s="211" t="str">
        <f>IF(Roster!$AE$1=0,"",Roster!$AE$1)</f>
        <v>DEF</v>
      </c>
      <c r="AI17" s="209"/>
      <c r="AJ17" s="211" t="str">
        <f>IF(Roster!$AF$1=0,"",Roster!$AF$1)</f>
        <v>INT</v>
      </c>
      <c r="AK17" s="209"/>
      <c r="AL17" s="211" t="str">
        <f>IF(Roster!$AB$1=0,"",Roster!$AB$1)</f>
        <v>SPE</v>
      </c>
      <c r="AM17" s="209"/>
      <c r="AN17" s="211" t="str">
        <f>IF(Roster!$AJ$1=0,"",Roster!$AJ$1)</f>
        <v>MVP</v>
      </c>
      <c r="AO17" s="209"/>
      <c r="AP17" s="214" t="s">
        <v>257</v>
      </c>
      <c r="AQ17" s="209"/>
      <c r="AR17" s="213" t="str">
        <f>IF(Roster!$K$25="Español","LPP/RT",(IF(Roster!$K$25="Deutsch","VNS/AD",(IF(Roster!$K$25="Français","RPM/RT","MNG/TR")))))</f>
        <v>MNG/TR</v>
      </c>
      <c r="AS17" s="169"/>
      <c r="AU17" s="173" t="str">
        <f>IF(Roster!$O$1=0,"",Roster!$O$1)</f>
        <v>AV</v>
      </c>
      <c r="AV17" s="174"/>
      <c r="AW17" s="211" t="str">
        <f>IF(Roster!$AE$1=0,"",Roster!$AE$1)</f>
        <v>DEF</v>
      </c>
      <c r="AX17" s="209"/>
      <c r="AY17" s="211" t="str">
        <f>IF(Roster!$AF$1=0,"",Roster!$AF$1)</f>
        <v>INT</v>
      </c>
      <c r="AZ17" s="209"/>
      <c r="BA17" s="211" t="str">
        <f>IF(Roster!$AB$1=0,"",Roster!$AB$1)</f>
        <v>SPE</v>
      </c>
      <c r="BB17" s="209"/>
      <c r="BC17" s="211" t="str">
        <f>IF(Roster!$AJ$1=0,"",Roster!$AJ$1)</f>
        <v>MVP</v>
      </c>
      <c r="BD17" s="209"/>
      <c r="BE17" s="214" t="s">
        <v>257</v>
      </c>
      <c r="BF17" s="209"/>
      <c r="BG17" s="213" t="str">
        <f>IF(Roster!$K$25="Español","LPP/RT",(IF(Roster!$K$25="Deutsch","VNS/AD",(IF(Roster!$K$25="Français","RPM/RT","MNG/TR")))))</f>
        <v>MNG/TR</v>
      </c>
      <c r="BH17" s="169"/>
    </row>
    <row r="18" spans="2:60" ht="15" customHeight="1" x14ac:dyDescent="0.2">
      <c r="B18" s="515"/>
      <c r="C18" s="175"/>
      <c r="D18" s="556">
        <f>Roster!$X$26</f>
        <v>0</v>
      </c>
      <c r="E18" s="378"/>
      <c r="F18" s="339"/>
      <c r="G18" s="175"/>
      <c r="H18" s="556">
        <f>Roster!$AJ$26</f>
        <v>0</v>
      </c>
      <c r="I18" s="378"/>
      <c r="J18" s="339"/>
      <c r="K18" s="175"/>
      <c r="L18" s="556">
        <f>Roster!$AJ$27</f>
        <v>0</v>
      </c>
      <c r="M18" s="378"/>
      <c r="N18" s="339"/>
      <c r="O18" s="182"/>
      <c r="Q18" s="530" t="str">
        <f>IF(Roster!$O$2=0&amp;"+","",Roster!$O$2)</f>
        <v/>
      </c>
      <c r="R18" s="175"/>
      <c r="S18" s="212" t="str">
        <f>IF(Roster!$AE$2=0,"",Roster!$AE$2)</f>
        <v/>
      </c>
      <c r="T18" s="207"/>
      <c r="U18" s="212" t="str">
        <f>IF(Roster!$AF$2=0,"",Roster!$AF$2)</f>
        <v/>
      </c>
      <c r="V18" s="207"/>
      <c r="W18" s="212" t="str">
        <f>IF(Roster!$AB$2=0,"",Roster!$AB$2)</f>
        <v/>
      </c>
      <c r="X18" s="207"/>
      <c r="Y18" s="212" t="str">
        <f>IF(Roster!$AJ$2=0,"",Roster!$AJ$2)</f>
        <v/>
      </c>
      <c r="Z18" s="207"/>
      <c r="AA18" s="212" t="str">
        <f>IF(Roster!$AK$2=0,"",Roster!$AK$2)</f>
        <v/>
      </c>
      <c r="AB18" s="207"/>
      <c r="AC18" s="212" t="str">
        <f>IF(Roster!$AA$2=0,"",Roster!$AA$2)</f>
        <v/>
      </c>
      <c r="AD18" s="182"/>
      <c r="AF18" s="530" t="str">
        <f>IF(Roster!$O$3=0&amp;"+","",Roster!$O$3)</f>
        <v>10+</v>
      </c>
      <c r="AG18" s="175"/>
      <c r="AH18" s="212" t="str">
        <f>IF(Roster!$AE$3=0,"",Roster!$AE$3)</f>
        <v/>
      </c>
      <c r="AI18" s="207"/>
      <c r="AJ18" s="212" t="str">
        <f>IF(Roster!$AF$3=0,"",Roster!$AF$3)</f>
        <v/>
      </c>
      <c r="AK18" s="207"/>
      <c r="AL18" s="212" t="str">
        <f>IF(Roster!$AB$3=0,"",Roster!$AB$3)</f>
        <v/>
      </c>
      <c r="AM18" s="207"/>
      <c r="AN18" s="212">
        <f>IF(Roster!$AJ$3=0,"",Roster!$AJ$3)</f>
        <v>1</v>
      </c>
      <c r="AO18" s="207"/>
      <c r="AP18" s="212">
        <f>IF(Roster!$AK$3=0,"",Roster!$AK$3)</f>
        <v>6</v>
      </c>
      <c r="AQ18" s="207"/>
      <c r="AR18" s="212" t="str">
        <f>IF(Roster!$AA$3=0,"",Roster!$AA$3)</f>
        <v/>
      </c>
      <c r="AS18" s="182"/>
      <c r="AU18" s="530" t="str">
        <f>IF(Roster!$O$4=0&amp;"+","",Roster!$O$4)</f>
        <v>10+</v>
      </c>
      <c r="AV18" s="175"/>
      <c r="AW18" s="212" t="str">
        <f>IF(Roster!$AE$4=0,"",Roster!$AE$4)</f>
        <v/>
      </c>
      <c r="AX18" s="207"/>
      <c r="AY18" s="212" t="str">
        <f>IF(Roster!$AF$4=0,"",Roster!$AF$4)</f>
        <v/>
      </c>
      <c r="AZ18" s="207"/>
      <c r="BA18" s="212" t="str">
        <f>IF(Roster!$AB$4=0,"",Roster!$AB$4)</f>
        <v/>
      </c>
      <c r="BB18" s="207"/>
      <c r="BC18" s="212">
        <f>IF(Roster!$AJ$4=0,"",Roster!$AJ$4)</f>
        <v>1</v>
      </c>
      <c r="BD18" s="207"/>
      <c r="BE18" s="212">
        <f>IF(Roster!$AK$4=0,"",Roster!$AK$4)</f>
        <v>10</v>
      </c>
      <c r="BF18" s="207"/>
      <c r="BG18" s="212" t="str">
        <f>IF(Roster!$AA$4=0,"",Roster!$AA$4)</f>
        <v/>
      </c>
      <c r="BH18" s="182"/>
    </row>
    <row r="19" spans="2:60" ht="4.5" customHeight="1" x14ac:dyDescent="0.2">
      <c r="B19" s="515"/>
      <c r="C19" s="175"/>
      <c r="D19" s="557"/>
      <c r="E19" s="385"/>
      <c r="F19" s="558"/>
      <c r="G19" s="175"/>
      <c r="H19" s="557"/>
      <c r="I19" s="385"/>
      <c r="J19" s="558"/>
      <c r="K19" s="175"/>
      <c r="L19" s="557"/>
      <c r="M19" s="385"/>
      <c r="N19" s="558"/>
      <c r="O19" s="182"/>
      <c r="Q19" s="531"/>
      <c r="R19" s="175"/>
      <c r="S19" s="207"/>
      <c r="T19" s="207"/>
      <c r="U19" s="207"/>
      <c r="V19" s="207"/>
      <c r="W19" s="207"/>
      <c r="X19" s="207"/>
      <c r="Y19" s="207"/>
      <c r="Z19" s="207"/>
      <c r="AA19" s="207"/>
      <c r="AB19" s="207"/>
      <c r="AC19" s="210"/>
      <c r="AD19" s="182"/>
      <c r="AF19" s="531"/>
      <c r="AG19" s="175"/>
      <c r="AH19" s="207"/>
      <c r="AI19" s="207"/>
      <c r="AJ19" s="207"/>
      <c r="AK19" s="207"/>
      <c r="AL19" s="207"/>
      <c r="AM19" s="207"/>
      <c r="AN19" s="207"/>
      <c r="AO19" s="207"/>
      <c r="AP19" s="207"/>
      <c r="AQ19" s="207"/>
      <c r="AR19" s="210"/>
      <c r="AS19" s="182"/>
      <c r="AU19" s="531"/>
      <c r="AV19" s="175"/>
      <c r="AW19" s="207"/>
      <c r="AX19" s="207"/>
      <c r="AY19" s="207"/>
      <c r="AZ19" s="207"/>
      <c r="BA19" s="207"/>
      <c r="BB19" s="207"/>
      <c r="BC19" s="207"/>
      <c r="BD19" s="207"/>
      <c r="BE19" s="207"/>
      <c r="BF19" s="207"/>
      <c r="BG19" s="210"/>
      <c r="BH19" s="182"/>
    </row>
    <row r="20" spans="2:60" ht="11.25" customHeight="1" x14ac:dyDescent="0.2">
      <c r="B20" s="515"/>
      <c r="C20" s="175"/>
      <c r="D20" s="557"/>
      <c r="E20" s="385"/>
      <c r="F20" s="558"/>
      <c r="G20" s="183"/>
      <c r="H20" s="557"/>
      <c r="I20" s="385"/>
      <c r="J20" s="558"/>
      <c r="K20" s="183"/>
      <c r="L20" s="557"/>
      <c r="M20" s="385"/>
      <c r="N20" s="558"/>
      <c r="O20" s="182"/>
      <c r="Q20" s="531"/>
      <c r="R20" s="175"/>
      <c r="S20" s="562" t="str">
        <f>IF(Roster!$K$25="Italiano","ABILITÀ &amp; TRATTI",(IF(Roster!$K$25="Español","HABILIDADES Y RASGOS","SKILLS &amp; TRAITS")))</f>
        <v>SKILLS &amp; TRAITS</v>
      </c>
      <c r="T20" s="563"/>
      <c r="U20" s="563"/>
      <c r="V20" s="563"/>
      <c r="W20" s="563"/>
      <c r="X20" s="563"/>
      <c r="Y20" s="563"/>
      <c r="Z20" s="563"/>
      <c r="AA20" s="563"/>
      <c r="AB20" s="563"/>
      <c r="AC20" s="564"/>
      <c r="AD20" s="182"/>
      <c r="AF20" s="531"/>
      <c r="AG20" s="175"/>
      <c r="AH20" s="562" t="str">
        <f>IF(Roster!$K$25="Italiano","ABILITÀ &amp; TRATTI",(IF(Roster!$K$25="Español","HABILIDADES Y RASGOS","SKILLS &amp; TRAITS")))</f>
        <v>SKILLS &amp; TRAITS</v>
      </c>
      <c r="AI20" s="563"/>
      <c r="AJ20" s="563"/>
      <c r="AK20" s="563"/>
      <c r="AL20" s="563"/>
      <c r="AM20" s="563"/>
      <c r="AN20" s="563"/>
      <c r="AO20" s="563"/>
      <c r="AP20" s="563"/>
      <c r="AQ20" s="563"/>
      <c r="AR20" s="564"/>
      <c r="AS20" s="182"/>
      <c r="AU20" s="531"/>
      <c r="AV20" s="175"/>
      <c r="AW20" s="562" t="str">
        <f>IF(Roster!$K$25="Italiano","ABILITÀ &amp; TRATTI",(IF(Roster!$K$25="Español","HABILIDADES Y RASGOS","SKILLS &amp; TRAITS")))</f>
        <v>SKILLS &amp; TRAITS</v>
      </c>
      <c r="AX20" s="563"/>
      <c r="AY20" s="563"/>
      <c r="AZ20" s="563"/>
      <c r="BA20" s="563"/>
      <c r="BB20" s="563"/>
      <c r="BC20" s="563"/>
      <c r="BD20" s="563"/>
      <c r="BE20" s="563"/>
      <c r="BF20" s="563"/>
      <c r="BG20" s="564"/>
      <c r="BH20" s="182"/>
    </row>
    <row r="21" spans="2:60" ht="6.75" customHeight="1" x14ac:dyDescent="0.2">
      <c r="B21" s="515"/>
      <c r="C21" s="175"/>
      <c r="D21" s="340"/>
      <c r="E21" s="335"/>
      <c r="F21" s="341"/>
      <c r="G21" s="184"/>
      <c r="H21" s="340"/>
      <c r="I21" s="335"/>
      <c r="J21" s="341"/>
      <c r="K21" s="184"/>
      <c r="L21" s="340"/>
      <c r="M21" s="335"/>
      <c r="N21" s="341"/>
      <c r="O21" s="182"/>
      <c r="Q21" s="337"/>
      <c r="R21" s="175"/>
      <c r="S21" s="565" t="str">
        <f>IF(Roster!$P$2=0&amp;BF2,"",Roster!$P$2)</f>
        <v/>
      </c>
      <c r="T21" s="490"/>
      <c r="U21" s="490"/>
      <c r="V21" s="490"/>
      <c r="W21" s="490"/>
      <c r="X21" s="490"/>
      <c r="Y21" s="490"/>
      <c r="Z21" s="490"/>
      <c r="AA21" s="490"/>
      <c r="AB21" s="490"/>
      <c r="AC21" s="566"/>
      <c r="AD21" s="182"/>
      <c r="AF21" s="337"/>
      <c r="AG21" s="175"/>
      <c r="AH21" s="565" t="str">
        <f>IF(Roster!$P$3=0&amp;BU3,"",Roster!$P$3)</f>
        <v>Bone Head, Mighty Blow (+1), Thick Skull, Throw Team-mate, Stand Firm</v>
      </c>
      <c r="AI21" s="490"/>
      <c r="AJ21" s="490"/>
      <c r="AK21" s="490"/>
      <c r="AL21" s="490"/>
      <c r="AM21" s="490"/>
      <c r="AN21" s="490"/>
      <c r="AO21" s="490"/>
      <c r="AP21" s="490"/>
      <c r="AQ21" s="490"/>
      <c r="AR21" s="566"/>
      <c r="AS21" s="182"/>
      <c r="AU21" s="337"/>
      <c r="AV21" s="175"/>
      <c r="AW21" s="565" t="str">
        <f>IF(Roster!$P$4=0&amp;CJ4,"",Roster!$P$4)</f>
        <v>Bone Head, Mighty Blow (+1), Thick Skull, Throw Team-mate, Pile Diver, Guard</v>
      </c>
      <c r="AX21" s="490"/>
      <c r="AY21" s="490"/>
      <c r="AZ21" s="490"/>
      <c r="BA21" s="490"/>
      <c r="BB21" s="490"/>
      <c r="BC21" s="490"/>
      <c r="BD21" s="490"/>
      <c r="BE21" s="490"/>
      <c r="BF21" s="490"/>
      <c r="BG21" s="566"/>
      <c r="BH21" s="182"/>
    </row>
    <row r="22" spans="2:60" ht="11.25" customHeight="1" x14ac:dyDescent="0.2">
      <c r="B22" s="515"/>
      <c r="C22" s="171"/>
      <c r="D22" s="559" t="str">
        <f>IF(Roster!$AE$28=0,"",Roster!$AE$28)</f>
        <v>BIASED REFEREE</v>
      </c>
      <c r="E22" s="303"/>
      <c r="F22" s="304"/>
      <c r="G22" s="184"/>
      <c r="H22" s="559" t="str">
        <f>IF(Roster!$AE$29=0,"",Roster!$AE$29)</f>
        <v>OTHER INDUCEMENTS</v>
      </c>
      <c r="I22" s="303"/>
      <c r="J22" s="304"/>
      <c r="K22" s="184"/>
      <c r="L22" s="517" t="str">
        <f>IF(Roster!$AE$31=0,"",Roster!$AE$31)</f>
        <v>WANDERING APO</v>
      </c>
      <c r="M22" s="303"/>
      <c r="N22" s="304"/>
      <c r="O22" s="185"/>
      <c r="Q22" s="173" t="str">
        <f>IF(Roster!$AO$1=0,"",Roster!$AO$1)</f>
        <v>COST</v>
      </c>
      <c r="R22" s="174"/>
      <c r="S22" s="567"/>
      <c r="T22" s="568"/>
      <c r="U22" s="568"/>
      <c r="V22" s="568"/>
      <c r="W22" s="568"/>
      <c r="X22" s="568"/>
      <c r="Y22" s="568"/>
      <c r="Z22" s="568"/>
      <c r="AA22" s="568"/>
      <c r="AB22" s="568"/>
      <c r="AC22" s="566"/>
      <c r="AD22" s="185"/>
      <c r="AF22" s="173" t="str">
        <f>IF(Roster!$AO$1=0,"",Roster!$AO$1)</f>
        <v>COST</v>
      </c>
      <c r="AG22" s="174"/>
      <c r="AH22" s="567"/>
      <c r="AI22" s="568"/>
      <c r="AJ22" s="568"/>
      <c r="AK22" s="568"/>
      <c r="AL22" s="568"/>
      <c r="AM22" s="568"/>
      <c r="AN22" s="568"/>
      <c r="AO22" s="568"/>
      <c r="AP22" s="568"/>
      <c r="AQ22" s="568"/>
      <c r="AR22" s="566"/>
      <c r="AS22" s="185"/>
      <c r="AU22" s="173" t="str">
        <f>IF(Roster!$AO$1=0,"",Roster!$AO$1)</f>
        <v>COST</v>
      </c>
      <c r="AV22" s="174"/>
      <c r="AW22" s="567"/>
      <c r="AX22" s="568"/>
      <c r="AY22" s="568"/>
      <c r="AZ22" s="568"/>
      <c r="BA22" s="568"/>
      <c r="BB22" s="568"/>
      <c r="BC22" s="568"/>
      <c r="BD22" s="568"/>
      <c r="BE22" s="568"/>
      <c r="BF22" s="568"/>
      <c r="BG22" s="566"/>
      <c r="BH22" s="185"/>
    </row>
    <row r="23" spans="2:60" ht="34.5" customHeight="1" x14ac:dyDescent="0.2">
      <c r="B23" s="516"/>
      <c r="C23" s="186"/>
      <c r="D23" s="573">
        <f>Roster!$AJ$28</f>
        <v>0</v>
      </c>
      <c r="E23" s="300"/>
      <c r="F23" s="301"/>
      <c r="G23" s="184"/>
      <c r="H23" s="573">
        <f>Roster!$AJ$29</f>
        <v>0</v>
      </c>
      <c r="I23" s="300"/>
      <c r="J23" s="301"/>
      <c r="K23" s="184"/>
      <c r="L23" s="573">
        <f>Roster!$AJ$31</f>
        <v>0</v>
      </c>
      <c r="M23" s="300"/>
      <c r="N23" s="301"/>
      <c r="O23" s="185"/>
      <c r="Q23" s="187" t="str">
        <f>IF(Roster!$AO$2=0,"",Roster!$AO$2)</f>
        <v/>
      </c>
      <c r="R23" s="188"/>
      <c r="S23" s="569"/>
      <c r="T23" s="570"/>
      <c r="U23" s="570"/>
      <c r="V23" s="570"/>
      <c r="W23" s="570"/>
      <c r="X23" s="570"/>
      <c r="Y23" s="570"/>
      <c r="Z23" s="570"/>
      <c r="AA23" s="570"/>
      <c r="AB23" s="570"/>
      <c r="AC23" s="571"/>
      <c r="AD23" s="185"/>
      <c r="AF23" s="187">
        <f>IF(Roster!$AO$3=0,"",Roster!$AO$3)</f>
        <v>150000</v>
      </c>
      <c r="AG23" s="188"/>
      <c r="AH23" s="569"/>
      <c r="AI23" s="570"/>
      <c r="AJ23" s="570"/>
      <c r="AK23" s="570"/>
      <c r="AL23" s="570"/>
      <c r="AM23" s="570"/>
      <c r="AN23" s="570"/>
      <c r="AO23" s="570"/>
      <c r="AP23" s="570"/>
      <c r="AQ23" s="570"/>
      <c r="AR23" s="571"/>
      <c r="AS23" s="185"/>
      <c r="AU23" s="187">
        <f>IF(Roster!$AO$4=0,"",Roster!$AO$4)</f>
        <v>160000</v>
      </c>
      <c r="AV23" s="188"/>
      <c r="AW23" s="569"/>
      <c r="AX23" s="570"/>
      <c r="AY23" s="570"/>
      <c r="AZ23" s="570"/>
      <c r="BA23" s="570"/>
      <c r="BB23" s="570"/>
      <c r="BC23" s="570"/>
      <c r="BD23" s="570"/>
      <c r="BE23" s="570"/>
      <c r="BF23" s="570"/>
      <c r="BG23" s="571"/>
      <c r="BH23" s="185"/>
    </row>
    <row r="24" spans="2:60" ht="4.5" customHeight="1" x14ac:dyDescent="0.2">
      <c r="B24" s="572"/>
      <c r="C24" s="334"/>
      <c r="D24" s="334"/>
      <c r="E24" s="334"/>
      <c r="F24" s="334"/>
      <c r="G24" s="334"/>
      <c r="H24" s="334"/>
      <c r="I24" s="334"/>
      <c r="J24" s="334"/>
      <c r="K24" s="334"/>
      <c r="L24" s="334"/>
      <c r="M24" s="334"/>
      <c r="N24" s="336"/>
      <c r="O24" s="189"/>
      <c r="Q24" s="572"/>
      <c r="R24" s="334"/>
      <c r="S24" s="334"/>
      <c r="T24" s="334"/>
      <c r="U24" s="334"/>
      <c r="V24" s="334"/>
      <c r="W24" s="334"/>
      <c r="X24" s="334"/>
      <c r="Y24" s="334"/>
      <c r="Z24" s="334"/>
      <c r="AA24" s="334"/>
      <c r="AB24" s="334"/>
      <c r="AC24" s="336"/>
      <c r="AD24" s="189"/>
      <c r="AF24" s="572"/>
      <c r="AG24" s="334"/>
      <c r="AH24" s="334"/>
      <c r="AI24" s="334"/>
      <c r="AJ24" s="334"/>
      <c r="AK24" s="334"/>
      <c r="AL24" s="334"/>
      <c r="AM24" s="334"/>
      <c r="AN24" s="334"/>
      <c r="AO24" s="334"/>
      <c r="AP24" s="334"/>
      <c r="AQ24" s="334"/>
      <c r="AR24" s="336"/>
      <c r="AS24" s="189"/>
      <c r="AU24" s="572"/>
      <c r="AV24" s="334"/>
      <c r="AW24" s="334"/>
      <c r="AX24" s="334"/>
      <c r="AY24" s="334"/>
      <c r="AZ24" s="334"/>
      <c r="BA24" s="334"/>
      <c r="BB24" s="334"/>
      <c r="BC24" s="334"/>
      <c r="BD24" s="334"/>
      <c r="BE24" s="334"/>
      <c r="BF24" s="334"/>
      <c r="BG24" s="336"/>
      <c r="BH24" s="189"/>
    </row>
    <row r="25" spans="2:60" ht="11.25" customHeight="1" x14ac:dyDescent="0.2"/>
    <row r="26" spans="2:60" ht="4.5" customHeight="1" x14ac:dyDescent="0.2">
      <c r="B26" s="514" t="str">
        <f>IF(Roster!$A$5=0,"","#"&amp;Roster!$A$5)</f>
        <v>#4</v>
      </c>
      <c r="C26" s="167"/>
      <c r="D26" s="167"/>
      <c r="E26" s="167"/>
      <c r="F26" s="167"/>
      <c r="G26" s="167"/>
      <c r="H26" s="167"/>
      <c r="I26" s="167"/>
      <c r="J26" s="167"/>
      <c r="K26" s="167"/>
      <c r="L26" s="167"/>
      <c r="M26" s="167"/>
      <c r="N26" s="167"/>
      <c r="O26" s="168"/>
      <c r="Q26" s="514" t="str">
        <f>IF(Roster!$A$6=0,"","#"&amp;Roster!$A$6)</f>
        <v>#5</v>
      </c>
      <c r="R26" s="167"/>
      <c r="S26" s="167"/>
      <c r="T26" s="167"/>
      <c r="U26" s="167"/>
      <c r="V26" s="167"/>
      <c r="W26" s="167"/>
      <c r="X26" s="167"/>
      <c r="Y26" s="167"/>
      <c r="Z26" s="167"/>
      <c r="AA26" s="167"/>
      <c r="AB26" s="167"/>
      <c r="AC26" s="167"/>
      <c r="AD26" s="168"/>
      <c r="AF26" s="514" t="str">
        <f>IF(Roster!$A$7=0,"","#"&amp;Roster!$A$7)</f>
        <v>#6</v>
      </c>
      <c r="AG26" s="167"/>
      <c r="AH26" s="167"/>
      <c r="AI26" s="167"/>
      <c r="AJ26" s="167"/>
      <c r="AK26" s="167"/>
      <c r="AL26" s="167"/>
      <c r="AM26" s="167"/>
      <c r="AN26" s="167"/>
      <c r="AO26" s="167"/>
      <c r="AP26" s="167"/>
      <c r="AQ26" s="167"/>
      <c r="AR26" s="167"/>
      <c r="AS26" s="168"/>
      <c r="AU26" s="514" t="str">
        <f>IF(Roster!$A$8=0,"","#"&amp;Roster!$A$8)</f>
        <v>#7</v>
      </c>
      <c r="AV26" s="167"/>
      <c r="AW26" s="167"/>
      <c r="AX26" s="167"/>
      <c r="AY26" s="167"/>
      <c r="AZ26" s="167"/>
      <c r="BA26" s="167"/>
      <c r="BB26" s="167"/>
      <c r="BC26" s="167"/>
      <c r="BD26" s="167"/>
      <c r="BE26" s="167"/>
      <c r="BF26" s="167"/>
      <c r="BG26" s="167"/>
      <c r="BH26" s="168"/>
    </row>
    <row r="27" spans="2:60" ht="15" customHeight="1" x14ac:dyDescent="0.25">
      <c r="B27" s="515"/>
      <c r="C27" s="537" t="str">
        <f>IF(Roster!$B$5=0,"",Roster!$B$5)</f>
        <v>Ndonio</v>
      </c>
      <c r="D27" s="303"/>
      <c r="E27" s="303"/>
      <c r="F27" s="303"/>
      <c r="G27" s="303"/>
      <c r="H27" s="303"/>
      <c r="I27" s="303"/>
      <c r="J27" s="303"/>
      <c r="K27" s="303"/>
      <c r="L27" s="303"/>
      <c r="M27" s="303"/>
      <c r="N27" s="304"/>
      <c r="O27" s="169"/>
      <c r="Q27" s="515"/>
      <c r="R27" s="537" t="str">
        <f>IF(Roster!$B$6=0,"",Roster!$B$6)</f>
        <v>Naggitto</v>
      </c>
      <c r="S27" s="303"/>
      <c r="T27" s="303"/>
      <c r="U27" s="303"/>
      <c r="V27" s="303"/>
      <c r="W27" s="303"/>
      <c r="X27" s="303"/>
      <c r="Y27" s="303"/>
      <c r="Z27" s="303"/>
      <c r="AA27" s="303"/>
      <c r="AB27" s="303"/>
      <c r="AC27" s="304"/>
      <c r="AD27" s="169"/>
      <c r="AF27" s="515"/>
      <c r="AG27" s="537" t="str">
        <f>IF(Roster!$B$7=0,"",Roster!$B$7)</f>
        <v>Iasso</v>
      </c>
      <c r="AH27" s="303"/>
      <c r="AI27" s="303"/>
      <c r="AJ27" s="303"/>
      <c r="AK27" s="303"/>
      <c r="AL27" s="303"/>
      <c r="AM27" s="303"/>
      <c r="AN27" s="303"/>
      <c r="AO27" s="303"/>
      <c r="AP27" s="303"/>
      <c r="AQ27" s="303"/>
      <c r="AR27" s="304"/>
      <c r="AS27" s="169"/>
      <c r="AU27" s="515"/>
      <c r="AV27" s="537" t="str">
        <f>IF(Roster!$B$8=0,"",Roster!$B$8)</f>
        <v>Aitano</v>
      </c>
      <c r="AW27" s="303"/>
      <c r="AX27" s="303"/>
      <c r="AY27" s="303"/>
      <c r="AZ27" s="303"/>
      <c r="BA27" s="303"/>
      <c r="BB27" s="303"/>
      <c r="BC27" s="303"/>
      <c r="BD27" s="303"/>
      <c r="BE27" s="303"/>
      <c r="BF27" s="303"/>
      <c r="BG27" s="304"/>
      <c r="BH27" s="169"/>
    </row>
    <row r="28" spans="2:60" ht="11.25" customHeight="1" x14ac:dyDescent="0.2">
      <c r="B28" s="516"/>
      <c r="C28" s="517" t="str">
        <f>IF(Roster!$D$5=0,"",Roster!$D$5)</f>
        <v xml:space="preserve">Ogre </v>
      </c>
      <c r="D28" s="303"/>
      <c r="E28" s="303"/>
      <c r="F28" s="303"/>
      <c r="G28" s="303"/>
      <c r="H28" s="303"/>
      <c r="I28" s="303"/>
      <c r="J28" s="303"/>
      <c r="K28" s="303"/>
      <c r="L28" s="303"/>
      <c r="M28" s="303"/>
      <c r="N28" s="304"/>
      <c r="O28" s="170"/>
      <c r="Q28" s="516"/>
      <c r="R28" s="517" t="str">
        <f>IF(Roster!$D$6=0,"",Roster!$D$6)</f>
        <v xml:space="preserve">Ogre </v>
      </c>
      <c r="S28" s="303"/>
      <c r="T28" s="303"/>
      <c r="U28" s="303"/>
      <c r="V28" s="303"/>
      <c r="W28" s="303"/>
      <c r="X28" s="303"/>
      <c r="Y28" s="303"/>
      <c r="Z28" s="303"/>
      <c r="AA28" s="303"/>
      <c r="AB28" s="303"/>
      <c r="AC28" s="304"/>
      <c r="AD28" s="170"/>
      <c r="AF28" s="516"/>
      <c r="AG28" s="517" t="str">
        <f>IF(Roster!$D$7=0,"",Roster!$D$7)</f>
        <v xml:space="preserve">Ogre </v>
      </c>
      <c r="AH28" s="303"/>
      <c r="AI28" s="303"/>
      <c r="AJ28" s="303"/>
      <c r="AK28" s="303"/>
      <c r="AL28" s="303"/>
      <c r="AM28" s="303"/>
      <c r="AN28" s="303"/>
      <c r="AO28" s="303"/>
      <c r="AP28" s="303"/>
      <c r="AQ28" s="303"/>
      <c r="AR28" s="304"/>
      <c r="AS28" s="170"/>
      <c r="AU28" s="516"/>
      <c r="AV28" s="517" t="str">
        <f>IF(Roster!$D$8=0,"",Roster!$D$8)</f>
        <v>Gnoblar</v>
      </c>
      <c r="AW28" s="303"/>
      <c r="AX28" s="303"/>
      <c r="AY28" s="303"/>
      <c r="AZ28" s="303"/>
      <c r="BA28" s="303"/>
      <c r="BB28" s="303"/>
      <c r="BC28" s="303"/>
      <c r="BD28" s="303"/>
      <c r="BE28" s="303"/>
      <c r="BF28" s="303"/>
      <c r="BG28" s="304"/>
      <c r="BH28" s="170"/>
    </row>
    <row r="29" spans="2:60" ht="11.25" customHeight="1" x14ac:dyDescent="0.2">
      <c r="B29" s="173" t="str">
        <f>IF(Roster!$K$1=0,"",Roster!$K$1)</f>
        <v>MA</v>
      </c>
      <c r="C29" s="174"/>
      <c r="D29" s="174"/>
      <c r="E29" s="174"/>
      <c r="F29" s="174"/>
      <c r="G29" s="174"/>
      <c r="H29" s="174"/>
      <c r="I29" s="174"/>
      <c r="J29" s="174"/>
      <c r="K29" s="174"/>
      <c r="L29" s="174"/>
      <c r="M29" s="174"/>
      <c r="N29" s="174"/>
      <c r="O29" s="169"/>
      <c r="Q29" s="173" t="str">
        <f>IF(Roster!$K$1=0,"",Roster!$K$1)</f>
        <v>MA</v>
      </c>
      <c r="R29" s="174"/>
      <c r="S29" s="174"/>
      <c r="T29" s="174"/>
      <c r="U29" s="174"/>
      <c r="V29" s="174"/>
      <c r="W29" s="174"/>
      <c r="X29" s="174"/>
      <c r="Y29" s="174"/>
      <c r="Z29" s="174"/>
      <c r="AA29" s="174"/>
      <c r="AB29" s="174"/>
      <c r="AC29" s="174"/>
      <c r="AD29" s="169"/>
      <c r="AF29" s="173" t="str">
        <f>IF(Roster!$K$1=0,"",Roster!$K$1)</f>
        <v>MA</v>
      </c>
      <c r="AG29" s="174"/>
      <c r="AH29" s="174"/>
      <c r="AI29" s="174"/>
      <c r="AJ29" s="174"/>
      <c r="AK29" s="174"/>
      <c r="AL29" s="174"/>
      <c r="AM29" s="174"/>
      <c r="AN29" s="174"/>
      <c r="AO29" s="174"/>
      <c r="AP29" s="174"/>
      <c r="AQ29" s="174"/>
      <c r="AR29" s="174"/>
      <c r="AS29" s="169"/>
      <c r="AU29" s="173" t="str">
        <f>IF(Roster!$K$1=0,"",Roster!$K$1)</f>
        <v>MA</v>
      </c>
      <c r="AV29" s="174"/>
      <c r="AW29" s="174"/>
      <c r="AX29" s="174"/>
      <c r="AY29" s="174"/>
      <c r="AZ29" s="174"/>
      <c r="BA29" s="174"/>
      <c r="BB29" s="174"/>
      <c r="BC29" s="174"/>
      <c r="BD29" s="174"/>
      <c r="BE29" s="174"/>
      <c r="BF29" s="174"/>
      <c r="BG29" s="174"/>
      <c r="BH29" s="169"/>
    </row>
    <row r="30" spans="2:60" ht="37.5" customHeight="1" x14ac:dyDescent="0.2">
      <c r="B30" s="176">
        <f>IF(Roster!$K$5=0,"",Roster!$K$5)</f>
        <v>5</v>
      </c>
      <c r="C30" s="174"/>
      <c r="D30" s="538"/>
      <c r="E30" s="539"/>
      <c r="F30" s="539"/>
      <c r="G30" s="539"/>
      <c r="H30" s="539"/>
      <c r="I30" s="539"/>
      <c r="J30" s="539"/>
      <c r="K30" s="539"/>
      <c r="L30" s="539"/>
      <c r="M30" s="539"/>
      <c r="N30" s="540"/>
      <c r="O30" s="169"/>
      <c r="Q30" s="176">
        <f>IF(Roster!$K$6=0,"",Roster!$K$6)</f>
        <v>5</v>
      </c>
      <c r="R30" s="174"/>
      <c r="S30" s="538"/>
      <c r="T30" s="539"/>
      <c r="U30" s="539"/>
      <c r="V30" s="539"/>
      <c r="W30" s="539"/>
      <c r="X30" s="539"/>
      <c r="Y30" s="539"/>
      <c r="Z30" s="539"/>
      <c r="AA30" s="539"/>
      <c r="AB30" s="539"/>
      <c r="AC30" s="540"/>
      <c r="AD30" s="169"/>
      <c r="AF30" s="176">
        <f>IF(Roster!$K$7=0,"",Roster!$K$7)</f>
        <v>5</v>
      </c>
      <c r="AG30" s="174"/>
      <c r="AH30" s="538"/>
      <c r="AI30" s="539"/>
      <c r="AJ30" s="539"/>
      <c r="AK30" s="539"/>
      <c r="AL30" s="539"/>
      <c r="AM30" s="539"/>
      <c r="AN30" s="539"/>
      <c r="AO30" s="539"/>
      <c r="AP30" s="539"/>
      <c r="AQ30" s="539"/>
      <c r="AR30" s="540"/>
      <c r="AS30" s="169"/>
      <c r="AU30" s="176">
        <f>IF(Roster!$K$8=0,"",Roster!$K$8)</f>
        <v>5</v>
      </c>
      <c r="AV30" s="174"/>
      <c r="AW30" s="538"/>
      <c r="AX30" s="539"/>
      <c r="AY30" s="539"/>
      <c r="AZ30" s="539"/>
      <c r="BA30" s="539"/>
      <c r="BB30" s="539"/>
      <c r="BC30" s="539"/>
      <c r="BD30" s="539"/>
      <c r="BE30" s="539"/>
      <c r="BF30" s="539"/>
      <c r="BG30" s="540"/>
      <c r="BH30" s="169"/>
    </row>
    <row r="31" spans="2:60" ht="11.25" customHeight="1" x14ac:dyDescent="0.2">
      <c r="B31" s="173" t="str">
        <f>IF(Roster!$L$1=0,"",Roster!$L$1)</f>
        <v>ST</v>
      </c>
      <c r="C31" s="174"/>
      <c r="D31" s="541"/>
      <c r="E31" s="542"/>
      <c r="F31" s="542"/>
      <c r="G31" s="542"/>
      <c r="H31" s="542"/>
      <c r="I31" s="542"/>
      <c r="J31" s="542"/>
      <c r="K31" s="542"/>
      <c r="L31" s="542"/>
      <c r="M31" s="542"/>
      <c r="N31" s="543"/>
      <c r="O31" s="169"/>
      <c r="Q31" s="173" t="str">
        <f>IF(Roster!$L$1=0,"",Roster!$L$1)</f>
        <v>ST</v>
      </c>
      <c r="R31" s="174"/>
      <c r="S31" s="541"/>
      <c r="T31" s="542"/>
      <c r="U31" s="542"/>
      <c r="V31" s="542"/>
      <c r="W31" s="542"/>
      <c r="X31" s="542"/>
      <c r="Y31" s="542"/>
      <c r="Z31" s="542"/>
      <c r="AA31" s="542"/>
      <c r="AB31" s="542"/>
      <c r="AC31" s="543"/>
      <c r="AD31" s="169"/>
      <c r="AF31" s="173" t="str">
        <f>IF(Roster!$L$1=0,"",Roster!$L$1)</f>
        <v>ST</v>
      </c>
      <c r="AG31" s="174"/>
      <c r="AH31" s="541"/>
      <c r="AI31" s="542"/>
      <c r="AJ31" s="542"/>
      <c r="AK31" s="542"/>
      <c r="AL31" s="542"/>
      <c r="AM31" s="542"/>
      <c r="AN31" s="542"/>
      <c r="AO31" s="542"/>
      <c r="AP31" s="542"/>
      <c r="AQ31" s="542"/>
      <c r="AR31" s="543"/>
      <c r="AS31" s="169"/>
      <c r="AU31" s="173" t="str">
        <f>IF(Roster!$L$1=0,"",Roster!$L$1)</f>
        <v>ST</v>
      </c>
      <c r="AV31" s="174"/>
      <c r="AW31" s="541"/>
      <c r="AX31" s="542"/>
      <c r="AY31" s="542"/>
      <c r="AZ31" s="542"/>
      <c r="BA31" s="542"/>
      <c r="BB31" s="542"/>
      <c r="BC31" s="542"/>
      <c r="BD31" s="542"/>
      <c r="BE31" s="542"/>
      <c r="BF31" s="542"/>
      <c r="BG31" s="543"/>
      <c r="BH31" s="169"/>
    </row>
    <row r="32" spans="2:60" ht="37.5" customHeight="1" x14ac:dyDescent="0.2">
      <c r="B32" s="176">
        <f>IF(Roster!$L$5=0,"",Roster!$L$5)</f>
        <v>5</v>
      </c>
      <c r="C32" s="174"/>
      <c r="D32" s="541"/>
      <c r="E32" s="542"/>
      <c r="F32" s="542"/>
      <c r="G32" s="542"/>
      <c r="H32" s="542"/>
      <c r="I32" s="542"/>
      <c r="J32" s="542"/>
      <c r="K32" s="542"/>
      <c r="L32" s="542"/>
      <c r="M32" s="542"/>
      <c r="N32" s="543"/>
      <c r="O32" s="169"/>
      <c r="Q32" s="176">
        <f>IF(Roster!$L$6=0,"",Roster!$L$6)</f>
        <v>5</v>
      </c>
      <c r="R32" s="174"/>
      <c r="S32" s="541"/>
      <c r="T32" s="542"/>
      <c r="U32" s="542"/>
      <c r="V32" s="542"/>
      <c r="W32" s="542"/>
      <c r="X32" s="542"/>
      <c r="Y32" s="542"/>
      <c r="Z32" s="542"/>
      <c r="AA32" s="542"/>
      <c r="AB32" s="542"/>
      <c r="AC32" s="543"/>
      <c r="AD32" s="169"/>
      <c r="AF32" s="176">
        <f>IF(Roster!$L$7=0,"",Roster!$L$7)</f>
        <v>5</v>
      </c>
      <c r="AG32" s="174"/>
      <c r="AH32" s="541"/>
      <c r="AI32" s="542"/>
      <c r="AJ32" s="542"/>
      <c r="AK32" s="542"/>
      <c r="AL32" s="542"/>
      <c r="AM32" s="542"/>
      <c r="AN32" s="542"/>
      <c r="AO32" s="542"/>
      <c r="AP32" s="542"/>
      <c r="AQ32" s="542"/>
      <c r="AR32" s="543"/>
      <c r="AS32" s="169"/>
      <c r="AU32" s="176">
        <f>IF(Roster!$L$8=0,"",Roster!$L$8)</f>
        <v>1</v>
      </c>
      <c r="AV32" s="174"/>
      <c r="AW32" s="541"/>
      <c r="AX32" s="542"/>
      <c r="AY32" s="542"/>
      <c r="AZ32" s="542"/>
      <c r="BA32" s="542"/>
      <c r="BB32" s="542"/>
      <c r="BC32" s="542"/>
      <c r="BD32" s="542"/>
      <c r="BE32" s="542"/>
      <c r="BF32" s="542"/>
      <c r="BG32" s="543"/>
      <c r="BH32" s="169"/>
    </row>
    <row r="33" spans="2:60" ht="11.25" customHeight="1" x14ac:dyDescent="0.2">
      <c r="B33" s="173" t="str">
        <f>IF(Roster!$M$1=0,"",Roster!$M$1)</f>
        <v>AG</v>
      </c>
      <c r="C33" s="174"/>
      <c r="D33" s="541"/>
      <c r="E33" s="542"/>
      <c r="F33" s="542"/>
      <c r="G33" s="542"/>
      <c r="H33" s="542"/>
      <c r="I33" s="542"/>
      <c r="J33" s="542"/>
      <c r="K33" s="542"/>
      <c r="L33" s="542"/>
      <c r="M33" s="542"/>
      <c r="N33" s="543"/>
      <c r="O33" s="169"/>
      <c r="Q33" s="173" t="str">
        <f>IF(Roster!$M$1=0,"",Roster!$M$1)</f>
        <v>AG</v>
      </c>
      <c r="R33" s="174"/>
      <c r="S33" s="541"/>
      <c r="T33" s="542"/>
      <c r="U33" s="542"/>
      <c r="V33" s="542"/>
      <c r="W33" s="542"/>
      <c r="X33" s="542"/>
      <c r="Y33" s="542"/>
      <c r="Z33" s="542"/>
      <c r="AA33" s="542"/>
      <c r="AB33" s="542"/>
      <c r="AC33" s="543"/>
      <c r="AD33" s="169"/>
      <c r="AF33" s="173" t="str">
        <f>IF(Roster!$M$1=0,"",Roster!$M$1)</f>
        <v>AG</v>
      </c>
      <c r="AG33" s="174"/>
      <c r="AH33" s="541"/>
      <c r="AI33" s="542"/>
      <c r="AJ33" s="542"/>
      <c r="AK33" s="542"/>
      <c r="AL33" s="542"/>
      <c r="AM33" s="542"/>
      <c r="AN33" s="542"/>
      <c r="AO33" s="542"/>
      <c r="AP33" s="542"/>
      <c r="AQ33" s="542"/>
      <c r="AR33" s="543"/>
      <c r="AS33" s="169"/>
      <c r="AU33" s="173" t="str">
        <f>IF(Roster!$M$1=0,"",Roster!$M$1)</f>
        <v>AG</v>
      </c>
      <c r="AV33" s="174"/>
      <c r="AW33" s="541"/>
      <c r="AX33" s="542"/>
      <c r="AY33" s="542"/>
      <c r="AZ33" s="542"/>
      <c r="BA33" s="542"/>
      <c r="BB33" s="542"/>
      <c r="BC33" s="542"/>
      <c r="BD33" s="542"/>
      <c r="BE33" s="542"/>
      <c r="BF33" s="542"/>
      <c r="BG33" s="543"/>
      <c r="BH33" s="169"/>
    </row>
    <row r="34" spans="2:60" ht="37.5" customHeight="1" x14ac:dyDescent="0.2">
      <c r="B34" s="176" t="str">
        <f>IF(Roster!$M$5=0&amp;"+","",Roster!$M$5)</f>
        <v>4+</v>
      </c>
      <c r="C34" s="174"/>
      <c r="D34" s="541"/>
      <c r="E34" s="542"/>
      <c r="F34" s="542"/>
      <c r="G34" s="542"/>
      <c r="H34" s="542"/>
      <c r="I34" s="542"/>
      <c r="J34" s="542"/>
      <c r="K34" s="542"/>
      <c r="L34" s="542"/>
      <c r="M34" s="542"/>
      <c r="N34" s="543"/>
      <c r="O34" s="169"/>
      <c r="Q34" s="176" t="str">
        <f>IF(Roster!$M$6=0&amp;"+","",Roster!$M$6)</f>
        <v>4+</v>
      </c>
      <c r="R34" s="174"/>
      <c r="S34" s="541"/>
      <c r="T34" s="542"/>
      <c r="U34" s="542"/>
      <c r="V34" s="542"/>
      <c r="W34" s="542"/>
      <c r="X34" s="542"/>
      <c r="Y34" s="542"/>
      <c r="Z34" s="542"/>
      <c r="AA34" s="542"/>
      <c r="AB34" s="542"/>
      <c r="AC34" s="543"/>
      <c r="AD34" s="169"/>
      <c r="AF34" s="176" t="str">
        <f>IF(Roster!$M$7=0&amp;"+","",Roster!$M$7)</f>
        <v>4+</v>
      </c>
      <c r="AG34" s="174"/>
      <c r="AH34" s="541"/>
      <c r="AI34" s="542"/>
      <c r="AJ34" s="542"/>
      <c r="AK34" s="542"/>
      <c r="AL34" s="542"/>
      <c r="AM34" s="542"/>
      <c r="AN34" s="542"/>
      <c r="AO34" s="542"/>
      <c r="AP34" s="542"/>
      <c r="AQ34" s="542"/>
      <c r="AR34" s="543"/>
      <c r="AS34" s="169"/>
      <c r="AU34" s="176" t="str">
        <f>IF(Roster!$M$8=0&amp;"+","",Roster!$M$8)</f>
        <v>3+</v>
      </c>
      <c r="AV34" s="174"/>
      <c r="AW34" s="541"/>
      <c r="AX34" s="542"/>
      <c r="AY34" s="542"/>
      <c r="AZ34" s="542"/>
      <c r="BA34" s="542"/>
      <c r="BB34" s="542"/>
      <c r="BC34" s="542"/>
      <c r="BD34" s="542"/>
      <c r="BE34" s="542"/>
      <c r="BF34" s="542"/>
      <c r="BG34" s="543"/>
      <c r="BH34" s="169"/>
    </row>
    <row r="35" spans="2:60" ht="11.25" customHeight="1" x14ac:dyDescent="0.2">
      <c r="B35" s="173" t="str">
        <f>IF(Roster!$N$1=0,"",Roster!$N$1)</f>
        <v>PA</v>
      </c>
      <c r="C35" s="174"/>
      <c r="D35" s="541"/>
      <c r="E35" s="542"/>
      <c r="F35" s="542"/>
      <c r="G35" s="542"/>
      <c r="H35" s="542"/>
      <c r="I35" s="542"/>
      <c r="J35" s="542"/>
      <c r="K35" s="542"/>
      <c r="L35" s="542"/>
      <c r="M35" s="542"/>
      <c r="N35" s="543"/>
      <c r="O35" s="178"/>
      <c r="Q35" s="173" t="str">
        <f>IF(Roster!$N$1=0,"",Roster!$N$1)</f>
        <v>PA</v>
      </c>
      <c r="R35" s="174"/>
      <c r="S35" s="541"/>
      <c r="T35" s="542"/>
      <c r="U35" s="542"/>
      <c r="V35" s="542"/>
      <c r="W35" s="542"/>
      <c r="X35" s="542"/>
      <c r="Y35" s="542"/>
      <c r="Z35" s="542"/>
      <c r="AA35" s="542"/>
      <c r="AB35" s="542"/>
      <c r="AC35" s="543"/>
      <c r="AD35" s="178"/>
      <c r="AF35" s="173" t="str">
        <f>IF(Roster!$N$1=0,"",Roster!$N$1)</f>
        <v>PA</v>
      </c>
      <c r="AG35" s="174"/>
      <c r="AH35" s="541"/>
      <c r="AI35" s="542"/>
      <c r="AJ35" s="542"/>
      <c r="AK35" s="542"/>
      <c r="AL35" s="542"/>
      <c r="AM35" s="542"/>
      <c r="AN35" s="542"/>
      <c r="AO35" s="542"/>
      <c r="AP35" s="542"/>
      <c r="AQ35" s="542"/>
      <c r="AR35" s="543"/>
      <c r="AS35" s="178"/>
      <c r="AU35" s="173" t="str">
        <f>IF(Roster!$N$1=0,"",Roster!$N$1)</f>
        <v>PA</v>
      </c>
      <c r="AV35" s="174"/>
      <c r="AW35" s="541"/>
      <c r="AX35" s="542"/>
      <c r="AY35" s="542"/>
      <c r="AZ35" s="542"/>
      <c r="BA35" s="542"/>
      <c r="BB35" s="542"/>
      <c r="BC35" s="542"/>
      <c r="BD35" s="542"/>
      <c r="BE35" s="542"/>
      <c r="BF35" s="542"/>
      <c r="BG35" s="543"/>
      <c r="BH35" s="178"/>
    </row>
    <row r="36" spans="2:60" ht="6" customHeight="1" x14ac:dyDescent="0.2">
      <c r="B36" s="530" t="str">
        <f>IF(Roster!$N$5=0&amp;"+","",Roster!$N$5)</f>
        <v>5+</v>
      </c>
      <c r="C36" s="174"/>
      <c r="D36" s="544"/>
      <c r="E36" s="545"/>
      <c r="F36" s="545"/>
      <c r="G36" s="545"/>
      <c r="H36" s="545"/>
      <c r="I36" s="545"/>
      <c r="J36" s="545"/>
      <c r="K36" s="545"/>
      <c r="L36" s="545"/>
      <c r="M36" s="545"/>
      <c r="N36" s="546"/>
      <c r="O36" s="180"/>
      <c r="Q36" s="530" t="str">
        <f>IF(Roster!$N$6=0&amp;"+","",Roster!$N$6)</f>
        <v>5+</v>
      </c>
      <c r="R36" s="174"/>
      <c r="S36" s="544"/>
      <c r="T36" s="545"/>
      <c r="U36" s="545"/>
      <c r="V36" s="545"/>
      <c r="W36" s="545"/>
      <c r="X36" s="545"/>
      <c r="Y36" s="545"/>
      <c r="Z36" s="545"/>
      <c r="AA36" s="545"/>
      <c r="AB36" s="545"/>
      <c r="AC36" s="546"/>
      <c r="AD36" s="180"/>
      <c r="AF36" s="530" t="str">
        <f>IF(Roster!$N$7=0&amp;"+","",Roster!$N$7)</f>
        <v>5+</v>
      </c>
      <c r="AG36" s="174"/>
      <c r="AH36" s="544"/>
      <c r="AI36" s="545"/>
      <c r="AJ36" s="545"/>
      <c r="AK36" s="545"/>
      <c r="AL36" s="545"/>
      <c r="AM36" s="545"/>
      <c r="AN36" s="545"/>
      <c r="AO36" s="545"/>
      <c r="AP36" s="545"/>
      <c r="AQ36" s="545"/>
      <c r="AR36" s="546"/>
      <c r="AS36" s="180"/>
      <c r="AU36" s="530" t="str">
        <f>IF(Roster!$N$8=0&amp;"+","",Roster!$N$8)</f>
        <v>5+</v>
      </c>
      <c r="AV36" s="174"/>
      <c r="AW36" s="544"/>
      <c r="AX36" s="545"/>
      <c r="AY36" s="545"/>
      <c r="AZ36" s="545"/>
      <c r="BA36" s="545"/>
      <c r="BB36" s="545"/>
      <c r="BC36" s="545"/>
      <c r="BD36" s="545"/>
      <c r="BE36" s="545"/>
      <c r="BF36" s="545"/>
      <c r="BG36" s="546"/>
      <c r="BH36" s="180"/>
    </row>
    <row r="37" spans="2:60" ht="4.5" customHeight="1" x14ac:dyDescent="0.2">
      <c r="B37" s="531"/>
      <c r="C37" s="172"/>
      <c r="D37" s="181"/>
      <c r="E37" s="179"/>
      <c r="F37" s="181"/>
      <c r="G37" s="179"/>
      <c r="H37" s="181"/>
      <c r="I37" s="179"/>
      <c r="J37" s="181"/>
      <c r="K37" s="179"/>
      <c r="L37" s="181"/>
      <c r="M37" s="179"/>
      <c r="N37" s="181"/>
      <c r="O37" s="180"/>
      <c r="Q37" s="531"/>
      <c r="R37" s="172"/>
      <c r="S37" s="181"/>
      <c r="T37" s="179"/>
      <c r="U37" s="181"/>
      <c r="V37" s="179"/>
      <c r="W37" s="181"/>
      <c r="X37" s="179"/>
      <c r="Y37" s="181"/>
      <c r="Z37" s="179"/>
      <c r="AA37" s="181"/>
      <c r="AB37" s="179"/>
      <c r="AC37" s="181"/>
      <c r="AD37" s="180"/>
      <c r="AF37" s="531"/>
      <c r="AG37" s="172"/>
      <c r="AH37" s="181"/>
      <c r="AI37" s="179"/>
      <c r="AJ37" s="181"/>
      <c r="AK37" s="179"/>
      <c r="AL37" s="181"/>
      <c r="AM37" s="179"/>
      <c r="AN37" s="181"/>
      <c r="AO37" s="179"/>
      <c r="AP37" s="181"/>
      <c r="AQ37" s="179"/>
      <c r="AR37" s="181"/>
      <c r="AS37" s="180"/>
      <c r="AU37" s="531"/>
      <c r="AV37" s="172"/>
      <c r="AW37" s="181"/>
      <c r="AX37" s="179"/>
      <c r="AY37" s="181"/>
      <c r="AZ37" s="179"/>
      <c r="BA37" s="181"/>
      <c r="BB37" s="179"/>
      <c r="BC37" s="181"/>
      <c r="BD37" s="179"/>
      <c r="BE37" s="181"/>
      <c r="BF37" s="179"/>
      <c r="BG37" s="181"/>
      <c r="BH37" s="180"/>
    </row>
    <row r="38" spans="2:60" ht="11.25" customHeight="1" x14ac:dyDescent="0.2">
      <c r="B38" s="531"/>
      <c r="C38" s="172"/>
      <c r="D38" s="211" t="str">
        <f>IF(Roster!$AD$1=0,"",Roster!$AD$1)</f>
        <v>TD</v>
      </c>
      <c r="E38" s="206"/>
      <c r="F38" s="211" t="str">
        <f>IF(Roster!$K$25="Español","HER",(IF(Roster!$K$25="Deutsch","VER",(IF(Roster!$K$25="Français","BLES","CAS")))))</f>
        <v>CAS</v>
      </c>
      <c r="G38" s="206"/>
      <c r="H38" s="211" t="str">
        <f>IF(Roster!$AG$1=0,"",Roster!$AG$1)</f>
        <v>BH</v>
      </c>
      <c r="I38" s="206"/>
      <c r="J38" s="211" t="str">
        <f>IF(Roster!$AH$1=0,"",Roster!$AH$1)</f>
        <v>SI</v>
      </c>
      <c r="K38" s="206"/>
      <c r="L38" s="211" t="str">
        <f>IF(Roster!$AI$1=0,"",Roster!$AI$1)</f>
        <v>KILL</v>
      </c>
      <c r="M38" s="206"/>
      <c r="N38" s="211" t="str">
        <f>IF(Roster!$AC$1=0,"",Roster!$AC$1)</f>
        <v>CP</v>
      </c>
      <c r="O38" s="180"/>
      <c r="Q38" s="531"/>
      <c r="R38" s="172"/>
      <c r="S38" s="211" t="str">
        <f>IF(Roster!$AD$1=0,"",Roster!$AD$1)</f>
        <v>TD</v>
      </c>
      <c r="T38" s="206"/>
      <c r="U38" s="211" t="str">
        <f>IF(Roster!$K$25="Español","HER",(IF(Roster!$K$25="Deutsch","VER",(IF(Roster!$K$25="Français","BLES","CAS")))))</f>
        <v>CAS</v>
      </c>
      <c r="V38" s="206"/>
      <c r="W38" s="211" t="str">
        <f>IF(Roster!$AG$1=0,"",Roster!$AG$1)</f>
        <v>BH</v>
      </c>
      <c r="X38" s="206"/>
      <c r="Y38" s="211" t="str">
        <f>IF(Roster!$AH$1=0,"",Roster!$AH$1)</f>
        <v>SI</v>
      </c>
      <c r="Z38" s="206"/>
      <c r="AA38" s="211" t="str">
        <f>IF(Roster!$AI$1=0,"",Roster!$AI$1)</f>
        <v>KILL</v>
      </c>
      <c r="AB38" s="206"/>
      <c r="AC38" s="211" t="str">
        <f>IF(Roster!$AC$1=0,"",Roster!$AC$1)</f>
        <v>CP</v>
      </c>
      <c r="AD38" s="180"/>
      <c r="AF38" s="531"/>
      <c r="AG38" s="172"/>
      <c r="AH38" s="211" t="str">
        <f>IF(Roster!$AD$1=0,"",Roster!$AD$1)</f>
        <v>TD</v>
      </c>
      <c r="AI38" s="206"/>
      <c r="AJ38" s="211" t="str">
        <f>IF(Roster!$K$25="Español","HER",(IF(Roster!$K$25="Deutsch","VER",(IF(Roster!$K$25="Français","BLES","CAS")))))</f>
        <v>CAS</v>
      </c>
      <c r="AK38" s="206"/>
      <c r="AL38" s="211" t="str">
        <f>IF(Roster!$AG$1=0,"",Roster!$AG$1)</f>
        <v>BH</v>
      </c>
      <c r="AM38" s="206"/>
      <c r="AN38" s="211" t="str">
        <f>IF(Roster!$AH$1=0,"",Roster!$AH$1)</f>
        <v>SI</v>
      </c>
      <c r="AO38" s="206"/>
      <c r="AP38" s="211" t="str">
        <f>IF(Roster!$AI$1=0,"",Roster!$AI$1)</f>
        <v>KILL</v>
      </c>
      <c r="AQ38" s="206"/>
      <c r="AR38" s="211" t="str">
        <f>IF(Roster!$AC$1=0,"",Roster!$AC$1)</f>
        <v>CP</v>
      </c>
      <c r="AS38" s="180"/>
      <c r="AU38" s="531"/>
      <c r="AV38" s="172"/>
      <c r="AW38" s="211" t="str">
        <f>IF(Roster!$AD$1=0,"",Roster!$AD$1)</f>
        <v>TD</v>
      </c>
      <c r="AX38" s="206"/>
      <c r="AY38" s="211" t="str">
        <f>IF(Roster!$K$25="Español","HER",(IF(Roster!$K$25="Deutsch","VER",(IF(Roster!$K$25="Français","BLES","CAS")))))</f>
        <v>CAS</v>
      </c>
      <c r="AZ38" s="206"/>
      <c r="BA38" s="211" t="str">
        <f>IF(Roster!$AG$1=0,"",Roster!$AG$1)</f>
        <v>BH</v>
      </c>
      <c r="BB38" s="206"/>
      <c r="BC38" s="211" t="str">
        <f>IF(Roster!$AH$1=0,"",Roster!$AH$1)</f>
        <v>SI</v>
      </c>
      <c r="BD38" s="206"/>
      <c r="BE38" s="211" t="str">
        <f>IF(Roster!$AI$1=0,"",Roster!$AI$1)</f>
        <v>KILL</v>
      </c>
      <c r="BF38" s="206"/>
      <c r="BG38" s="211" t="str">
        <f>IF(Roster!$AC$1=0,"",Roster!$AC$1)</f>
        <v>CP</v>
      </c>
      <c r="BH38" s="180"/>
    </row>
    <row r="39" spans="2:60" ht="15" customHeight="1" x14ac:dyDescent="0.2">
      <c r="B39" s="531"/>
      <c r="C39" s="175"/>
      <c r="D39" s="212" t="str">
        <f>IF(Roster!$AD$5=0,"",Roster!$AD$5)</f>
        <v/>
      </c>
      <c r="E39" s="207"/>
      <c r="F39" s="212" t="str">
        <f>IF((SUM(H39,J39,L39))=0,"",(SUM(H39,J39,L39)))</f>
        <v/>
      </c>
      <c r="G39" s="207"/>
      <c r="H39" s="212" t="str">
        <f>IF(Roster!$AG$5=0,"",Roster!$AG$5)</f>
        <v/>
      </c>
      <c r="I39" s="207"/>
      <c r="J39" s="212" t="str">
        <f>IF(Roster!$AH$5=0,"",Roster!$AH$5)</f>
        <v/>
      </c>
      <c r="K39" s="207"/>
      <c r="L39" s="212" t="str">
        <f>IF(Roster!$AI$5=0,"",Roster!$AI$5)</f>
        <v/>
      </c>
      <c r="M39" s="207"/>
      <c r="N39" s="212" t="str">
        <f>IF(Roster!$AC$5=0,"",Roster!$AC$5)</f>
        <v/>
      </c>
      <c r="O39" s="180"/>
      <c r="Q39" s="531"/>
      <c r="R39" s="175"/>
      <c r="S39" s="212" t="str">
        <f>IF(Roster!$AD$6=0,"",Roster!$AD$6)</f>
        <v/>
      </c>
      <c r="T39" s="207"/>
      <c r="U39" s="212" t="str">
        <f>IF((SUM(W39,Y39,AA39))=0,"",(SUM(W39,Y39,AA39)))</f>
        <v/>
      </c>
      <c r="V39" s="207"/>
      <c r="W39" s="212" t="str">
        <f>IF(Roster!$AG$6=0,"",Roster!$AG$6)</f>
        <v/>
      </c>
      <c r="X39" s="207"/>
      <c r="Y39" s="212" t="str">
        <f>IF(Roster!$AH$6=0,"",Roster!$AH$6)</f>
        <v/>
      </c>
      <c r="Z39" s="207"/>
      <c r="AA39" s="212" t="str">
        <f>IF(Roster!$AI$6=0,"",Roster!$AI$6)</f>
        <v/>
      </c>
      <c r="AB39" s="207"/>
      <c r="AC39" s="212" t="str">
        <f>IF(Roster!$AC$6=0,"",Roster!$AC$6)</f>
        <v/>
      </c>
      <c r="AD39" s="180"/>
      <c r="AF39" s="531"/>
      <c r="AG39" s="175"/>
      <c r="AH39" s="212" t="str">
        <f>IF(Roster!$AD$7=0,"",Roster!$AD$7)</f>
        <v/>
      </c>
      <c r="AI39" s="207"/>
      <c r="AJ39" s="212">
        <f>IF((SUM(AL39,AN39,AP39))=0,"",(SUM(AL39,AN39,AP39)))</f>
        <v>2</v>
      </c>
      <c r="AK39" s="207"/>
      <c r="AL39" s="212">
        <f>IF(Roster!$AG$7=0,"",Roster!$AG$7)</f>
        <v>2</v>
      </c>
      <c r="AM39" s="207"/>
      <c r="AN39" s="212" t="str">
        <f>IF(Roster!$AH$7=0,"",Roster!$AH$7)</f>
        <v/>
      </c>
      <c r="AO39" s="207"/>
      <c r="AP39" s="212" t="str">
        <f>IF(Roster!$AI$7=0,"",Roster!$AI$7)</f>
        <v/>
      </c>
      <c r="AQ39" s="207"/>
      <c r="AR39" s="212" t="str">
        <f>IF(Roster!$AC$7=0,"",Roster!$AC$7)</f>
        <v/>
      </c>
      <c r="AS39" s="180"/>
      <c r="AU39" s="531"/>
      <c r="AV39" s="175"/>
      <c r="AW39" s="212" t="str">
        <f>IF(Roster!$AD$8=0,"",Roster!$AD$8)</f>
        <v/>
      </c>
      <c r="AX39" s="207"/>
      <c r="AY39" s="212" t="str">
        <f>IF((SUM(BA39,BC39,BE39))=0,"",(SUM(BA39,BC39,BE39)))</f>
        <v/>
      </c>
      <c r="AZ39" s="207"/>
      <c r="BA39" s="212" t="str">
        <f>IF(Roster!$AG$8=0,"",Roster!$AG$8)</f>
        <v/>
      </c>
      <c r="BB39" s="207"/>
      <c r="BC39" s="212" t="str">
        <f>IF(Roster!$AH$8=0,"",Roster!$AH$8)</f>
        <v/>
      </c>
      <c r="BD39" s="207"/>
      <c r="BE39" s="212" t="str">
        <f>IF(Roster!$AI$8=0,"",Roster!$AI$8)</f>
        <v/>
      </c>
      <c r="BF39" s="207"/>
      <c r="BG39" s="212" t="str">
        <f>IF(Roster!$AC$8=0,"",Roster!$AC$8)</f>
        <v/>
      </c>
      <c r="BH39" s="180"/>
    </row>
    <row r="40" spans="2:60" ht="4.5" customHeight="1" x14ac:dyDescent="0.2">
      <c r="B40" s="337"/>
      <c r="C40" s="175"/>
      <c r="D40" s="208"/>
      <c r="E40" s="207"/>
      <c r="F40" s="208"/>
      <c r="G40" s="207"/>
      <c r="H40" s="208"/>
      <c r="I40" s="207"/>
      <c r="J40" s="208"/>
      <c r="K40" s="207"/>
      <c r="L40" s="208"/>
      <c r="M40" s="207"/>
      <c r="N40" s="208"/>
      <c r="O40" s="180"/>
      <c r="Q40" s="337"/>
      <c r="R40" s="175"/>
      <c r="S40" s="208"/>
      <c r="T40" s="207"/>
      <c r="U40" s="208"/>
      <c r="V40" s="207"/>
      <c r="W40" s="208"/>
      <c r="X40" s="207"/>
      <c r="Y40" s="208"/>
      <c r="Z40" s="207"/>
      <c r="AA40" s="208"/>
      <c r="AB40" s="207"/>
      <c r="AC40" s="208"/>
      <c r="AD40" s="180"/>
      <c r="AF40" s="337"/>
      <c r="AG40" s="175"/>
      <c r="AH40" s="208"/>
      <c r="AI40" s="207"/>
      <c r="AJ40" s="208"/>
      <c r="AK40" s="207"/>
      <c r="AL40" s="208"/>
      <c r="AM40" s="207"/>
      <c r="AN40" s="208"/>
      <c r="AO40" s="207"/>
      <c r="AP40" s="208"/>
      <c r="AQ40" s="207"/>
      <c r="AR40" s="208"/>
      <c r="AS40" s="180"/>
      <c r="AU40" s="337"/>
      <c r="AV40" s="175"/>
      <c r="AW40" s="208"/>
      <c r="AX40" s="207"/>
      <c r="AY40" s="208"/>
      <c r="AZ40" s="207"/>
      <c r="BA40" s="208"/>
      <c r="BB40" s="207"/>
      <c r="BC40" s="208"/>
      <c r="BD40" s="207"/>
      <c r="BE40" s="208"/>
      <c r="BF40" s="207"/>
      <c r="BG40" s="208"/>
      <c r="BH40" s="180"/>
    </row>
    <row r="41" spans="2:60" ht="11.25" customHeight="1" x14ac:dyDescent="0.2">
      <c r="B41" s="173" t="str">
        <f>IF(Roster!$O$1=0,"",Roster!$O$1)</f>
        <v>AV</v>
      </c>
      <c r="C41" s="174"/>
      <c r="D41" s="211" t="str">
        <f>IF(Roster!$AE$1=0,"",Roster!$AE$1)</f>
        <v>DEF</v>
      </c>
      <c r="E41" s="209"/>
      <c r="F41" s="211" t="str">
        <f>IF(Roster!$AF$1=0,"",Roster!$AF$1)</f>
        <v>INT</v>
      </c>
      <c r="G41" s="209"/>
      <c r="H41" s="211" t="str">
        <f>IF(Roster!$AB$1=0,"",Roster!$AB$1)</f>
        <v>SPE</v>
      </c>
      <c r="I41" s="209"/>
      <c r="J41" s="211" t="str">
        <f>IF(Roster!$AJ$1=0,"",Roster!$AJ$1)</f>
        <v>MVP</v>
      </c>
      <c r="K41" s="209"/>
      <c r="L41" s="214" t="s">
        <v>257</v>
      </c>
      <c r="M41" s="209"/>
      <c r="N41" s="213" t="str">
        <f>IF(Roster!$K$25="Español","LPP/RT",(IF(Roster!$K$25="Deutsch","VNS/AD",(IF(Roster!$K$25="Français","RPM/RT","MNG/TR")))))</f>
        <v>MNG/TR</v>
      </c>
      <c r="O41" s="169"/>
      <c r="Q41" s="173" t="str">
        <f>IF(Roster!$O$1=0,"",Roster!$O$1)</f>
        <v>AV</v>
      </c>
      <c r="R41" s="174"/>
      <c r="S41" s="211" t="str">
        <f>IF(Roster!$AE$1=0,"",Roster!$AE$1)</f>
        <v>DEF</v>
      </c>
      <c r="T41" s="209"/>
      <c r="U41" s="211" t="str">
        <f>IF(Roster!$AF$1=0,"",Roster!$AF$1)</f>
        <v>INT</v>
      </c>
      <c r="V41" s="209"/>
      <c r="W41" s="211" t="str">
        <f>IF(Roster!$AB$1=0,"",Roster!$AB$1)</f>
        <v>SPE</v>
      </c>
      <c r="X41" s="209"/>
      <c r="Y41" s="211" t="str">
        <f>IF(Roster!$AJ$1=0,"",Roster!$AJ$1)</f>
        <v>MVP</v>
      </c>
      <c r="Z41" s="209"/>
      <c r="AA41" s="214" t="s">
        <v>257</v>
      </c>
      <c r="AB41" s="209"/>
      <c r="AC41" s="213" t="str">
        <f>IF(Roster!$K$25="Español","LPP/RT",(IF(Roster!$K$25="Deutsch","VNS/AD",(IF(Roster!$K$25="Français","RPM/RT","MNG/TR")))))</f>
        <v>MNG/TR</v>
      </c>
      <c r="AD41" s="169"/>
      <c r="AF41" s="173" t="str">
        <f>IF(Roster!$O$1=0,"",Roster!$O$1)</f>
        <v>AV</v>
      </c>
      <c r="AG41" s="174"/>
      <c r="AH41" s="211" t="str">
        <f>IF(Roster!$AE$1=0,"",Roster!$AE$1)</f>
        <v>DEF</v>
      </c>
      <c r="AI41" s="209"/>
      <c r="AJ41" s="211" t="str">
        <f>IF(Roster!$AF$1=0,"",Roster!$AF$1)</f>
        <v>INT</v>
      </c>
      <c r="AK41" s="209"/>
      <c r="AL41" s="211" t="str">
        <f>IF(Roster!$AB$1=0,"",Roster!$AB$1)</f>
        <v>SPE</v>
      </c>
      <c r="AM41" s="209"/>
      <c r="AN41" s="211" t="str">
        <f>IF(Roster!$AJ$1=0,"",Roster!$AJ$1)</f>
        <v>MVP</v>
      </c>
      <c r="AO41" s="209"/>
      <c r="AP41" s="214" t="s">
        <v>257</v>
      </c>
      <c r="AQ41" s="209"/>
      <c r="AR41" s="213" t="str">
        <f>IF(Roster!$K$25="Español","LPP/RT",(IF(Roster!$K$25="Deutsch","VNS/AD",(IF(Roster!$K$25="Français","RPM/RT","MNG/TR")))))</f>
        <v>MNG/TR</v>
      </c>
      <c r="AS41" s="169"/>
      <c r="AU41" s="173" t="str">
        <f>IF(Roster!$O$1=0,"",Roster!$O$1)</f>
        <v>AV</v>
      </c>
      <c r="AV41" s="174"/>
      <c r="AW41" s="211" t="str">
        <f>IF(Roster!$AE$1=0,"",Roster!$AE$1)</f>
        <v>DEF</v>
      </c>
      <c r="AX41" s="209"/>
      <c r="AY41" s="211" t="str">
        <f>IF(Roster!$AF$1=0,"",Roster!$AF$1)</f>
        <v>INT</v>
      </c>
      <c r="AZ41" s="209"/>
      <c r="BA41" s="211" t="str">
        <f>IF(Roster!$AB$1=0,"",Roster!$AB$1)</f>
        <v>SPE</v>
      </c>
      <c r="BB41" s="209"/>
      <c r="BC41" s="211" t="str">
        <f>IF(Roster!$AJ$1=0,"",Roster!$AJ$1)</f>
        <v>MVP</v>
      </c>
      <c r="BD41" s="209"/>
      <c r="BE41" s="214" t="s">
        <v>257</v>
      </c>
      <c r="BF41" s="209"/>
      <c r="BG41" s="213" t="str">
        <f>IF(Roster!$K$25="Español","LPP/RT",(IF(Roster!$K$25="Deutsch","VNS/AD",(IF(Roster!$K$25="Français","RPM/RT","MNG/TR")))))</f>
        <v>MNG/TR</v>
      </c>
      <c r="BH41" s="169"/>
    </row>
    <row r="42" spans="2:60" ht="15" customHeight="1" x14ac:dyDescent="0.2">
      <c r="B42" s="530" t="str">
        <f>IF(Roster!$O$5=0&amp;"+","",Roster!$O$5)</f>
        <v>10+</v>
      </c>
      <c r="C42" s="175"/>
      <c r="D42" s="212" t="str">
        <f>IF(Roster!$AE$5=0,"",Roster!$AE$5)</f>
        <v/>
      </c>
      <c r="E42" s="207"/>
      <c r="F42" s="212" t="str">
        <f>IF(Roster!$AF$5=0,"",Roster!$AF$5)</f>
        <v/>
      </c>
      <c r="G42" s="207"/>
      <c r="H42" s="212">
        <f>IF(Roster!$AB$5=0,"",Roster!$AB$5)</f>
        <v>1</v>
      </c>
      <c r="I42" s="207"/>
      <c r="J42" s="212" t="str">
        <f>IF(Roster!$AJ$5=0,"",Roster!$AJ$5)</f>
        <v/>
      </c>
      <c r="K42" s="207"/>
      <c r="L42" s="212">
        <f>IF(Roster!$AK$5=0,"",Roster!$AK$5)</f>
        <v>1</v>
      </c>
      <c r="M42" s="207"/>
      <c r="N42" s="212" t="str">
        <f>IF(Roster!$AA$5=0,"",Roster!$AA$5)</f>
        <v/>
      </c>
      <c r="O42" s="182"/>
      <c r="Q42" s="530" t="str">
        <f>IF(Roster!$O$6=0&amp;"+","",Roster!$O$6)</f>
        <v>10+</v>
      </c>
      <c r="R42" s="175"/>
      <c r="S42" s="212" t="str">
        <f>IF(Roster!$AE$6=0,"",Roster!$AE$6)</f>
        <v/>
      </c>
      <c r="T42" s="207"/>
      <c r="U42" s="212" t="str">
        <f>IF(Roster!$AF$6=0,"",Roster!$AF$6)</f>
        <v/>
      </c>
      <c r="V42" s="207"/>
      <c r="W42" s="212" t="str">
        <f>IF(Roster!$AB$6=0,"",Roster!$AB$6)</f>
        <v/>
      </c>
      <c r="X42" s="207"/>
      <c r="Y42" s="212" t="str">
        <f>IF(Roster!$AJ$6=0,"",Roster!$AJ$6)</f>
        <v/>
      </c>
      <c r="Z42" s="207"/>
      <c r="AA42" s="212" t="str">
        <f>IF(Roster!$AK$6=0,"",Roster!$AK$6)</f>
        <v/>
      </c>
      <c r="AB42" s="207"/>
      <c r="AC42" s="212" t="str">
        <f>IF(Roster!$AA$6=0,"",Roster!$AA$6)</f>
        <v/>
      </c>
      <c r="AD42" s="182"/>
      <c r="AF42" s="530" t="str">
        <f>IF(Roster!$O$7=0&amp;"+","",Roster!$O$7)</f>
        <v>10+</v>
      </c>
      <c r="AG42" s="175"/>
      <c r="AH42" s="212" t="str">
        <f>IF(Roster!$AE$7=0,"",Roster!$AE$7)</f>
        <v/>
      </c>
      <c r="AI42" s="207"/>
      <c r="AJ42" s="212" t="str">
        <f>IF(Roster!$AF$7=0,"",Roster!$AF$7)</f>
        <v/>
      </c>
      <c r="AK42" s="207"/>
      <c r="AL42" s="212" t="str">
        <f>IF(Roster!$AB$7=0,"",Roster!$AB$7)</f>
        <v/>
      </c>
      <c r="AM42" s="207"/>
      <c r="AN42" s="212" t="str">
        <f>IF(Roster!$AJ$7=0,"",Roster!$AJ$7)</f>
        <v/>
      </c>
      <c r="AO42" s="207"/>
      <c r="AP42" s="212">
        <f>IF(Roster!$AK$7=0,"",Roster!$AK$7)</f>
        <v>4</v>
      </c>
      <c r="AQ42" s="207"/>
      <c r="AR42" s="212" t="str">
        <f>IF(Roster!$AA$7=0,"",Roster!$AA$7)</f>
        <v/>
      </c>
      <c r="AS42" s="182"/>
      <c r="AU42" s="530" t="str">
        <f>IF(Roster!$O$8=0&amp;"+","",Roster!$O$8)</f>
        <v>6+</v>
      </c>
      <c r="AV42" s="175"/>
      <c r="AW42" s="212" t="str">
        <f>IF(Roster!$AE$8=0,"",Roster!$AE$8)</f>
        <v/>
      </c>
      <c r="AX42" s="207"/>
      <c r="AY42" s="212" t="str">
        <f>IF(Roster!$AF$8=0,"",Roster!$AF$8)</f>
        <v/>
      </c>
      <c r="AZ42" s="207"/>
      <c r="BA42" s="212" t="str">
        <f>IF(Roster!$AB$8=0,"",Roster!$AB$8)</f>
        <v/>
      </c>
      <c r="BB42" s="207"/>
      <c r="BC42" s="212" t="str">
        <f>IF(Roster!$AJ$8=0,"",Roster!$AJ$8)</f>
        <v/>
      </c>
      <c r="BD42" s="207"/>
      <c r="BE42" s="212" t="str">
        <f>IF(Roster!$AK$8=0,"",Roster!$AK$8)</f>
        <v/>
      </c>
      <c r="BF42" s="207"/>
      <c r="BG42" s="212" t="str">
        <f>IF(Roster!$AA$8=0,"",Roster!$AA$8)</f>
        <v/>
      </c>
      <c r="BH42" s="182"/>
    </row>
    <row r="43" spans="2:60" ht="4.5" customHeight="1" x14ac:dyDescent="0.2">
      <c r="B43" s="531"/>
      <c r="C43" s="175"/>
      <c r="D43" s="207"/>
      <c r="E43" s="207"/>
      <c r="F43" s="207"/>
      <c r="G43" s="207"/>
      <c r="H43" s="207"/>
      <c r="I43" s="207"/>
      <c r="J43" s="207"/>
      <c r="K43" s="207"/>
      <c r="L43" s="207"/>
      <c r="M43" s="207"/>
      <c r="N43" s="210"/>
      <c r="O43" s="182"/>
      <c r="Q43" s="531"/>
      <c r="R43" s="175"/>
      <c r="S43" s="207"/>
      <c r="T43" s="207"/>
      <c r="U43" s="207"/>
      <c r="V43" s="207"/>
      <c r="W43" s="207"/>
      <c r="X43" s="207"/>
      <c r="Y43" s="207"/>
      <c r="Z43" s="207"/>
      <c r="AA43" s="207"/>
      <c r="AB43" s="207"/>
      <c r="AC43" s="210"/>
      <c r="AD43" s="182"/>
      <c r="AF43" s="531"/>
      <c r="AG43" s="175"/>
      <c r="AH43" s="207"/>
      <c r="AI43" s="207"/>
      <c r="AJ43" s="207"/>
      <c r="AK43" s="207"/>
      <c r="AL43" s="207"/>
      <c r="AM43" s="207"/>
      <c r="AN43" s="207"/>
      <c r="AO43" s="207"/>
      <c r="AP43" s="207"/>
      <c r="AQ43" s="207"/>
      <c r="AR43" s="210"/>
      <c r="AS43" s="182"/>
      <c r="AU43" s="531"/>
      <c r="AV43" s="175"/>
      <c r="AW43" s="207"/>
      <c r="AX43" s="207"/>
      <c r="AY43" s="207"/>
      <c r="AZ43" s="207"/>
      <c r="BA43" s="207"/>
      <c r="BB43" s="207"/>
      <c r="BC43" s="207"/>
      <c r="BD43" s="207"/>
      <c r="BE43" s="207"/>
      <c r="BF43" s="207"/>
      <c r="BG43" s="210"/>
      <c r="BH43" s="182"/>
    </row>
    <row r="44" spans="2:60" ht="11.25" customHeight="1" x14ac:dyDescent="0.2">
      <c r="B44" s="531"/>
      <c r="C44" s="175"/>
      <c r="D44" s="562" t="str">
        <f>IF(Roster!$K$25="Italiano","ABILITÀ &amp; TRATTI",(IF(Roster!$K$25="Español","HABILIDADES Y RASGOS","SKILLS &amp; TRAITS")))</f>
        <v>SKILLS &amp; TRAITS</v>
      </c>
      <c r="E44" s="563"/>
      <c r="F44" s="563"/>
      <c r="G44" s="563"/>
      <c r="H44" s="563"/>
      <c r="I44" s="563"/>
      <c r="J44" s="563"/>
      <c r="K44" s="563"/>
      <c r="L44" s="563"/>
      <c r="M44" s="563"/>
      <c r="N44" s="564"/>
      <c r="O44" s="182"/>
      <c r="Q44" s="531"/>
      <c r="R44" s="175"/>
      <c r="S44" s="562" t="str">
        <f>IF(Roster!$K$25="Italiano","ABILITÀ &amp; TRATTI",(IF(Roster!$K$25="Español","HABILIDADES Y RASGOS","SKILLS &amp; TRAITS")))</f>
        <v>SKILLS &amp; TRAITS</v>
      </c>
      <c r="T44" s="563"/>
      <c r="U44" s="563"/>
      <c r="V44" s="563"/>
      <c r="W44" s="563"/>
      <c r="X44" s="563"/>
      <c r="Y44" s="563"/>
      <c r="Z44" s="563"/>
      <c r="AA44" s="563"/>
      <c r="AB44" s="563"/>
      <c r="AC44" s="564"/>
      <c r="AD44" s="182"/>
      <c r="AF44" s="531"/>
      <c r="AG44" s="175"/>
      <c r="AH44" s="562" t="str">
        <f>IF(Roster!$K$25="Italiano","ABILITÀ &amp; TRATTI",(IF(Roster!$K$25="Español","HABILIDADES Y RASGOS","SKILLS &amp; TRAITS")))</f>
        <v>SKILLS &amp; TRAITS</v>
      </c>
      <c r="AI44" s="563"/>
      <c r="AJ44" s="563"/>
      <c r="AK44" s="563"/>
      <c r="AL44" s="563"/>
      <c r="AM44" s="563"/>
      <c r="AN44" s="563"/>
      <c r="AO44" s="563"/>
      <c r="AP44" s="563"/>
      <c r="AQ44" s="563"/>
      <c r="AR44" s="564"/>
      <c r="AS44" s="182"/>
      <c r="AU44" s="531"/>
      <c r="AV44" s="175"/>
      <c r="AW44" s="562" t="str">
        <f>IF(Roster!$K$25="Italiano","ABILITÀ &amp; TRATTI",(IF(Roster!$K$25="Español","HABILIDADES Y RASGOS","SKILLS &amp; TRAITS")))</f>
        <v>SKILLS &amp; TRAITS</v>
      </c>
      <c r="AX44" s="563"/>
      <c r="AY44" s="563"/>
      <c r="AZ44" s="563"/>
      <c r="BA44" s="563"/>
      <c r="BB44" s="563"/>
      <c r="BC44" s="563"/>
      <c r="BD44" s="563"/>
      <c r="BE44" s="563"/>
      <c r="BF44" s="563"/>
      <c r="BG44" s="564"/>
      <c r="BH44" s="182"/>
    </row>
    <row r="45" spans="2:60" ht="6.75" customHeight="1" x14ac:dyDescent="0.2">
      <c r="B45" s="337"/>
      <c r="C45" s="175"/>
      <c r="D45" s="565" t="str">
        <f>IF(Roster!$P$5=0&amp;AQ56,"",Roster!$P$5)</f>
        <v>Bone Head, Mighty Blow (+1), Thick Skull, Throw Team-mate</v>
      </c>
      <c r="E45" s="490"/>
      <c r="F45" s="490"/>
      <c r="G45" s="490"/>
      <c r="H45" s="490"/>
      <c r="I45" s="490"/>
      <c r="J45" s="490"/>
      <c r="K45" s="490"/>
      <c r="L45" s="490"/>
      <c r="M45" s="490"/>
      <c r="N45" s="566"/>
      <c r="O45" s="182"/>
      <c r="Q45" s="337"/>
      <c r="R45" s="175"/>
      <c r="S45" s="565" t="str">
        <f>IF(Roster!$P$6=0&amp;BF66,"",Roster!$P$6)</f>
        <v>Bone Head, Mighty Blow (+1), Thick Skull, Throw Team-mate</v>
      </c>
      <c r="T45" s="490"/>
      <c r="U45" s="490"/>
      <c r="V45" s="490"/>
      <c r="W45" s="490"/>
      <c r="X45" s="490"/>
      <c r="Y45" s="490"/>
      <c r="Z45" s="490"/>
      <c r="AA45" s="490"/>
      <c r="AB45" s="490"/>
      <c r="AC45" s="566"/>
      <c r="AD45" s="182"/>
      <c r="AF45" s="337"/>
      <c r="AG45" s="175"/>
      <c r="AH45" s="565" t="str">
        <f>IF(Roster!$P$7=0&amp;BU76,"",Roster!$P$7)</f>
        <v>Bone Head, Mighty Blow (+1), Thick Skull, Throw Team-mate, Juggernaut</v>
      </c>
      <c r="AI45" s="490"/>
      <c r="AJ45" s="490"/>
      <c r="AK45" s="490"/>
      <c r="AL45" s="490"/>
      <c r="AM45" s="490"/>
      <c r="AN45" s="490"/>
      <c r="AO45" s="490"/>
      <c r="AP45" s="490"/>
      <c r="AQ45" s="490"/>
      <c r="AR45" s="566"/>
      <c r="AS45" s="182"/>
      <c r="AU45" s="337"/>
      <c r="AV45" s="175"/>
      <c r="AW45" s="565" t="str">
        <f>IF(Roster!$P$8=0&amp;CJ86,"",Roster!$P$8)</f>
        <v>Dodge, Right Stuff, Side Step, Stunty, Titchy</v>
      </c>
      <c r="AX45" s="490"/>
      <c r="AY45" s="490"/>
      <c r="AZ45" s="490"/>
      <c r="BA45" s="490"/>
      <c r="BB45" s="490"/>
      <c r="BC45" s="490"/>
      <c r="BD45" s="490"/>
      <c r="BE45" s="490"/>
      <c r="BF45" s="490"/>
      <c r="BG45" s="566"/>
      <c r="BH45" s="182"/>
    </row>
    <row r="46" spans="2:60" ht="11.25" customHeight="1" x14ac:dyDescent="0.2">
      <c r="B46" s="173" t="str">
        <f>IF(Roster!$AO$1=0,"",Roster!$AO$1)</f>
        <v>COST</v>
      </c>
      <c r="C46" s="174"/>
      <c r="D46" s="567"/>
      <c r="E46" s="568"/>
      <c r="F46" s="568"/>
      <c r="G46" s="568"/>
      <c r="H46" s="568"/>
      <c r="I46" s="568"/>
      <c r="J46" s="568"/>
      <c r="K46" s="568"/>
      <c r="L46" s="568"/>
      <c r="M46" s="568"/>
      <c r="N46" s="566"/>
      <c r="O46" s="185"/>
      <c r="Q46" s="173" t="str">
        <f>IF(Roster!$AO$1=0,"",Roster!$AO$1)</f>
        <v>COST</v>
      </c>
      <c r="R46" s="174"/>
      <c r="S46" s="567"/>
      <c r="T46" s="568"/>
      <c r="U46" s="568"/>
      <c r="V46" s="568"/>
      <c r="W46" s="568"/>
      <c r="X46" s="568"/>
      <c r="Y46" s="568"/>
      <c r="Z46" s="568"/>
      <c r="AA46" s="568"/>
      <c r="AB46" s="568"/>
      <c r="AC46" s="566"/>
      <c r="AD46" s="185"/>
      <c r="AF46" s="173" t="str">
        <f>IF(Roster!$AO$1=0,"",Roster!$AO$1)</f>
        <v>COST</v>
      </c>
      <c r="AG46" s="174"/>
      <c r="AH46" s="567"/>
      <c r="AI46" s="568"/>
      <c r="AJ46" s="568"/>
      <c r="AK46" s="568"/>
      <c r="AL46" s="568"/>
      <c r="AM46" s="568"/>
      <c r="AN46" s="568"/>
      <c r="AO46" s="568"/>
      <c r="AP46" s="568"/>
      <c r="AQ46" s="568"/>
      <c r="AR46" s="566"/>
      <c r="AS46" s="185"/>
      <c r="AU46" s="173" t="str">
        <f>IF(Roster!$AO$1=0,"",Roster!$AO$1)</f>
        <v>COST</v>
      </c>
      <c r="AV46" s="174"/>
      <c r="AW46" s="567"/>
      <c r="AX46" s="568"/>
      <c r="AY46" s="568"/>
      <c r="AZ46" s="568"/>
      <c r="BA46" s="568"/>
      <c r="BB46" s="568"/>
      <c r="BC46" s="568"/>
      <c r="BD46" s="568"/>
      <c r="BE46" s="568"/>
      <c r="BF46" s="568"/>
      <c r="BG46" s="566"/>
      <c r="BH46" s="185"/>
    </row>
    <row r="47" spans="2:60" ht="34.5" customHeight="1" x14ac:dyDescent="0.2">
      <c r="B47" s="187">
        <f>IF(Roster!$AO$5=0,"",Roster!$AO$5)</f>
        <v>140000</v>
      </c>
      <c r="C47" s="188"/>
      <c r="D47" s="569"/>
      <c r="E47" s="570"/>
      <c r="F47" s="570"/>
      <c r="G47" s="570"/>
      <c r="H47" s="570"/>
      <c r="I47" s="570"/>
      <c r="J47" s="570"/>
      <c r="K47" s="570"/>
      <c r="L47" s="570"/>
      <c r="M47" s="570"/>
      <c r="N47" s="571"/>
      <c r="O47" s="185"/>
      <c r="Q47" s="187">
        <f>IF(Roster!$AO$6=0,"",Roster!$AO$6)</f>
        <v>140000</v>
      </c>
      <c r="R47" s="188"/>
      <c r="S47" s="569"/>
      <c r="T47" s="570"/>
      <c r="U47" s="570"/>
      <c r="V47" s="570"/>
      <c r="W47" s="570"/>
      <c r="X47" s="570"/>
      <c r="Y47" s="570"/>
      <c r="Z47" s="570"/>
      <c r="AA47" s="570"/>
      <c r="AB47" s="570"/>
      <c r="AC47" s="571"/>
      <c r="AD47" s="185"/>
      <c r="AF47" s="187">
        <f>IF(Roster!$AO$7=0,"",Roster!$AO$7)</f>
        <v>150000</v>
      </c>
      <c r="AG47" s="188"/>
      <c r="AH47" s="569"/>
      <c r="AI47" s="570"/>
      <c r="AJ47" s="570"/>
      <c r="AK47" s="570"/>
      <c r="AL47" s="570"/>
      <c r="AM47" s="570"/>
      <c r="AN47" s="570"/>
      <c r="AO47" s="570"/>
      <c r="AP47" s="570"/>
      <c r="AQ47" s="570"/>
      <c r="AR47" s="571"/>
      <c r="AS47" s="185"/>
      <c r="AU47" s="187">
        <f>IF(Roster!$AO$8=0,"",Roster!$AO$8)</f>
        <v>15000</v>
      </c>
      <c r="AV47" s="188"/>
      <c r="AW47" s="569"/>
      <c r="AX47" s="570"/>
      <c r="AY47" s="570"/>
      <c r="AZ47" s="570"/>
      <c r="BA47" s="570"/>
      <c r="BB47" s="570"/>
      <c r="BC47" s="570"/>
      <c r="BD47" s="570"/>
      <c r="BE47" s="570"/>
      <c r="BF47" s="570"/>
      <c r="BG47" s="571"/>
      <c r="BH47" s="185"/>
    </row>
    <row r="48" spans="2:60" ht="4.5" customHeight="1" x14ac:dyDescent="0.2">
      <c r="B48" s="572"/>
      <c r="C48" s="334"/>
      <c r="D48" s="334"/>
      <c r="E48" s="334"/>
      <c r="F48" s="334"/>
      <c r="G48" s="334"/>
      <c r="H48" s="334"/>
      <c r="I48" s="334"/>
      <c r="J48" s="334"/>
      <c r="K48" s="334"/>
      <c r="L48" s="334"/>
      <c r="M48" s="334"/>
      <c r="N48" s="336"/>
      <c r="O48" s="189"/>
      <c r="Q48" s="572"/>
      <c r="R48" s="334"/>
      <c r="S48" s="334"/>
      <c r="T48" s="334"/>
      <c r="U48" s="334"/>
      <c r="V48" s="334"/>
      <c r="W48" s="334"/>
      <c r="X48" s="334"/>
      <c r="Y48" s="334"/>
      <c r="Z48" s="334"/>
      <c r="AA48" s="334"/>
      <c r="AB48" s="334"/>
      <c r="AC48" s="336"/>
      <c r="AD48" s="189"/>
      <c r="AF48" s="572"/>
      <c r="AG48" s="334"/>
      <c r="AH48" s="334"/>
      <c r="AI48" s="334"/>
      <c r="AJ48" s="334"/>
      <c r="AK48" s="334"/>
      <c r="AL48" s="334"/>
      <c r="AM48" s="334"/>
      <c r="AN48" s="334"/>
      <c r="AO48" s="334"/>
      <c r="AP48" s="334"/>
      <c r="AQ48" s="334"/>
      <c r="AR48" s="336"/>
      <c r="AS48" s="189"/>
      <c r="AU48" s="572"/>
      <c r="AV48" s="334"/>
      <c r="AW48" s="334"/>
      <c r="AX48" s="334"/>
      <c r="AY48" s="334"/>
      <c r="AZ48" s="334"/>
      <c r="BA48" s="334"/>
      <c r="BB48" s="334"/>
      <c r="BC48" s="334"/>
      <c r="BD48" s="334"/>
      <c r="BE48" s="334"/>
      <c r="BF48" s="334"/>
      <c r="BG48" s="336"/>
      <c r="BH48" s="189"/>
    </row>
    <row r="49" spans="2:60" ht="11.25" customHeight="1" x14ac:dyDescent="0.2"/>
    <row r="50" spans="2:60" ht="4.5" customHeight="1" x14ac:dyDescent="0.2">
      <c r="B50" s="514" t="str">
        <f>IF(Roster!$A$9=0,"","#"&amp;Roster!$A$9)</f>
        <v>#8</v>
      </c>
      <c r="C50" s="167"/>
      <c r="D50" s="167"/>
      <c r="E50" s="167"/>
      <c r="F50" s="167"/>
      <c r="G50" s="167"/>
      <c r="H50" s="167"/>
      <c r="I50" s="167"/>
      <c r="J50" s="167"/>
      <c r="K50" s="167"/>
      <c r="L50" s="167"/>
      <c r="M50" s="167"/>
      <c r="N50" s="167"/>
      <c r="O50" s="168"/>
      <c r="Q50" s="514" t="str">
        <f>IF(Roster!$A$10=0,"","#"&amp;Roster!$A$10)</f>
        <v>#9</v>
      </c>
      <c r="R50" s="167"/>
      <c r="S50" s="167"/>
      <c r="T50" s="167"/>
      <c r="U50" s="167"/>
      <c r="V50" s="167"/>
      <c r="W50" s="167"/>
      <c r="X50" s="167"/>
      <c r="Y50" s="167"/>
      <c r="Z50" s="167"/>
      <c r="AA50" s="167"/>
      <c r="AB50" s="167"/>
      <c r="AC50" s="167"/>
      <c r="AD50" s="168"/>
      <c r="AF50" s="514" t="str">
        <f>IF(Roster!$A$11=0,"","#"&amp;Roster!$A$11)</f>
        <v>#10</v>
      </c>
      <c r="AG50" s="167"/>
      <c r="AH50" s="167"/>
      <c r="AI50" s="167"/>
      <c r="AJ50" s="167"/>
      <c r="AK50" s="167"/>
      <c r="AL50" s="167"/>
      <c r="AM50" s="167"/>
      <c r="AN50" s="167"/>
      <c r="AO50" s="167"/>
      <c r="AP50" s="167"/>
      <c r="AQ50" s="167"/>
      <c r="AR50" s="167"/>
      <c r="AS50" s="168"/>
      <c r="AU50" s="514" t="str">
        <f>IF(Roster!$A$12=0,"","#"&amp;Roster!$A$12)</f>
        <v>#11</v>
      </c>
      <c r="AV50" s="167"/>
      <c r="AW50" s="167"/>
      <c r="AX50" s="167"/>
      <c r="AY50" s="167"/>
      <c r="AZ50" s="167"/>
      <c r="BA50" s="167"/>
      <c r="BB50" s="167"/>
      <c r="BC50" s="167"/>
      <c r="BD50" s="167"/>
      <c r="BE50" s="167"/>
      <c r="BF50" s="167"/>
      <c r="BG50" s="167"/>
      <c r="BH50" s="168"/>
    </row>
    <row r="51" spans="2:60" ht="15" customHeight="1" x14ac:dyDescent="0.25">
      <c r="B51" s="515"/>
      <c r="C51" s="537" t="str">
        <f>IF(Roster!$B$9=0,"",Roster!$B$9)</f>
        <v>Biaso</v>
      </c>
      <c r="D51" s="303"/>
      <c r="E51" s="303"/>
      <c r="F51" s="303"/>
      <c r="G51" s="303"/>
      <c r="H51" s="303"/>
      <c r="I51" s="303"/>
      <c r="J51" s="303"/>
      <c r="K51" s="303"/>
      <c r="L51" s="303"/>
      <c r="M51" s="303"/>
      <c r="N51" s="304"/>
      <c r="O51" s="169"/>
      <c r="Q51" s="515"/>
      <c r="R51" s="537" t="str">
        <f>IF(Roster!$B$10=0,"",Roster!$B$10)</f>
        <v>Calavria</v>
      </c>
      <c r="S51" s="303"/>
      <c r="T51" s="303"/>
      <c r="U51" s="303"/>
      <c r="V51" s="303"/>
      <c r="W51" s="303"/>
      <c r="X51" s="303"/>
      <c r="Y51" s="303"/>
      <c r="Z51" s="303"/>
      <c r="AA51" s="303"/>
      <c r="AB51" s="303"/>
      <c r="AC51" s="304"/>
      <c r="AD51" s="169"/>
      <c r="AF51" s="515"/>
      <c r="AG51" s="537" t="str">
        <f>IF(Roster!$B$11=0,"",Roster!$B$11)</f>
        <v>Mbrinnese</v>
      </c>
      <c r="AH51" s="303"/>
      <c r="AI51" s="303"/>
      <c r="AJ51" s="303"/>
      <c r="AK51" s="303"/>
      <c r="AL51" s="303"/>
      <c r="AM51" s="303"/>
      <c r="AN51" s="303"/>
      <c r="AO51" s="303"/>
      <c r="AP51" s="303"/>
      <c r="AQ51" s="303"/>
      <c r="AR51" s="304"/>
      <c r="AS51" s="169"/>
      <c r="AU51" s="515"/>
      <c r="AV51" s="537" t="str">
        <f>IF(Roster!$B$12=0,"",Roster!$B$12)</f>
        <v/>
      </c>
      <c r="AW51" s="303"/>
      <c r="AX51" s="303"/>
      <c r="AY51" s="303"/>
      <c r="AZ51" s="303"/>
      <c r="BA51" s="303"/>
      <c r="BB51" s="303"/>
      <c r="BC51" s="303"/>
      <c r="BD51" s="303"/>
      <c r="BE51" s="303"/>
      <c r="BF51" s="303"/>
      <c r="BG51" s="304"/>
      <c r="BH51" s="169"/>
    </row>
    <row r="52" spans="2:60" ht="11.25" customHeight="1" x14ac:dyDescent="0.2">
      <c r="B52" s="516"/>
      <c r="C52" s="517" t="str">
        <f>IF(Roster!$D$9=0,"",Roster!$D$9)</f>
        <v>Gnoblar</v>
      </c>
      <c r="D52" s="303"/>
      <c r="E52" s="303"/>
      <c r="F52" s="303"/>
      <c r="G52" s="303"/>
      <c r="H52" s="303"/>
      <c r="I52" s="303"/>
      <c r="J52" s="303"/>
      <c r="K52" s="303"/>
      <c r="L52" s="303"/>
      <c r="M52" s="303"/>
      <c r="N52" s="304"/>
      <c r="O52" s="170"/>
      <c r="Q52" s="516"/>
      <c r="R52" s="517" t="str">
        <f>IF(Roster!$D$10=0,"",Roster!$D$10)</f>
        <v>Gnoblar</v>
      </c>
      <c r="S52" s="303"/>
      <c r="T52" s="303"/>
      <c r="U52" s="303"/>
      <c r="V52" s="303"/>
      <c r="W52" s="303"/>
      <c r="X52" s="303"/>
      <c r="Y52" s="303"/>
      <c r="Z52" s="303"/>
      <c r="AA52" s="303"/>
      <c r="AB52" s="303"/>
      <c r="AC52" s="304"/>
      <c r="AD52" s="170"/>
      <c r="AF52" s="516"/>
      <c r="AG52" s="517" t="str">
        <f>IF(Roster!$D$11=0,"",Roster!$D$11)</f>
        <v>Gnoblar</v>
      </c>
      <c r="AH52" s="303"/>
      <c r="AI52" s="303"/>
      <c r="AJ52" s="303"/>
      <c r="AK52" s="303"/>
      <c r="AL52" s="303"/>
      <c r="AM52" s="303"/>
      <c r="AN52" s="303"/>
      <c r="AO52" s="303"/>
      <c r="AP52" s="303"/>
      <c r="AQ52" s="303"/>
      <c r="AR52" s="304"/>
      <c r="AS52" s="170"/>
      <c r="AU52" s="516"/>
      <c r="AV52" s="517" t="str">
        <f>IF(Roster!$D$12=0,"",Roster!$D$12)</f>
        <v/>
      </c>
      <c r="AW52" s="303"/>
      <c r="AX52" s="303"/>
      <c r="AY52" s="303"/>
      <c r="AZ52" s="303"/>
      <c r="BA52" s="303"/>
      <c r="BB52" s="303"/>
      <c r="BC52" s="303"/>
      <c r="BD52" s="303"/>
      <c r="BE52" s="303"/>
      <c r="BF52" s="303"/>
      <c r="BG52" s="304"/>
      <c r="BH52" s="170"/>
    </row>
    <row r="53" spans="2:60" ht="11.25" customHeight="1" x14ac:dyDescent="0.2">
      <c r="B53" s="173" t="str">
        <f>IF(Roster!$K$1=0,"",Roster!$K$1)</f>
        <v>MA</v>
      </c>
      <c r="C53" s="174"/>
      <c r="D53" s="174"/>
      <c r="E53" s="174"/>
      <c r="F53" s="174"/>
      <c r="G53" s="174"/>
      <c r="H53" s="174"/>
      <c r="I53" s="174"/>
      <c r="J53" s="174"/>
      <c r="K53" s="174"/>
      <c r="L53" s="174"/>
      <c r="M53" s="174"/>
      <c r="N53" s="174"/>
      <c r="O53" s="169"/>
      <c r="Q53" s="173" t="str">
        <f>IF(Roster!$K$1=0,"",Roster!$K$1)</f>
        <v>MA</v>
      </c>
      <c r="R53" s="174"/>
      <c r="S53" s="174"/>
      <c r="T53" s="174"/>
      <c r="U53" s="174"/>
      <c r="V53" s="174"/>
      <c r="W53" s="174"/>
      <c r="X53" s="174"/>
      <c r="Y53" s="174"/>
      <c r="Z53" s="174"/>
      <c r="AA53" s="174"/>
      <c r="AB53" s="174"/>
      <c r="AC53" s="174"/>
      <c r="AD53" s="169"/>
      <c r="AF53" s="173" t="str">
        <f>IF(Roster!$K$1=0,"",Roster!$K$1)</f>
        <v>MA</v>
      </c>
      <c r="AG53" s="174"/>
      <c r="AH53" s="174"/>
      <c r="AI53" s="174"/>
      <c r="AJ53" s="174"/>
      <c r="AK53" s="174"/>
      <c r="AL53" s="174"/>
      <c r="AM53" s="174"/>
      <c r="AN53" s="174"/>
      <c r="AO53" s="174"/>
      <c r="AP53" s="174"/>
      <c r="AQ53" s="174"/>
      <c r="AR53" s="174"/>
      <c r="AS53" s="169"/>
      <c r="AU53" s="173" t="str">
        <f>IF(Roster!$K$1=0,"",Roster!$K$1)</f>
        <v>MA</v>
      </c>
      <c r="AV53" s="174"/>
      <c r="AW53" s="174"/>
      <c r="AX53" s="174"/>
      <c r="AY53" s="174"/>
      <c r="AZ53" s="174"/>
      <c r="BA53" s="174"/>
      <c r="BB53" s="174"/>
      <c r="BC53" s="174"/>
      <c r="BD53" s="174"/>
      <c r="BE53" s="174"/>
      <c r="BF53" s="174"/>
      <c r="BG53" s="174"/>
      <c r="BH53" s="169"/>
    </row>
    <row r="54" spans="2:60" ht="37.5" customHeight="1" x14ac:dyDescent="0.2">
      <c r="B54" s="176">
        <f>IF(Roster!$K$9=0,"",Roster!$K$9)</f>
        <v>5</v>
      </c>
      <c r="C54" s="174"/>
      <c r="D54" s="538"/>
      <c r="E54" s="539"/>
      <c r="F54" s="539"/>
      <c r="G54" s="539"/>
      <c r="H54" s="539"/>
      <c r="I54" s="539"/>
      <c r="J54" s="539"/>
      <c r="K54" s="539"/>
      <c r="L54" s="539"/>
      <c r="M54" s="539"/>
      <c r="N54" s="540"/>
      <c r="O54" s="169"/>
      <c r="Q54" s="176">
        <f>IF(Roster!$K$10=0,"",Roster!$K$10)</f>
        <v>5</v>
      </c>
      <c r="R54" s="174"/>
      <c r="S54" s="538"/>
      <c r="T54" s="539"/>
      <c r="U54" s="539"/>
      <c r="V54" s="539"/>
      <c r="W54" s="539"/>
      <c r="X54" s="539"/>
      <c r="Y54" s="539"/>
      <c r="Z54" s="539"/>
      <c r="AA54" s="539"/>
      <c r="AB54" s="539"/>
      <c r="AC54" s="540"/>
      <c r="AD54" s="169"/>
      <c r="AF54" s="176">
        <f>IF(Roster!$K$11=0,"",Roster!$K$11)</f>
        <v>5</v>
      </c>
      <c r="AG54" s="174"/>
      <c r="AH54" s="538"/>
      <c r="AI54" s="539"/>
      <c r="AJ54" s="539"/>
      <c r="AK54" s="539"/>
      <c r="AL54" s="539"/>
      <c r="AM54" s="539"/>
      <c r="AN54" s="539"/>
      <c r="AO54" s="539"/>
      <c r="AP54" s="539"/>
      <c r="AQ54" s="539"/>
      <c r="AR54" s="540"/>
      <c r="AS54" s="169"/>
      <c r="AU54" s="176" t="str">
        <f>IF(Roster!$K$12=0,"",Roster!$K$12)</f>
        <v/>
      </c>
      <c r="AV54" s="174"/>
      <c r="AW54" s="538"/>
      <c r="AX54" s="539"/>
      <c r="AY54" s="539"/>
      <c r="AZ54" s="539"/>
      <c r="BA54" s="539"/>
      <c r="BB54" s="539"/>
      <c r="BC54" s="539"/>
      <c r="BD54" s="539"/>
      <c r="BE54" s="539"/>
      <c r="BF54" s="539"/>
      <c r="BG54" s="540"/>
      <c r="BH54" s="169"/>
    </row>
    <row r="55" spans="2:60" ht="11.25" customHeight="1" x14ac:dyDescent="0.2">
      <c r="B55" s="173" t="str">
        <f>IF(Roster!$L$1=0,"",Roster!$L$1)</f>
        <v>ST</v>
      </c>
      <c r="C55" s="174"/>
      <c r="D55" s="541"/>
      <c r="E55" s="542"/>
      <c r="F55" s="542"/>
      <c r="G55" s="542"/>
      <c r="H55" s="542"/>
      <c r="I55" s="542"/>
      <c r="J55" s="542"/>
      <c r="K55" s="542"/>
      <c r="L55" s="542"/>
      <c r="M55" s="542"/>
      <c r="N55" s="543"/>
      <c r="O55" s="169"/>
      <c r="Q55" s="173" t="str">
        <f>IF(Roster!$L$1=0,"",Roster!$L$1)</f>
        <v>ST</v>
      </c>
      <c r="R55" s="174"/>
      <c r="S55" s="541"/>
      <c r="T55" s="542"/>
      <c r="U55" s="542"/>
      <c r="V55" s="542"/>
      <c r="W55" s="542"/>
      <c r="X55" s="542"/>
      <c r="Y55" s="542"/>
      <c r="Z55" s="542"/>
      <c r="AA55" s="542"/>
      <c r="AB55" s="542"/>
      <c r="AC55" s="543"/>
      <c r="AD55" s="169"/>
      <c r="AF55" s="173" t="str">
        <f>IF(Roster!$L$1=0,"",Roster!$L$1)</f>
        <v>ST</v>
      </c>
      <c r="AG55" s="174"/>
      <c r="AH55" s="541"/>
      <c r="AI55" s="542"/>
      <c r="AJ55" s="542"/>
      <c r="AK55" s="542"/>
      <c r="AL55" s="542"/>
      <c r="AM55" s="542"/>
      <c r="AN55" s="542"/>
      <c r="AO55" s="542"/>
      <c r="AP55" s="542"/>
      <c r="AQ55" s="542"/>
      <c r="AR55" s="543"/>
      <c r="AS55" s="169"/>
      <c r="AU55" s="173" t="str">
        <f>IF(Roster!$L$1=0,"",Roster!$L$1)</f>
        <v>ST</v>
      </c>
      <c r="AV55" s="174"/>
      <c r="AW55" s="541"/>
      <c r="AX55" s="542"/>
      <c r="AY55" s="542"/>
      <c r="AZ55" s="542"/>
      <c r="BA55" s="542"/>
      <c r="BB55" s="542"/>
      <c r="BC55" s="542"/>
      <c r="BD55" s="542"/>
      <c r="BE55" s="542"/>
      <c r="BF55" s="542"/>
      <c r="BG55" s="543"/>
      <c r="BH55" s="169"/>
    </row>
    <row r="56" spans="2:60" ht="37.5" customHeight="1" x14ac:dyDescent="0.2">
      <c r="B56" s="176">
        <f>IF(Roster!$L$9=0,"",Roster!$L$9)</f>
        <v>1</v>
      </c>
      <c r="C56" s="174"/>
      <c r="D56" s="541"/>
      <c r="E56" s="542"/>
      <c r="F56" s="542"/>
      <c r="G56" s="542"/>
      <c r="H56" s="542"/>
      <c r="I56" s="542"/>
      <c r="J56" s="542"/>
      <c r="K56" s="542"/>
      <c r="L56" s="542"/>
      <c r="M56" s="542"/>
      <c r="N56" s="543"/>
      <c r="O56" s="169"/>
      <c r="Q56" s="176">
        <f>IF(Roster!$L$10=0,"",Roster!$L$10)</f>
        <v>1</v>
      </c>
      <c r="R56" s="174"/>
      <c r="S56" s="541"/>
      <c r="T56" s="542"/>
      <c r="U56" s="542"/>
      <c r="V56" s="542"/>
      <c r="W56" s="542"/>
      <c r="X56" s="542"/>
      <c r="Y56" s="542"/>
      <c r="Z56" s="542"/>
      <c r="AA56" s="542"/>
      <c r="AB56" s="542"/>
      <c r="AC56" s="543"/>
      <c r="AD56" s="169"/>
      <c r="AF56" s="176">
        <f>IF(Roster!$L$11=0,"",Roster!$L$11)</f>
        <v>1</v>
      </c>
      <c r="AG56" s="174"/>
      <c r="AH56" s="541"/>
      <c r="AI56" s="542"/>
      <c r="AJ56" s="542"/>
      <c r="AK56" s="542"/>
      <c r="AL56" s="542"/>
      <c r="AM56" s="542"/>
      <c r="AN56" s="542"/>
      <c r="AO56" s="542"/>
      <c r="AP56" s="542"/>
      <c r="AQ56" s="542"/>
      <c r="AR56" s="543"/>
      <c r="AS56" s="169"/>
      <c r="AU56" s="176" t="str">
        <f>IF(Roster!$L$12=0,"",Roster!$L$12)</f>
        <v/>
      </c>
      <c r="AV56" s="174"/>
      <c r="AW56" s="541"/>
      <c r="AX56" s="542"/>
      <c r="AY56" s="542"/>
      <c r="AZ56" s="542"/>
      <c r="BA56" s="542"/>
      <c r="BB56" s="542"/>
      <c r="BC56" s="542"/>
      <c r="BD56" s="542"/>
      <c r="BE56" s="542"/>
      <c r="BF56" s="542"/>
      <c r="BG56" s="543"/>
      <c r="BH56" s="169"/>
    </row>
    <row r="57" spans="2:60" ht="11.25" customHeight="1" x14ac:dyDescent="0.2">
      <c r="B57" s="173" t="str">
        <f>IF(Roster!$M$1=0,"",Roster!$M$1)</f>
        <v>AG</v>
      </c>
      <c r="C57" s="174"/>
      <c r="D57" s="541"/>
      <c r="E57" s="542"/>
      <c r="F57" s="542"/>
      <c r="G57" s="542"/>
      <c r="H57" s="542"/>
      <c r="I57" s="542"/>
      <c r="J57" s="542"/>
      <c r="K57" s="542"/>
      <c r="L57" s="542"/>
      <c r="M57" s="542"/>
      <c r="N57" s="543"/>
      <c r="O57" s="169"/>
      <c r="Q57" s="173" t="str">
        <f>IF(Roster!$M$1=0,"",Roster!$M$1)</f>
        <v>AG</v>
      </c>
      <c r="R57" s="174"/>
      <c r="S57" s="541"/>
      <c r="T57" s="542"/>
      <c r="U57" s="542"/>
      <c r="V57" s="542"/>
      <c r="W57" s="542"/>
      <c r="X57" s="542"/>
      <c r="Y57" s="542"/>
      <c r="Z57" s="542"/>
      <c r="AA57" s="542"/>
      <c r="AB57" s="542"/>
      <c r="AC57" s="543"/>
      <c r="AD57" s="169"/>
      <c r="AF57" s="173" t="str">
        <f>IF(Roster!$M$1=0,"",Roster!$M$1)</f>
        <v>AG</v>
      </c>
      <c r="AG57" s="174"/>
      <c r="AH57" s="541"/>
      <c r="AI57" s="542"/>
      <c r="AJ57" s="542"/>
      <c r="AK57" s="542"/>
      <c r="AL57" s="542"/>
      <c r="AM57" s="542"/>
      <c r="AN57" s="542"/>
      <c r="AO57" s="542"/>
      <c r="AP57" s="542"/>
      <c r="AQ57" s="542"/>
      <c r="AR57" s="543"/>
      <c r="AS57" s="169"/>
      <c r="AU57" s="173" t="str">
        <f>IF(Roster!$M$1=0,"",Roster!$M$1)</f>
        <v>AG</v>
      </c>
      <c r="AV57" s="174"/>
      <c r="AW57" s="541"/>
      <c r="AX57" s="542"/>
      <c r="AY57" s="542"/>
      <c r="AZ57" s="542"/>
      <c r="BA57" s="542"/>
      <c r="BB57" s="542"/>
      <c r="BC57" s="542"/>
      <c r="BD57" s="542"/>
      <c r="BE57" s="542"/>
      <c r="BF57" s="542"/>
      <c r="BG57" s="543"/>
      <c r="BH57" s="169"/>
    </row>
    <row r="58" spans="2:60" ht="37.5" customHeight="1" x14ac:dyDescent="0.2">
      <c r="B58" s="176" t="str">
        <f>IF(Roster!$M$9=0&amp;"+","",Roster!$M$9)</f>
        <v>3+</v>
      </c>
      <c r="C58" s="174"/>
      <c r="D58" s="541"/>
      <c r="E58" s="542"/>
      <c r="F58" s="542"/>
      <c r="G58" s="542"/>
      <c r="H58" s="542"/>
      <c r="I58" s="542"/>
      <c r="J58" s="542"/>
      <c r="K58" s="542"/>
      <c r="L58" s="542"/>
      <c r="M58" s="542"/>
      <c r="N58" s="543"/>
      <c r="O58" s="169"/>
      <c r="Q58" s="176" t="str">
        <f>IF(Roster!$M$10=0&amp;"+","",Roster!$M$10)</f>
        <v>3+</v>
      </c>
      <c r="R58" s="174"/>
      <c r="S58" s="541"/>
      <c r="T58" s="542"/>
      <c r="U58" s="542"/>
      <c r="V58" s="542"/>
      <c r="W58" s="542"/>
      <c r="X58" s="542"/>
      <c r="Y58" s="542"/>
      <c r="Z58" s="542"/>
      <c r="AA58" s="542"/>
      <c r="AB58" s="542"/>
      <c r="AC58" s="543"/>
      <c r="AD58" s="169"/>
      <c r="AF58" s="176" t="str">
        <f>IF(Roster!$M$11=0&amp;"+","",Roster!$M$11)</f>
        <v>3+</v>
      </c>
      <c r="AG58" s="174"/>
      <c r="AH58" s="541"/>
      <c r="AI58" s="542"/>
      <c r="AJ58" s="542"/>
      <c r="AK58" s="542"/>
      <c r="AL58" s="542"/>
      <c r="AM58" s="542"/>
      <c r="AN58" s="542"/>
      <c r="AO58" s="542"/>
      <c r="AP58" s="542"/>
      <c r="AQ58" s="542"/>
      <c r="AR58" s="543"/>
      <c r="AS58" s="169"/>
      <c r="AU58" s="176" t="str">
        <f>IF(Roster!$M$12=0&amp;"+","",Roster!$M$12)</f>
        <v/>
      </c>
      <c r="AV58" s="174"/>
      <c r="AW58" s="541"/>
      <c r="AX58" s="542"/>
      <c r="AY58" s="542"/>
      <c r="AZ58" s="542"/>
      <c r="BA58" s="542"/>
      <c r="BB58" s="542"/>
      <c r="BC58" s="542"/>
      <c r="BD58" s="542"/>
      <c r="BE58" s="542"/>
      <c r="BF58" s="542"/>
      <c r="BG58" s="543"/>
      <c r="BH58" s="169"/>
    </row>
    <row r="59" spans="2:60" ht="11.25" customHeight="1" x14ac:dyDescent="0.2">
      <c r="B59" s="173" t="str">
        <f>IF(Roster!$N$1=0,"",Roster!$N$1)</f>
        <v>PA</v>
      </c>
      <c r="C59" s="174"/>
      <c r="D59" s="541"/>
      <c r="E59" s="542"/>
      <c r="F59" s="542"/>
      <c r="G59" s="542"/>
      <c r="H59" s="542"/>
      <c r="I59" s="542"/>
      <c r="J59" s="542"/>
      <c r="K59" s="542"/>
      <c r="L59" s="542"/>
      <c r="M59" s="542"/>
      <c r="N59" s="543"/>
      <c r="O59" s="178"/>
      <c r="Q59" s="173" t="str">
        <f>IF(Roster!$N$1=0,"",Roster!$N$1)</f>
        <v>PA</v>
      </c>
      <c r="R59" s="174"/>
      <c r="S59" s="541"/>
      <c r="T59" s="542"/>
      <c r="U59" s="542"/>
      <c r="V59" s="542"/>
      <c r="W59" s="542"/>
      <c r="X59" s="542"/>
      <c r="Y59" s="542"/>
      <c r="Z59" s="542"/>
      <c r="AA59" s="542"/>
      <c r="AB59" s="542"/>
      <c r="AC59" s="543"/>
      <c r="AD59" s="178"/>
      <c r="AF59" s="173" t="str">
        <f>IF(Roster!$N$1=0,"",Roster!$N$1)</f>
        <v>PA</v>
      </c>
      <c r="AG59" s="174"/>
      <c r="AH59" s="541"/>
      <c r="AI59" s="542"/>
      <c r="AJ59" s="542"/>
      <c r="AK59" s="542"/>
      <c r="AL59" s="542"/>
      <c r="AM59" s="542"/>
      <c r="AN59" s="542"/>
      <c r="AO59" s="542"/>
      <c r="AP59" s="542"/>
      <c r="AQ59" s="542"/>
      <c r="AR59" s="543"/>
      <c r="AS59" s="178"/>
      <c r="AU59" s="173" t="str">
        <f>IF(Roster!$N$1=0,"",Roster!$N$1)</f>
        <v>PA</v>
      </c>
      <c r="AV59" s="174"/>
      <c r="AW59" s="541"/>
      <c r="AX59" s="542"/>
      <c r="AY59" s="542"/>
      <c r="AZ59" s="542"/>
      <c r="BA59" s="542"/>
      <c r="BB59" s="542"/>
      <c r="BC59" s="542"/>
      <c r="BD59" s="542"/>
      <c r="BE59" s="542"/>
      <c r="BF59" s="542"/>
      <c r="BG59" s="543"/>
      <c r="BH59" s="178"/>
    </row>
    <row r="60" spans="2:60" ht="6" customHeight="1" x14ac:dyDescent="0.2">
      <c r="B60" s="530" t="str">
        <f>IF(Roster!$N$9=0&amp;"+","",Roster!$N$9)</f>
        <v>5+</v>
      </c>
      <c r="C60" s="174"/>
      <c r="D60" s="544"/>
      <c r="E60" s="545"/>
      <c r="F60" s="545"/>
      <c r="G60" s="545"/>
      <c r="H60" s="545"/>
      <c r="I60" s="545"/>
      <c r="J60" s="545"/>
      <c r="K60" s="545"/>
      <c r="L60" s="545"/>
      <c r="M60" s="545"/>
      <c r="N60" s="546"/>
      <c r="O60" s="180"/>
      <c r="Q60" s="530" t="str">
        <f>IF(Roster!$N$10=0&amp;"+","",Roster!$N$10)</f>
        <v>5+</v>
      </c>
      <c r="R60" s="174"/>
      <c r="S60" s="544"/>
      <c r="T60" s="545"/>
      <c r="U60" s="545"/>
      <c r="V60" s="545"/>
      <c r="W60" s="545"/>
      <c r="X60" s="545"/>
      <c r="Y60" s="545"/>
      <c r="Z60" s="545"/>
      <c r="AA60" s="545"/>
      <c r="AB60" s="545"/>
      <c r="AC60" s="546"/>
      <c r="AD60" s="180"/>
      <c r="AF60" s="530" t="str">
        <f>IF(Roster!$N$11=0&amp;"+","",Roster!$N$11)</f>
        <v>5+</v>
      </c>
      <c r="AG60" s="174"/>
      <c r="AH60" s="544"/>
      <c r="AI60" s="545"/>
      <c r="AJ60" s="545"/>
      <c r="AK60" s="545"/>
      <c r="AL60" s="545"/>
      <c r="AM60" s="545"/>
      <c r="AN60" s="545"/>
      <c r="AO60" s="545"/>
      <c r="AP60" s="545"/>
      <c r="AQ60" s="545"/>
      <c r="AR60" s="546"/>
      <c r="AS60" s="180"/>
      <c r="AU60" s="530" t="str">
        <f>IF(Roster!$N$12=0&amp;"+","",Roster!$N$12)</f>
        <v/>
      </c>
      <c r="AV60" s="174"/>
      <c r="AW60" s="544"/>
      <c r="AX60" s="545"/>
      <c r="AY60" s="545"/>
      <c r="AZ60" s="545"/>
      <c r="BA60" s="545"/>
      <c r="BB60" s="545"/>
      <c r="BC60" s="545"/>
      <c r="BD60" s="545"/>
      <c r="BE60" s="545"/>
      <c r="BF60" s="545"/>
      <c r="BG60" s="546"/>
      <c r="BH60" s="180"/>
    </row>
    <row r="61" spans="2:60" ht="4.5" customHeight="1" x14ac:dyDescent="0.2">
      <c r="B61" s="531"/>
      <c r="C61" s="172"/>
      <c r="D61" s="181"/>
      <c r="E61" s="179"/>
      <c r="F61" s="181"/>
      <c r="G61" s="179"/>
      <c r="H61" s="181"/>
      <c r="I61" s="179"/>
      <c r="J61" s="181"/>
      <c r="K61" s="179"/>
      <c r="L61" s="181"/>
      <c r="M61" s="179"/>
      <c r="N61" s="181"/>
      <c r="O61" s="180"/>
      <c r="Q61" s="531"/>
      <c r="R61" s="172"/>
      <c r="S61" s="181"/>
      <c r="T61" s="179"/>
      <c r="U61" s="181"/>
      <c r="V61" s="179"/>
      <c r="W61" s="181"/>
      <c r="X61" s="179"/>
      <c r="Y61" s="181"/>
      <c r="Z61" s="179"/>
      <c r="AA61" s="181"/>
      <c r="AB61" s="179"/>
      <c r="AC61" s="181"/>
      <c r="AD61" s="180"/>
      <c r="AF61" s="531"/>
      <c r="AG61" s="172"/>
      <c r="AH61" s="181"/>
      <c r="AI61" s="179"/>
      <c r="AJ61" s="181"/>
      <c r="AK61" s="179"/>
      <c r="AL61" s="181"/>
      <c r="AM61" s="179"/>
      <c r="AN61" s="181"/>
      <c r="AO61" s="179"/>
      <c r="AP61" s="181"/>
      <c r="AQ61" s="179"/>
      <c r="AR61" s="181"/>
      <c r="AS61" s="180"/>
      <c r="AU61" s="531"/>
      <c r="AV61" s="172"/>
      <c r="AW61" s="181"/>
      <c r="AX61" s="179"/>
      <c r="AY61" s="181"/>
      <c r="AZ61" s="179"/>
      <c r="BA61" s="181"/>
      <c r="BB61" s="179"/>
      <c r="BC61" s="181"/>
      <c r="BD61" s="179"/>
      <c r="BE61" s="181"/>
      <c r="BF61" s="179"/>
      <c r="BG61" s="181"/>
      <c r="BH61" s="180"/>
    </row>
    <row r="62" spans="2:60" ht="11.25" customHeight="1" x14ac:dyDescent="0.2">
      <c r="B62" s="531"/>
      <c r="C62" s="172"/>
      <c r="D62" s="211" t="str">
        <f>IF(Roster!$AD$1=0,"",Roster!$AD$1)</f>
        <v>TD</v>
      </c>
      <c r="E62" s="206"/>
      <c r="F62" s="211" t="str">
        <f>IF(Roster!$K$25="Español","HER",(IF(Roster!$K$25="Deutsch","VER",(IF(Roster!$K$25="Français","BLES","CAS")))))</f>
        <v>CAS</v>
      </c>
      <c r="G62" s="206"/>
      <c r="H62" s="211" t="str">
        <f>IF(Roster!$AG$1=0,"",Roster!$AG$1)</f>
        <v>BH</v>
      </c>
      <c r="I62" s="206"/>
      <c r="J62" s="211" t="str">
        <f>IF(Roster!$AH$1=0,"",Roster!$AH$1)</f>
        <v>SI</v>
      </c>
      <c r="K62" s="206"/>
      <c r="L62" s="211" t="str">
        <f>IF(Roster!$AI$1=0,"",Roster!$AI$1)</f>
        <v>KILL</v>
      </c>
      <c r="M62" s="206"/>
      <c r="N62" s="211" t="str">
        <f>IF(Roster!$AC$1=0,"",Roster!$AC$1)</f>
        <v>CP</v>
      </c>
      <c r="O62" s="180"/>
      <c r="Q62" s="531"/>
      <c r="R62" s="172"/>
      <c r="S62" s="211" t="str">
        <f>IF(Roster!$AD$1=0,"",Roster!$AD$1)</f>
        <v>TD</v>
      </c>
      <c r="T62" s="206"/>
      <c r="U62" s="211" t="str">
        <f>IF(Roster!$K$25="Español","HER",(IF(Roster!$K$25="Deutsch","VER",(IF(Roster!$K$25="Français","BLES","CAS")))))</f>
        <v>CAS</v>
      </c>
      <c r="V62" s="206"/>
      <c r="W62" s="211" t="str">
        <f>IF(Roster!$AG$1=0,"",Roster!$AG$1)</f>
        <v>BH</v>
      </c>
      <c r="X62" s="206"/>
      <c r="Y62" s="211" t="str">
        <f>IF(Roster!$AH$1=0,"",Roster!$AH$1)</f>
        <v>SI</v>
      </c>
      <c r="Z62" s="206"/>
      <c r="AA62" s="211" t="str">
        <f>IF(Roster!$AI$1=0,"",Roster!$AI$1)</f>
        <v>KILL</v>
      </c>
      <c r="AB62" s="206"/>
      <c r="AC62" s="211" t="str">
        <f>IF(Roster!$AC$1=0,"",Roster!$AC$1)</f>
        <v>CP</v>
      </c>
      <c r="AD62" s="180"/>
      <c r="AF62" s="531"/>
      <c r="AG62" s="172"/>
      <c r="AH62" s="211" t="str">
        <f>IF(Roster!$AD$1=0,"",Roster!$AD$1)</f>
        <v>TD</v>
      </c>
      <c r="AI62" s="206"/>
      <c r="AJ62" s="211" t="str">
        <f>IF(Roster!$K$25="Español","HER",(IF(Roster!$K$25="Deutsch","VER",(IF(Roster!$K$25="Français","BLES","CAS")))))</f>
        <v>CAS</v>
      </c>
      <c r="AK62" s="206"/>
      <c r="AL62" s="211" t="str">
        <f>IF(Roster!$AG$1=0,"",Roster!$AG$1)</f>
        <v>BH</v>
      </c>
      <c r="AM62" s="206"/>
      <c r="AN62" s="211" t="str">
        <f>IF(Roster!$AH$1=0,"",Roster!$AH$1)</f>
        <v>SI</v>
      </c>
      <c r="AO62" s="206"/>
      <c r="AP62" s="211" t="str">
        <f>IF(Roster!$AI$1=0,"",Roster!$AI$1)</f>
        <v>KILL</v>
      </c>
      <c r="AQ62" s="206"/>
      <c r="AR62" s="211" t="str">
        <f>IF(Roster!$AC$1=0,"",Roster!$AC$1)</f>
        <v>CP</v>
      </c>
      <c r="AS62" s="180"/>
      <c r="AU62" s="531"/>
      <c r="AV62" s="172"/>
      <c r="AW62" s="211" t="str">
        <f>IF(Roster!$AD$1=0,"",Roster!$AD$1)</f>
        <v>TD</v>
      </c>
      <c r="AX62" s="206"/>
      <c r="AY62" s="211" t="str">
        <f>IF(Roster!$K$25="Español","HER",(IF(Roster!$K$25="Deutsch","VER",(IF(Roster!$K$25="Français","BLES","CAS")))))</f>
        <v>CAS</v>
      </c>
      <c r="AZ62" s="206"/>
      <c r="BA62" s="211" t="str">
        <f>IF(Roster!$AG$1=0,"",Roster!$AG$1)</f>
        <v>BH</v>
      </c>
      <c r="BB62" s="206"/>
      <c r="BC62" s="211" t="str">
        <f>IF(Roster!$AH$1=0,"",Roster!$AH$1)</f>
        <v>SI</v>
      </c>
      <c r="BD62" s="206"/>
      <c r="BE62" s="211" t="str">
        <f>IF(Roster!$AI$1=0,"",Roster!$AI$1)</f>
        <v>KILL</v>
      </c>
      <c r="BF62" s="206"/>
      <c r="BG62" s="211" t="str">
        <f>IF(Roster!$AC$1=0,"",Roster!$AC$1)</f>
        <v>CP</v>
      </c>
      <c r="BH62" s="180"/>
    </row>
    <row r="63" spans="2:60" ht="15" customHeight="1" x14ac:dyDescent="0.2">
      <c r="B63" s="531"/>
      <c r="C63" s="175"/>
      <c r="D63" s="212">
        <f>IF(Roster!$AD$9=0,"",Roster!$AD$9)</f>
        <v>1</v>
      </c>
      <c r="E63" s="207"/>
      <c r="F63" s="212" t="str">
        <f>IF((SUM(H63,J63,L63))=0,"",(SUM(H63,J63,L63)))</f>
        <v/>
      </c>
      <c r="G63" s="207"/>
      <c r="H63" s="212" t="str">
        <f>IF(Roster!$AG$9=0,"",Roster!$AG$9)</f>
        <v/>
      </c>
      <c r="I63" s="207"/>
      <c r="J63" s="212" t="str">
        <f>IF(Roster!$AH$9=0,"",Roster!$AH$9)</f>
        <v/>
      </c>
      <c r="K63" s="207"/>
      <c r="L63" s="212" t="str">
        <f>IF(Roster!$AI$9=0,"",Roster!$AI$9)</f>
        <v/>
      </c>
      <c r="M63" s="207"/>
      <c r="N63" s="212" t="str">
        <f>IF(Roster!$AC$9=0,"",Roster!$AC$9)</f>
        <v/>
      </c>
      <c r="O63" s="180"/>
      <c r="Q63" s="531"/>
      <c r="R63" s="175"/>
      <c r="S63" s="212" t="str">
        <f>IF(Roster!$AD$10=0,"",Roster!$AD$10)</f>
        <v/>
      </c>
      <c r="T63" s="207"/>
      <c r="U63" s="212" t="str">
        <f>IF((SUM(W63,Y63,AA63))=0,"",(SUM(W63,Y63,AA63)))</f>
        <v/>
      </c>
      <c r="V63" s="207"/>
      <c r="W63" s="212" t="str">
        <f>IF(Roster!$AG$10=0,"",Roster!$AG$10)</f>
        <v/>
      </c>
      <c r="X63" s="207"/>
      <c r="Y63" s="212" t="str">
        <f>IF(Roster!$AH$10=0,"",Roster!$AH$10)</f>
        <v/>
      </c>
      <c r="Z63" s="207"/>
      <c r="AA63" s="212" t="str">
        <f>IF(Roster!$AI$10=0,"",Roster!$AI$10)</f>
        <v/>
      </c>
      <c r="AB63" s="207"/>
      <c r="AC63" s="212" t="str">
        <f>IF(Roster!$AC$10=0,"",Roster!$AC$10)</f>
        <v/>
      </c>
      <c r="AD63" s="180"/>
      <c r="AF63" s="531"/>
      <c r="AG63" s="175"/>
      <c r="AH63" s="212" t="str">
        <f>IF(Roster!$AD$11=0,"",Roster!$AD$11)</f>
        <v/>
      </c>
      <c r="AI63" s="207"/>
      <c r="AJ63" s="212" t="str">
        <f>IF((SUM(AL63,AN63,AP63))=0,"",(SUM(AL63,AN63,AP63)))</f>
        <v/>
      </c>
      <c r="AK63" s="207"/>
      <c r="AL63" s="212" t="str">
        <f>IF(Roster!$AG$11=0,"",Roster!$AG$11)</f>
        <v/>
      </c>
      <c r="AM63" s="207"/>
      <c r="AN63" s="212" t="str">
        <f>IF(Roster!$AH$11=0,"",Roster!$AH$11)</f>
        <v/>
      </c>
      <c r="AO63" s="207"/>
      <c r="AP63" s="212" t="str">
        <f>IF(Roster!$AI$11=0,"",Roster!$AI$11)</f>
        <v/>
      </c>
      <c r="AQ63" s="207"/>
      <c r="AR63" s="212" t="str">
        <f>IF(Roster!$AC$11=0,"",Roster!$AC$11)</f>
        <v/>
      </c>
      <c r="AS63" s="180"/>
      <c r="AU63" s="531"/>
      <c r="AV63" s="175"/>
      <c r="AW63" s="212" t="str">
        <f>IF(Roster!$AD$12=0,"",Roster!$AD$12)</f>
        <v/>
      </c>
      <c r="AX63" s="207"/>
      <c r="AY63" s="212" t="str">
        <f>IF((SUM(BA63,BC63,BE63))=0,"",(SUM(BA63,BC63,BE63)))</f>
        <v/>
      </c>
      <c r="AZ63" s="207"/>
      <c r="BA63" s="212" t="str">
        <f>IF(Roster!$AG$12=0,"",Roster!$AG$12)</f>
        <v/>
      </c>
      <c r="BB63" s="207"/>
      <c r="BC63" s="212" t="str">
        <f>IF(Roster!$AH$12=0,"",Roster!$AH$12)</f>
        <v/>
      </c>
      <c r="BD63" s="207"/>
      <c r="BE63" s="212" t="str">
        <f>IF(Roster!$AI$12=0,"",Roster!$AI$12)</f>
        <v/>
      </c>
      <c r="BF63" s="207"/>
      <c r="BG63" s="212" t="str">
        <f>IF(Roster!$AC$12=0,"",Roster!$AC$12)</f>
        <v/>
      </c>
      <c r="BH63" s="180"/>
    </row>
    <row r="64" spans="2:60" ht="4.5" customHeight="1" x14ac:dyDescent="0.2">
      <c r="B64" s="337"/>
      <c r="C64" s="175"/>
      <c r="D64" s="208"/>
      <c r="E64" s="207"/>
      <c r="F64" s="208"/>
      <c r="G64" s="207"/>
      <c r="H64" s="208"/>
      <c r="I64" s="207"/>
      <c r="J64" s="208"/>
      <c r="K64" s="207"/>
      <c r="L64" s="208"/>
      <c r="M64" s="207"/>
      <c r="N64" s="208"/>
      <c r="O64" s="180"/>
      <c r="Q64" s="337"/>
      <c r="R64" s="175"/>
      <c r="S64" s="208"/>
      <c r="T64" s="207"/>
      <c r="U64" s="208"/>
      <c r="V64" s="207"/>
      <c r="W64" s="208"/>
      <c r="X64" s="207"/>
      <c r="Y64" s="208"/>
      <c r="Z64" s="207"/>
      <c r="AA64" s="208"/>
      <c r="AB64" s="207"/>
      <c r="AC64" s="208"/>
      <c r="AD64" s="180"/>
      <c r="AF64" s="337"/>
      <c r="AG64" s="175"/>
      <c r="AH64" s="208"/>
      <c r="AI64" s="207"/>
      <c r="AJ64" s="208"/>
      <c r="AK64" s="207"/>
      <c r="AL64" s="208"/>
      <c r="AM64" s="207"/>
      <c r="AN64" s="208"/>
      <c r="AO64" s="207"/>
      <c r="AP64" s="208"/>
      <c r="AQ64" s="207"/>
      <c r="AR64" s="208"/>
      <c r="AS64" s="180"/>
      <c r="AU64" s="337"/>
      <c r="AV64" s="175"/>
      <c r="AW64" s="208"/>
      <c r="AX64" s="207"/>
      <c r="AY64" s="208"/>
      <c r="AZ64" s="207"/>
      <c r="BA64" s="208"/>
      <c r="BB64" s="207"/>
      <c r="BC64" s="208"/>
      <c r="BD64" s="207"/>
      <c r="BE64" s="208"/>
      <c r="BF64" s="207"/>
      <c r="BG64" s="208"/>
      <c r="BH64" s="180"/>
    </row>
    <row r="65" spans="2:60" ht="11.25" customHeight="1" x14ac:dyDescent="0.2">
      <c r="B65" s="173" t="str">
        <f>IF(Roster!$O$1=0,"",Roster!$O$1)</f>
        <v>AV</v>
      </c>
      <c r="C65" s="174"/>
      <c r="D65" s="211" t="str">
        <f>IF(Roster!$AE$1=0,"",Roster!$AE$1)</f>
        <v>DEF</v>
      </c>
      <c r="E65" s="209"/>
      <c r="F65" s="211" t="str">
        <f>IF(Roster!$AF$1=0,"",Roster!$AF$1)</f>
        <v>INT</v>
      </c>
      <c r="G65" s="209"/>
      <c r="H65" s="211" t="str">
        <f>IF(Roster!$AB$1=0,"",Roster!$AB$1)</f>
        <v>SPE</v>
      </c>
      <c r="I65" s="209"/>
      <c r="J65" s="211" t="str">
        <f>IF(Roster!$AJ$1=0,"",Roster!$AJ$1)</f>
        <v>MVP</v>
      </c>
      <c r="K65" s="209"/>
      <c r="L65" s="214" t="s">
        <v>257</v>
      </c>
      <c r="M65" s="209"/>
      <c r="N65" s="213" t="str">
        <f>IF(Roster!$K$25="Español","LPP/RT",(IF(Roster!$K$25="Deutsch","VNS/AD",(IF(Roster!$K$25="Français","RPM/RT","MNG/TR")))))</f>
        <v>MNG/TR</v>
      </c>
      <c r="O65" s="169"/>
      <c r="Q65" s="173" t="str">
        <f>IF(Roster!$O$1=0,"",Roster!$O$1)</f>
        <v>AV</v>
      </c>
      <c r="R65" s="174"/>
      <c r="S65" s="211" t="str">
        <f>IF(Roster!$AE$1=0,"",Roster!$AE$1)</f>
        <v>DEF</v>
      </c>
      <c r="T65" s="209"/>
      <c r="U65" s="211" t="str">
        <f>IF(Roster!$AF$1=0,"",Roster!$AF$1)</f>
        <v>INT</v>
      </c>
      <c r="V65" s="209"/>
      <c r="W65" s="211" t="str">
        <f>IF(Roster!$AB$1=0,"",Roster!$AB$1)</f>
        <v>SPE</v>
      </c>
      <c r="X65" s="209"/>
      <c r="Y65" s="211" t="str">
        <f>IF(Roster!$AJ$1=0,"",Roster!$AJ$1)</f>
        <v>MVP</v>
      </c>
      <c r="Z65" s="209"/>
      <c r="AA65" s="214" t="s">
        <v>257</v>
      </c>
      <c r="AB65" s="209"/>
      <c r="AC65" s="213" t="str">
        <f>IF(Roster!$K$25="Español","LPP/RT",(IF(Roster!$K$25="Deutsch","VNS/AD",(IF(Roster!$K$25="Français","RPM/RT","MNG/TR")))))</f>
        <v>MNG/TR</v>
      </c>
      <c r="AD65" s="169"/>
      <c r="AF65" s="173" t="str">
        <f>IF(Roster!$O$1=0,"",Roster!$O$1)</f>
        <v>AV</v>
      </c>
      <c r="AG65" s="174"/>
      <c r="AH65" s="211" t="str">
        <f>IF(Roster!$AE$1=0,"",Roster!$AE$1)</f>
        <v>DEF</v>
      </c>
      <c r="AI65" s="209"/>
      <c r="AJ65" s="211" t="str">
        <f>IF(Roster!$AF$1=0,"",Roster!$AF$1)</f>
        <v>INT</v>
      </c>
      <c r="AK65" s="209"/>
      <c r="AL65" s="211" t="str">
        <f>IF(Roster!$AB$1=0,"",Roster!$AB$1)</f>
        <v>SPE</v>
      </c>
      <c r="AM65" s="209"/>
      <c r="AN65" s="211" t="str">
        <f>IF(Roster!$AJ$1=0,"",Roster!$AJ$1)</f>
        <v>MVP</v>
      </c>
      <c r="AO65" s="209"/>
      <c r="AP65" s="214" t="s">
        <v>257</v>
      </c>
      <c r="AQ65" s="209"/>
      <c r="AR65" s="213" t="str">
        <f>IF(Roster!$K$25="Español","LPP/RT",(IF(Roster!$K$25="Deutsch","VNS/AD",(IF(Roster!$K$25="Français","RPM/RT","MNG/TR")))))</f>
        <v>MNG/TR</v>
      </c>
      <c r="AS65" s="169"/>
      <c r="AU65" s="173" t="str">
        <f>IF(Roster!$O$1=0,"",Roster!$O$1)</f>
        <v>AV</v>
      </c>
      <c r="AV65" s="174"/>
      <c r="AW65" s="211" t="str">
        <f>IF(Roster!$AE$1=0,"",Roster!$AE$1)</f>
        <v>DEF</v>
      </c>
      <c r="AX65" s="209"/>
      <c r="AY65" s="211" t="str">
        <f>IF(Roster!$AF$1=0,"",Roster!$AF$1)</f>
        <v>INT</v>
      </c>
      <c r="AZ65" s="209"/>
      <c r="BA65" s="211" t="str">
        <f>IF(Roster!$AB$1=0,"",Roster!$AB$1)</f>
        <v>SPE</v>
      </c>
      <c r="BB65" s="209"/>
      <c r="BC65" s="211" t="str">
        <f>IF(Roster!$AJ$1=0,"",Roster!$AJ$1)</f>
        <v>MVP</v>
      </c>
      <c r="BD65" s="209"/>
      <c r="BE65" s="214" t="s">
        <v>257</v>
      </c>
      <c r="BF65" s="209"/>
      <c r="BG65" s="213" t="str">
        <f>IF(Roster!$K$25="Español","LPP/RT",(IF(Roster!$K$25="Deutsch","VNS/AD",(IF(Roster!$K$25="Français","RPM/RT","MNG/TR")))))</f>
        <v>MNG/TR</v>
      </c>
      <c r="BH65" s="169"/>
    </row>
    <row r="66" spans="2:60" ht="15" customHeight="1" x14ac:dyDescent="0.2">
      <c r="B66" s="530" t="str">
        <f>IF(Roster!$O$9=0&amp;"+","",Roster!$O$9)</f>
        <v>6+</v>
      </c>
      <c r="C66" s="175"/>
      <c r="D66" s="212" t="str">
        <f>IF(Roster!$AE$9=0,"",Roster!$AE$9)</f>
        <v/>
      </c>
      <c r="E66" s="207"/>
      <c r="F66" s="212" t="str">
        <f>IF(Roster!$AF$9=0,"",Roster!$AF$9)</f>
        <v/>
      </c>
      <c r="G66" s="207"/>
      <c r="H66" s="212" t="str">
        <f>IF(Roster!$AB$9=0,"",Roster!$AB$9)</f>
        <v/>
      </c>
      <c r="I66" s="207"/>
      <c r="J66" s="212" t="str">
        <f>IF(Roster!$AJ$9=0,"",Roster!$AJ$9)</f>
        <v/>
      </c>
      <c r="K66" s="207"/>
      <c r="L66" s="212">
        <f>IF(Roster!$AK$9=0,"",Roster!$AK$9)</f>
        <v>3</v>
      </c>
      <c r="M66" s="207"/>
      <c r="N66" s="212" t="str">
        <f>IF(Roster!$AA$9=0,"",Roster!$AA$9)</f>
        <v/>
      </c>
      <c r="O66" s="182"/>
      <c r="Q66" s="530" t="str">
        <f>IF(Roster!$O$10=0&amp;"+","",Roster!$O$10)</f>
        <v>6+</v>
      </c>
      <c r="R66" s="175"/>
      <c r="S66" s="212" t="str">
        <f>IF(Roster!$AE$10=0,"",Roster!$AE$10)</f>
        <v/>
      </c>
      <c r="T66" s="207"/>
      <c r="U66" s="212" t="str">
        <f>IF(Roster!$AF$10=0,"",Roster!$AF$10)</f>
        <v/>
      </c>
      <c r="V66" s="207"/>
      <c r="W66" s="212" t="str">
        <f>IF(Roster!$AB$10=0,"",Roster!$AB$10)</f>
        <v/>
      </c>
      <c r="X66" s="207"/>
      <c r="Y66" s="212" t="str">
        <f>IF(Roster!$AJ$10=0,"",Roster!$AJ$10)</f>
        <v/>
      </c>
      <c r="Z66" s="207"/>
      <c r="AA66" s="212" t="str">
        <f>IF(Roster!$AK$10=0,"",Roster!$AK$10)</f>
        <v/>
      </c>
      <c r="AB66" s="207"/>
      <c r="AC66" s="212" t="str">
        <f>IF(Roster!$AA$10=0,"",Roster!$AA$10)</f>
        <v/>
      </c>
      <c r="AD66" s="182"/>
      <c r="AF66" s="530" t="str">
        <f>IF(Roster!$O$11=0&amp;"+","",Roster!$O$11)</f>
        <v>6+</v>
      </c>
      <c r="AG66" s="175"/>
      <c r="AH66" s="212" t="str">
        <f>IF(Roster!$AE$11=0,"",Roster!$AE$11)</f>
        <v/>
      </c>
      <c r="AI66" s="207"/>
      <c r="AJ66" s="212" t="str">
        <f>IF(Roster!$AF$11=0,"",Roster!$AF$11)</f>
        <v/>
      </c>
      <c r="AK66" s="207"/>
      <c r="AL66" s="212" t="str">
        <f>IF(Roster!$AB$11=0,"",Roster!$AB$11)</f>
        <v/>
      </c>
      <c r="AM66" s="207"/>
      <c r="AN66" s="212" t="str">
        <f>IF(Roster!$AJ$11=0,"",Roster!$AJ$11)</f>
        <v/>
      </c>
      <c r="AO66" s="207"/>
      <c r="AP66" s="212" t="str">
        <f>IF(Roster!$AK$11=0,"",Roster!$AK$11)</f>
        <v/>
      </c>
      <c r="AQ66" s="207"/>
      <c r="AR66" s="212" t="str">
        <f>IF(Roster!$AA$11=0,"",Roster!$AA$11)</f>
        <v/>
      </c>
      <c r="AS66" s="182"/>
      <c r="AU66" s="530" t="str">
        <f>IF(Roster!$O$12=0&amp;"+","",Roster!$O$12)</f>
        <v/>
      </c>
      <c r="AV66" s="175"/>
      <c r="AW66" s="212" t="str">
        <f>IF(Roster!$AE$12=0,"",Roster!$AE$12)</f>
        <v/>
      </c>
      <c r="AX66" s="207"/>
      <c r="AY66" s="212" t="str">
        <f>IF(Roster!$AF$12=0,"",Roster!$AF$12)</f>
        <v/>
      </c>
      <c r="AZ66" s="207"/>
      <c r="BA66" s="212" t="str">
        <f>IF(Roster!$AB$12=0,"",Roster!$AB$12)</f>
        <v/>
      </c>
      <c r="BB66" s="207"/>
      <c r="BC66" s="212" t="str">
        <f>IF(Roster!$AJ$12=0,"",Roster!$AJ$12)</f>
        <v/>
      </c>
      <c r="BD66" s="207"/>
      <c r="BE66" s="212" t="str">
        <f>IF(Roster!$AK$12=0,"",Roster!$AK$12)</f>
        <v/>
      </c>
      <c r="BF66" s="207"/>
      <c r="BG66" s="212" t="str">
        <f>IF(Roster!$AA$12=0,"",Roster!$AA$12)</f>
        <v/>
      </c>
      <c r="BH66" s="182"/>
    </row>
    <row r="67" spans="2:60" ht="4.5" customHeight="1" x14ac:dyDescent="0.2">
      <c r="B67" s="531"/>
      <c r="C67" s="175"/>
      <c r="D67" s="207"/>
      <c r="E67" s="207"/>
      <c r="F67" s="207"/>
      <c r="G67" s="207"/>
      <c r="H67" s="207"/>
      <c r="I67" s="207"/>
      <c r="J67" s="207"/>
      <c r="K67" s="207"/>
      <c r="L67" s="207"/>
      <c r="M67" s="207"/>
      <c r="N67" s="210"/>
      <c r="O67" s="182"/>
      <c r="Q67" s="531"/>
      <c r="R67" s="175"/>
      <c r="S67" s="207"/>
      <c r="T67" s="207"/>
      <c r="U67" s="207"/>
      <c r="V67" s="207"/>
      <c r="W67" s="207"/>
      <c r="X67" s="207"/>
      <c r="Y67" s="207"/>
      <c r="Z67" s="207"/>
      <c r="AA67" s="207"/>
      <c r="AB67" s="207"/>
      <c r="AC67" s="210"/>
      <c r="AD67" s="182"/>
      <c r="AF67" s="531"/>
      <c r="AG67" s="175"/>
      <c r="AH67" s="207"/>
      <c r="AI67" s="207"/>
      <c r="AJ67" s="207"/>
      <c r="AK67" s="207"/>
      <c r="AL67" s="207"/>
      <c r="AM67" s="207"/>
      <c r="AN67" s="207"/>
      <c r="AO67" s="207"/>
      <c r="AP67" s="207"/>
      <c r="AQ67" s="207"/>
      <c r="AR67" s="210"/>
      <c r="AS67" s="182"/>
      <c r="AU67" s="531"/>
      <c r="AV67" s="175"/>
      <c r="AW67" s="207"/>
      <c r="AX67" s="207"/>
      <c r="AY67" s="207"/>
      <c r="AZ67" s="207"/>
      <c r="BA67" s="207"/>
      <c r="BB67" s="207"/>
      <c r="BC67" s="207"/>
      <c r="BD67" s="207"/>
      <c r="BE67" s="207"/>
      <c r="BF67" s="207"/>
      <c r="BG67" s="210"/>
      <c r="BH67" s="182"/>
    </row>
    <row r="68" spans="2:60" ht="11.25" customHeight="1" x14ac:dyDescent="0.2">
      <c r="B68" s="531"/>
      <c r="C68" s="175"/>
      <c r="D68" s="562" t="str">
        <f>IF(Roster!$K$25="Italiano","ABILITÀ &amp; TRATTI",(IF(Roster!$K$25="Español","HABILIDADES Y RASGOS","SKILLS &amp; TRAITS")))</f>
        <v>SKILLS &amp; TRAITS</v>
      </c>
      <c r="E68" s="563"/>
      <c r="F68" s="563"/>
      <c r="G68" s="563"/>
      <c r="H68" s="563"/>
      <c r="I68" s="563"/>
      <c r="J68" s="563"/>
      <c r="K68" s="563"/>
      <c r="L68" s="563"/>
      <c r="M68" s="563"/>
      <c r="N68" s="564"/>
      <c r="O68" s="182"/>
      <c r="Q68" s="531"/>
      <c r="R68" s="175"/>
      <c r="S68" s="562" t="str">
        <f>IF(Roster!$K$25="Italiano","ABILITÀ &amp; TRATTI",(IF(Roster!$K$25="Español","HABILIDADES Y RASGOS","SKILLS &amp; TRAITS")))</f>
        <v>SKILLS &amp; TRAITS</v>
      </c>
      <c r="T68" s="563"/>
      <c r="U68" s="563"/>
      <c r="V68" s="563"/>
      <c r="W68" s="563"/>
      <c r="X68" s="563"/>
      <c r="Y68" s="563"/>
      <c r="Z68" s="563"/>
      <c r="AA68" s="563"/>
      <c r="AB68" s="563"/>
      <c r="AC68" s="564"/>
      <c r="AD68" s="182"/>
      <c r="AF68" s="531"/>
      <c r="AG68" s="175"/>
      <c r="AH68" s="562" t="str">
        <f>IF(Roster!$K$25="Italiano","ABILITÀ &amp; TRATTI",(IF(Roster!$K$25="Español","HABILIDADES Y RASGOS","SKILLS &amp; TRAITS")))</f>
        <v>SKILLS &amp; TRAITS</v>
      </c>
      <c r="AI68" s="563"/>
      <c r="AJ68" s="563"/>
      <c r="AK68" s="563"/>
      <c r="AL68" s="563"/>
      <c r="AM68" s="563"/>
      <c r="AN68" s="563"/>
      <c r="AO68" s="563"/>
      <c r="AP68" s="563"/>
      <c r="AQ68" s="563"/>
      <c r="AR68" s="564"/>
      <c r="AS68" s="182"/>
      <c r="AU68" s="531"/>
      <c r="AV68" s="175"/>
      <c r="AW68" s="562" t="str">
        <f>IF(Roster!$K$25="Italiano","ABILITÀ &amp; TRATTI",(IF(Roster!$K$25="Español","HABILIDADES Y RASGOS","SKILLS &amp; TRAITS")))</f>
        <v>SKILLS &amp; TRAITS</v>
      </c>
      <c r="AX68" s="563"/>
      <c r="AY68" s="563"/>
      <c r="AZ68" s="563"/>
      <c r="BA68" s="563"/>
      <c r="BB68" s="563"/>
      <c r="BC68" s="563"/>
      <c r="BD68" s="563"/>
      <c r="BE68" s="563"/>
      <c r="BF68" s="563"/>
      <c r="BG68" s="564"/>
      <c r="BH68" s="182"/>
    </row>
    <row r="69" spans="2:60" ht="6.75" customHeight="1" x14ac:dyDescent="0.2">
      <c r="B69" s="337"/>
      <c r="C69" s="175"/>
      <c r="D69" s="565" t="str">
        <f>IF(Roster!$P$9=0&amp;AQ50,"",Roster!$P$9)</f>
        <v>Dodge, Right Stuff, Side Step, Stunty, Titchy, Catch</v>
      </c>
      <c r="E69" s="490"/>
      <c r="F69" s="490"/>
      <c r="G69" s="490"/>
      <c r="H69" s="490"/>
      <c r="I69" s="490"/>
      <c r="J69" s="490"/>
      <c r="K69" s="490"/>
      <c r="L69" s="490"/>
      <c r="M69" s="490"/>
      <c r="N69" s="566"/>
      <c r="O69" s="182"/>
      <c r="Q69" s="337"/>
      <c r="R69" s="175"/>
      <c r="S69" s="565" t="str">
        <f>IF(Roster!$P$10=0&amp;BF50,"",Roster!$P$10)</f>
        <v>Dodge, Right Stuff, Side Step, Stunty, Titchy</v>
      </c>
      <c r="T69" s="490"/>
      <c r="U69" s="490"/>
      <c r="V69" s="490"/>
      <c r="W69" s="490"/>
      <c r="X69" s="490"/>
      <c r="Y69" s="490"/>
      <c r="Z69" s="490"/>
      <c r="AA69" s="490"/>
      <c r="AB69" s="490"/>
      <c r="AC69" s="566"/>
      <c r="AD69" s="182"/>
      <c r="AF69" s="337"/>
      <c r="AG69" s="175"/>
      <c r="AH69" s="565" t="str">
        <f>IF(Roster!$P$11=0&amp;BU50,"",Roster!$P$11)</f>
        <v>Dodge, Right Stuff, Side Step, Stunty, Titchy</v>
      </c>
      <c r="AI69" s="490"/>
      <c r="AJ69" s="490"/>
      <c r="AK69" s="490"/>
      <c r="AL69" s="490"/>
      <c r="AM69" s="490"/>
      <c r="AN69" s="490"/>
      <c r="AO69" s="490"/>
      <c r="AP69" s="490"/>
      <c r="AQ69" s="490"/>
      <c r="AR69" s="566"/>
      <c r="AS69" s="182"/>
      <c r="AU69" s="337"/>
      <c r="AV69" s="175"/>
      <c r="AW69" s="565" t="str">
        <f>IF(Roster!$P$12=0&amp;CJ50,"",Roster!$P$12)</f>
        <v/>
      </c>
      <c r="AX69" s="490"/>
      <c r="AY69" s="490"/>
      <c r="AZ69" s="490"/>
      <c r="BA69" s="490"/>
      <c r="BB69" s="490"/>
      <c r="BC69" s="490"/>
      <c r="BD69" s="490"/>
      <c r="BE69" s="490"/>
      <c r="BF69" s="490"/>
      <c r="BG69" s="566"/>
      <c r="BH69" s="182"/>
    </row>
    <row r="70" spans="2:60" ht="11.25" customHeight="1" x14ac:dyDescent="0.2">
      <c r="B70" s="173" t="str">
        <f>IF(Roster!$AO$1=0,"",Roster!$AO$1)</f>
        <v>COST</v>
      </c>
      <c r="C70" s="174"/>
      <c r="D70" s="567"/>
      <c r="E70" s="568"/>
      <c r="F70" s="568"/>
      <c r="G70" s="568"/>
      <c r="H70" s="568"/>
      <c r="I70" s="568"/>
      <c r="J70" s="568"/>
      <c r="K70" s="568"/>
      <c r="L70" s="568"/>
      <c r="M70" s="568"/>
      <c r="N70" s="566"/>
      <c r="O70" s="185"/>
      <c r="Q70" s="173" t="str">
        <f>IF(Roster!$AO$1=0,"",Roster!$AO$1)</f>
        <v>COST</v>
      </c>
      <c r="R70" s="174"/>
      <c r="S70" s="567"/>
      <c r="T70" s="568"/>
      <c r="U70" s="568"/>
      <c r="V70" s="568"/>
      <c r="W70" s="568"/>
      <c r="X70" s="568"/>
      <c r="Y70" s="568"/>
      <c r="Z70" s="568"/>
      <c r="AA70" s="568"/>
      <c r="AB70" s="568"/>
      <c r="AC70" s="566"/>
      <c r="AD70" s="185"/>
      <c r="AF70" s="173" t="str">
        <f>IF(Roster!$AO$1=0,"",Roster!$AO$1)</f>
        <v>COST</v>
      </c>
      <c r="AG70" s="174"/>
      <c r="AH70" s="567"/>
      <c r="AI70" s="568"/>
      <c r="AJ70" s="568"/>
      <c r="AK70" s="568"/>
      <c r="AL70" s="568"/>
      <c r="AM70" s="568"/>
      <c r="AN70" s="568"/>
      <c r="AO70" s="568"/>
      <c r="AP70" s="568"/>
      <c r="AQ70" s="568"/>
      <c r="AR70" s="566"/>
      <c r="AS70" s="185"/>
      <c r="AU70" s="173" t="str">
        <f>IF(Roster!$AO$1=0,"",Roster!$AO$1)</f>
        <v>COST</v>
      </c>
      <c r="AV70" s="174"/>
      <c r="AW70" s="567"/>
      <c r="AX70" s="568"/>
      <c r="AY70" s="568"/>
      <c r="AZ70" s="568"/>
      <c r="BA70" s="568"/>
      <c r="BB70" s="568"/>
      <c r="BC70" s="568"/>
      <c r="BD70" s="568"/>
      <c r="BE70" s="568"/>
      <c r="BF70" s="568"/>
      <c r="BG70" s="566"/>
      <c r="BH70" s="185"/>
    </row>
    <row r="71" spans="2:60" ht="34.5" customHeight="1" x14ac:dyDescent="0.2">
      <c r="B71" s="187">
        <f>IF(Roster!$AO$9=0,"",Roster!$AO$9)</f>
        <v>25000</v>
      </c>
      <c r="C71" s="188"/>
      <c r="D71" s="569"/>
      <c r="E71" s="570"/>
      <c r="F71" s="570"/>
      <c r="G71" s="570"/>
      <c r="H71" s="570"/>
      <c r="I71" s="570"/>
      <c r="J71" s="570"/>
      <c r="K71" s="570"/>
      <c r="L71" s="570"/>
      <c r="M71" s="570"/>
      <c r="N71" s="571"/>
      <c r="O71" s="185"/>
      <c r="Q71" s="187">
        <f>IF(Roster!$AO$10=0,"",Roster!$AO$10)</f>
        <v>15000</v>
      </c>
      <c r="R71" s="188"/>
      <c r="S71" s="569"/>
      <c r="T71" s="570"/>
      <c r="U71" s="570"/>
      <c r="V71" s="570"/>
      <c r="W71" s="570"/>
      <c r="X71" s="570"/>
      <c r="Y71" s="570"/>
      <c r="Z71" s="570"/>
      <c r="AA71" s="570"/>
      <c r="AB71" s="570"/>
      <c r="AC71" s="571"/>
      <c r="AD71" s="185"/>
      <c r="AF71" s="187">
        <f>IF(Roster!$AO$11=0,"",Roster!$AO$11)</f>
        <v>15000</v>
      </c>
      <c r="AG71" s="188"/>
      <c r="AH71" s="569"/>
      <c r="AI71" s="570"/>
      <c r="AJ71" s="570"/>
      <c r="AK71" s="570"/>
      <c r="AL71" s="570"/>
      <c r="AM71" s="570"/>
      <c r="AN71" s="570"/>
      <c r="AO71" s="570"/>
      <c r="AP71" s="570"/>
      <c r="AQ71" s="570"/>
      <c r="AR71" s="571"/>
      <c r="AS71" s="185"/>
      <c r="AU71" s="187" t="str">
        <f>IF(Roster!$AO$12=0,"",Roster!$AO$12)</f>
        <v/>
      </c>
      <c r="AV71" s="188"/>
      <c r="AW71" s="569"/>
      <c r="AX71" s="570"/>
      <c r="AY71" s="570"/>
      <c r="AZ71" s="570"/>
      <c r="BA71" s="570"/>
      <c r="BB71" s="570"/>
      <c r="BC71" s="570"/>
      <c r="BD71" s="570"/>
      <c r="BE71" s="570"/>
      <c r="BF71" s="570"/>
      <c r="BG71" s="571"/>
      <c r="BH71" s="185"/>
    </row>
    <row r="72" spans="2:60" ht="4.5" customHeight="1" x14ac:dyDescent="0.2">
      <c r="B72" s="572"/>
      <c r="C72" s="334"/>
      <c r="D72" s="334"/>
      <c r="E72" s="334"/>
      <c r="F72" s="334"/>
      <c r="G72" s="334"/>
      <c r="H72" s="334"/>
      <c r="I72" s="334"/>
      <c r="J72" s="334"/>
      <c r="K72" s="334"/>
      <c r="L72" s="334"/>
      <c r="M72" s="334"/>
      <c r="N72" s="336"/>
      <c r="O72" s="189"/>
      <c r="Q72" s="572"/>
      <c r="R72" s="334"/>
      <c r="S72" s="334"/>
      <c r="T72" s="334"/>
      <c r="U72" s="334"/>
      <c r="V72" s="334"/>
      <c r="W72" s="334"/>
      <c r="X72" s="334"/>
      <c r="Y72" s="334"/>
      <c r="Z72" s="334"/>
      <c r="AA72" s="334"/>
      <c r="AB72" s="334"/>
      <c r="AC72" s="336"/>
      <c r="AD72" s="189"/>
      <c r="AF72" s="572"/>
      <c r="AG72" s="334"/>
      <c r="AH72" s="334"/>
      <c r="AI72" s="334"/>
      <c r="AJ72" s="334"/>
      <c r="AK72" s="334"/>
      <c r="AL72" s="334"/>
      <c r="AM72" s="334"/>
      <c r="AN72" s="334"/>
      <c r="AO72" s="334"/>
      <c r="AP72" s="334"/>
      <c r="AQ72" s="334"/>
      <c r="AR72" s="336"/>
      <c r="AS72" s="189"/>
      <c r="AU72" s="572"/>
      <c r="AV72" s="334"/>
      <c r="AW72" s="334"/>
      <c r="AX72" s="334"/>
      <c r="AY72" s="334"/>
      <c r="AZ72" s="334"/>
      <c r="BA72" s="334"/>
      <c r="BB72" s="334"/>
      <c r="BC72" s="334"/>
      <c r="BD72" s="334"/>
      <c r="BE72" s="334"/>
      <c r="BF72" s="334"/>
      <c r="BG72" s="336"/>
      <c r="BH72" s="189"/>
    </row>
    <row r="73" spans="2:60" ht="11.25" customHeight="1" x14ac:dyDescent="0.2"/>
    <row r="74" spans="2:60" ht="4.5" customHeight="1" x14ac:dyDescent="0.2">
      <c r="B74" s="514" t="str">
        <f>IF(Roster!$A$13=0,"","#"&amp;Roster!$A$13)</f>
        <v>#12</v>
      </c>
      <c r="C74" s="167"/>
      <c r="D74" s="167"/>
      <c r="E74" s="167"/>
      <c r="F74" s="167"/>
      <c r="G74" s="167"/>
      <c r="H74" s="167"/>
      <c r="I74" s="167"/>
      <c r="J74" s="167"/>
      <c r="K74" s="167"/>
      <c r="L74" s="167"/>
      <c r="M74" s="167"/>
      <c r="N74" s="167"/>
      <c r="O74" s="168"/>
      <c r="Q74" s="514" t="str">
        <f>IF(Roster!$A$14=0,"","#"&amp;Roster!$A$14)</f>
        <v>#13</v>
      </c>
      <c r="R74" s="167"/>
      <c r="S74" s="167"/>
      <c r="T74" s="167"/>
      <c r="U74" s="167"/>
      <c r="V74" s="167"/>
      <c r="W74" s="167"/>
      <c r="X74" s="167"/>
      <c r="Y74" s="167"/>
      <c r="Z74" s="167"/>
      <c r="AA74" s="167"/>
      <c r="AB74" s="167"/>
      <c r="AC74" s="167"/>
      <c r="AD74" s="168"/>
      <c r="AF74" s="514" t="str">
        <f>IF(Roster!$A$15=0,"","#"&amp;Roster!$A$15)</f>
        <v>#14</v>
      </c>
      <c r="AG74" s="167"/>
      <c r="AH74" s="167"/>
      <c r="AI74" s="167"/>
      <c r="AJ74" s="167"/>
      <c r="AK74" s="167"/>
      <c r="AL74" s="167"/>
      <c r="AM74" s="167"/>
      <c r="AN74" s="167"/>
      <c r="AO74" s="167"/>
      <c r="AP74" s="167"/>
      <c r="AQ74" s="167"/>
      <c r="AR74" s="167"/>
      <c r="AS74" s="168"/>
      <c r="AU74" s="514" t="str">
        <f>IF(Roster!$A$16=0,"","#"&amp;Roster!$A$16)</f>
        <v>#15</v>
      </c>
      <c r="AV74" s="167"/>
      <c r="AW74" s="167"/>
      <c r="AX74" s="167"/>
      <c r="AY74" s="167"/>
      <c r="AZ74" s="167"/>
      <c r="BA74" s="167"/>
      <c r="BB74" s="167"/>
      <c r="BC74" s="167"/>
      <c r="BD74" s="167"/>
      <c r="BE74" s="167"/>
      <c r="BF74" s="167"/>
      <c r="BG74" s="167"/>
      <c r="BH74" s="168"/>
    </row>
    <row r="75" spans="2:60" ht="15" customHeight="1" x14ac:dyDescent="0.25">
      <c r="B75" s="515"/>
      <c r="C75" s="537" t="str">
        <f>IF(Roster!$B$13=0,"",Roster!$B$13)</f>
        <v>Parigge</v>
      </c>
      <c r="D75" s="303"/>
      <c r="E75" s="303"/>
      <c r="F75" s="303"/>
      <c r="G75" s="303"/>
      <c r="H75" s="303"/>
      <c r="I75" s="303"/>
      <c r="J75" s="303"/>
      <c r="K75" s="303"/>
      <c r="L75" s="303"/>
      <c r="M75" s="303"/>
      <c r="N75" s="304"/>
      <c r="O75" s="169"/>
      <c r="Q75" s="515"/>
      <c r="R75" s="537" t="str">
        <f>IF(Roster!$B$14=0,"",Roster!$B$14)</f>
        <v>Puleggia</v>
      </c>
      <c r="S75" s="303"/>
      <c r="T75" s="303"/>
      <c r="U75" s="303"/>
      <c r="V75" s="303"/>
      <c r="W75" s="303"/>
      <c r="X75" s="303"/>
      <c r="Y75" s="303"/>
      <c r="Z75" s="303"/>
      <c r="AA75" s="303"/>
      <c r="AB75" s="303"/>
      <c r="AC75" s="304"/>
      <c r="AD75" s="169"/>
      <c r="AF75" s="515"/>
      <c r="AG75" s="537" t="str">
        <f>IF(Roster!$B$15=0,"",Roster!$B$15)</f>
        <v/>
      </c>
      <c r="AH75" s="303"/>
      <c r="AI75" s="303"/>
      <c r="AJ75" s="303"/>
      <c r="AK75" s="303"/>
      <c r="AL75" s="303"/>
      <c r="AM75" s="303"/>
      <c r="AN75" s="303"/>
      <c r="AO75" s="303"/>
      <c r="AP75" s="303"/>
      <c r="AQ75" s="303"/>
      <c r="AR75" s="304"/>
      <c r="AS75" s="169"/>
      <c r="AU75" s="515"/>
      <c r="AV75" s="537" t="str">
        <f>IF(Roster!$B$16=0,"",Roster!$B$16)</f>
        <v/>
      </c>
      <c r="AW75" s="303"/>
      <c r="AX75" s="303"/>
      <c r="AY75" s="303"/>
      <c r="AZ75" s="303"/>
      <c r="BA75" s="303"/>
      <c r="BB75" s="303"/>
      <c r="BC75" s="303"/>
      <c r="BD75" s="303"/>
      <c r="BE75" s="303"/>
      <c r="BF75" s="303"/>
      <c r="BG75" s="304"/>
      <c r="BH75" s="169"/>
    </row>
    <row r="76" spans="2:60" ht="11.25" customHeight="1" x14ac:dyDescent="0.2">
      <c r="B76" s="516"/>
      <c r="C76" s="517" t="str">
        <f>IF(Roster!$D$13=0,"",Roster!$D$13)</f>
        <v>Gnoblar</v>
      </c>
      <c r="D76" s="303"/>
      <c r="E76" s="303"/>
      <c r="F76" s="303"/>
      <c r="G76" s="303"/>
      <c r="H76" s="303"/>
      <c r="I76" s="303"/>
      <c r="J76" s="303"/>
      <c r="K76" s="303"/>
      <c r="L76" s="303"/>
      <c r="M76" s="303"/>
      <c r="N76" s="304"/>
      <c r="O76" s="170"/>
      <c r="Q76" s="516"/>
      <c r="R76" s="517" t="str">
        <f>IF(Roster!$D$14=0,"",Roster!$D$14)</f>
        <v>Journey Gnoblar</v>
      </c>
      <c r="S76" s="303"/>
      <c r="T76" s="303"/>
      <c r="U76" s="303"/>
      <c r="V76" s="303"/>
      <c r="W76" s="303"/>
      <c r="X76" s="303"/>
      <c r="Y76" s="303"/>
      <c r="Z76" s="303"/>
      <c r="AA76" s="303"/>
      <c r="AB76" s="303"/>
      <c r="AC76" s="304"/>
      <c r="AD76" s="170"/>
      <c r="AF76" s="516"/>
      <c r="AG76" s="517" t="str">
        <f>IF(Roster!$D$15=0,"",Roster!$D$15)</f>
        <v/>
      </c>
      <c r="AH76" s="303"/>
      <c r="AI76" s="303"/>
      <c r="AJ76" s="303"/>
      <c r="AK76" s="303"/>
      <c r="AL76" s="303"/>
      <c r="AM76" s="303"/>
      <c r="AN76" s="303"/>
      <c r="AO76" s="303"/>
      <c r="AP76" s="303"/>
      <c r="AQ76" s="303"/>
      <c r="AR76" s="304"/>
      <c r="AS76" s="170"/>
      <c r="AU76" s="516"/>
      <c r="AV76" s="517" t="str">
        <f>IF(Roster!$D$16=0,"",Roster!$D$16)</f>
        <v/>
      </c>
      <c r="AW76" s="303"/>
      <c r="AX76" s="303"/>
      <c r="AY76" s="303"/>
      <c r="AZ76" s="303"/>
      <c r="BA76" s="303"/>
      <c r="BB76" s="303"/>
      <c r="BC76" s="303"/>
      <c r="BD76" s="303"/>
      <c r="BE76" s="303"/>
      <c r="BF76" s="303"/>
      <c r="BG76" s="304"/>
      <c r="BH76" s="170"/>
    </row>
    <row r="77" spans="2:60" ht="11.25" customHeight="1" x14ac:dyDescent="0.2">
      <c r="B77" s="173" t="str">
        <f>IF(Roster!$K$1=0,"",Roster!$K$1)</f>
        <v>MA</v>
      </c>
      <c r="C77" s="174"/>
      <c r="D77" s="174"/>
      <c r="E77" s="174"/>
      <c r="F77" s="174"/>
      <c r="G77" s="174"/>
      <c r="H77" s="174"/>
      <c r="I77" s="174"/>
      <c r="J77" s="174"/>
      <c r="K77" s="174"/>
      <c r="L77" s="174"/>
      <c r="M77" s="174"/>
      <c r="N77" s="174"/>
      <c r="O77" s="169"/>
      <c r="Q77" s="173" t="str">
        <f>IF(Roster!$K$1=0,"",Roster!$K$1)</f>
        <v>MA</v>
      </c>
      <c r="R77" s="174"/>
      <c r="S77" s="174"/>
      <c r="T77" s="174"/>
      <c r="U77" s="174"/>
      <c r="V77" s="174"/>
      <c r="W77" s="174"/>
      <c r="X77" s="174"/>
      <c r="Y77" s="174"/>
      <c r="Z77" s="174"/>
      <c r="AA77" s="174"/>
      <c r="AB77" s="174"/>
      <c r="AC77" s="174"/>
      <c r="AD77" s="169"/>
      <c r="AF77" s="173" t="str">
        <f>IF(Roster!$K$1=0,"",Roster!$K$1)</f>
        <v>MA</v>
      </c>
      <c r="AG77" s="174"/>
      <c r="AH77" s="174"/>
      <c r="AI77" s="174"/>
      <c r="AJ77" s="174"/>
      <c r="AK77" s="174"/>
      <c r="AL77" s="174"/>
      <c r="AM77" s="174"/>
      <c r="AN77" s="174"/>
      <c r="AO77" s="174"/>
      <c r="AP77" s="174"/>
      <c r="AQ77" s="174"/>
      <c r="AR77" s="174"/>
      <c r="AS77" s="169"/>
      <c r="AU77" s="173" t="str">
        <f>IF(Roster!$K$1=0,"",Roster!$K$1)</f>
        <v>MA</v>
      </c>
      <c r="AV77" s="174"/>
      <c r="AW77" s="174"/>
      <c r="AX77" s="174"/>
      <c r="AY77" s="174"/>
      <c r="AZ77" s="174"/>
      <c r="BA77" s="174"/>
      <c r="BB77" s="174"/>
      <c r="BC77" s="174"/>
      <c r="BD77" s="174"/>
      <c r="BE77" s="174"/>
      <c r="BF77" s="174"/>
      <c r="BG77" s="174"/>
      <c r="BH77" s="169"/>
    </row>
    <row r="78" spans="2:60" ht="37.5" customHeight="1" x14ac:dyDescent="0.2">
      <c r="B78" s="176">
        <f>IF(Roster!$K$13=0,"",Roster!$K$13)</f>
        <v>5</v>
      </c>
      <c r="C78" s="174"/>
      <c r="D78" s="538"/>
      <c r="E78" s="539"/>
      <c r="F78" s="539"/>
      <c r="G78" s="539"/>
      <c r="H78" s="539"/>
      <c r="I78" s="539"/>
      <c r="J78" s="539"/>
      <c r="K78" s="539"/>
      <c r="L78" s="539"/>
      <c r="M78" s="539"/>
      <c r="N78" s="540"/>
      <c r="O78" s="169"/>
      <c r="Q78" s="176">
        <f>IF(Roster!$K$14=0,"",Roster!$K$14)</f>
        <v>5</v>
      </c>
      <c r="R78" s="174"/>
      <c r="S78" s="538"/>
      <c r="T78" s="539"/>
      <c r="U78" s="539"/>
      <c r="V78" s="539"/>
      <c r="W78" s="539"/>
      <c r="X78" s="539"/>
      <c r="Y78" s="539"/>
      <c r="Z78" s="539"/>
      <c r="AA78" s="539"/>
      <c r="AB78" s="539"/>
      <c r="AC78" s="540"/>
      <c r="AD78" s="169"/>
      <c r="AF78" s="176" t="str">
        <f>IF(Roster!$K$15=0,"",Roster!$K$15)</f>
        <v/>
      </c>
      <c r="AG78" s="174"/>
      <c r="AH78" s="538"/>
      <c r="AI78" s="539"/>
      <c r="AJ78" s="539"/>
      <c r="AK78" s="539"/>
      <c r="AL78" s="539"/>
      <c r="AM78" s="539"/>
      <c r="AN78" s="539"/>
      <c r="AO78" s="539"/>
      <c r="AP78" s="539"/>
      <c r="AQ78" s="539"/>
      <c r="AR78" s="540"/>
      <c r="AS78" s="169"/>
      <c r="AU78" s="176" t="str">
        <f>IF(Roster!$K$16=0,"",Roster!$K$16)</f>
        <v/>
      </c>
      <c r="AV78" s="174"/>
      <c r="AW78" s="538"/>
      <c r="AX78" s="539"/>
      <c r="AY78" s="539"/>
      <c r="AZ78" s="539"/>
      <c r="BA78" s="539"/>
      <c r="BB78" s="539"/>
      <c r="BC78" s="539"/>
      <c r="BD78" s="539"/>
      <c r="BE78" s="539"/>
      <c r="BF78" s="539"/>
      <c r="BG78" s="540"/>
      <c r="BH78" s="169"/>
    </row>
    <row r="79" spans="2:60" ht="11.25" customHeight="1" x14ac:dyDescent="0.2">
      <c r="B79" s="173" t="str">
        <f>IF(Roster!$L$1=0,"",Roster!$L$1)</f>
        <v>ST</v>
      </c>
      <c r="C79" s="174"/>
      <c r="D79" s="541"/>
      <c r="E79" s="542"/>
      <c r="F79" s="542"/>
      <c r="G79" s="542"/>
      <c r="H79" s="542"/>
      <c r="I79" s="542"/>
      <c r="J79" s="542"/>
      <c r="K79" s="542"/>
      <c r="L79" s="542"/>
      <c r="M79" s="542"/>
      <c r="N79" s="543"/>
      <c r="O79" s="169"/>
      <c r="Q79" s="173" t="str">
        <f>IF(Roster!$L$1=0,"",Roster!$L$1)</f>
        <v>ST</v>
      </c>
      <c r="R79" s="174"/>
      <c r="S79" s="541"/>
      <c r="T79" s="542"/>
      <c r="U79" s="542"/>
      <c r="V79" s="542"/>
      <c r="W79" s="542"/>
      <c r="X79" s="542"/>
      <c r="Y79" s="542"/>
      <c r="Z79" s="542"/>
      <c r="AA79" s="542"/>
      <c r="AB79" s="542"/>
      <c r="AC79" s="543"/>
      <c r="AD79" s="169"/>
      <c r="AF79" s="173" t="str">
        <f>IF(Roster!$L$1=0,"",Roster!$L$1)</f>
        <v>ST</v>
      </c>
      <c r="AG79" s="174"/>
      <c r="AH79" s="541"/>
      <c r="AI79" s="542"/>
      <c r="AJ79" s="542"/>
      <c r="AK79" s="542"/>
      <c r="AL79" s="542"/>
      <c r="AM79" s="542"/>
      <c r="AN79" s="542"/>
      <c r="AO79" s="542"/>
      <c r="AP79" s="542"/>
      <c r="AQ79" s="542"/>
      <c r="AR79" s="543"/>
      <c r="AS79" s="169"/>
      <c r="AU79" s="173" t="str">
        <f>IF(Roster!$L$1=0,"",Roster!$L$1)</f>
        <v>ST</v>
      </c>
      <c r="AV79" s="174"/>
      <c r="AW79" s="541"/>
      <c r="AX79" s="542"/>
      <c r="AY79" s="542"/>
      <c r="AZ79" s="542"/>
      <c r="BA79" s="542"/>
      <c r="BB79" s="542"/>
      <c r="BC79" s="542"/>
      <c r="BD79" s="542"/>
      <c r="BE79" s="542"/>
      <c r="BF79" s="542"/>
      <c r="BG79" s="543"/>
      <c r="BH79" s="169"/>
    </row>
    <row r="80" spans="2:60" ht="37.5" customHeight="1" x14ac:dyDescent="0.2">
      <c r="B80" s="176">
        <f>IF(Roster!$L$13=0,"",Roster!$L$13)</f>
        <v>1</v>
      </c>
      <c r="C80" s="174"/>
      <c r="D80" s="541"/>
      <c r="E80" s="542"/>
      <c r="F80" s="542"/>
      <c r="G80" s="542"/>
      <c r="H80" s="542"/>
      <c r="I80" s="542"/>
      <c r="J80" s="542"/>
      <c r="K80" s="542"/>
      <c r="L80" s="542"/>
      <c r="M80" s="542"/>
      <c r="N80" s="543"/>
      <c r="O80" s="169"/>
      <c r="Q80" s="176">
        <f>IF(Roster!$L$14=0,"",Roster!$L$14)</f>
        <v>1</v>
      </c>
      <c r="R80" s="174"/>
      <c r="S80" s="541"/>
      <c r="T80" s="542"/>
      <c r="U80" s="542"/>
      <c r="V80" s="542"/>
      <c r="W80" s="542"/>
      <c r="X80" s="542"/>
      <c r="Y80" s="542"/>
      <c r="Z80" s="542"/>
      <c r="AA80" s="542"/>
      <c r="AB80" s="542"/>
      <c r="AC80" s="543"/>
      <c r="AD80" s="169"/>
      <c r="AF80" s="176" t="str">
        <f>IF(Roster!$L$15=0,"",Roster!$L$15)</f>
        <v/>
      </c>
      <c r="AG80" s="174"/>
      <c r="AH80" s="541"/>
      <c r="AI80" s="542"/>
      <c r="AJ80" s="542"/>
      <c r="AK80" s="542"/>
      <c r="AL80" s="542"/>
      <c r="AM80" s="542"/>
      <c r="AN80" s="542"/>
      <c r="AO80" s="542"/>
      <c r="AP80" s="542"/>
      <c r="AQ80" s="542"/>
      <c r="AR80" s="543"/>
      <c r="AS80" s="169"/>
      <c r="AU80" s="176" t="str">
        <f>IF(Roster!$L$16=0,"",Roster!$L$16)</f>
        <v/>
      </c>
      <c r="AV80" s="174"/>
      <c r="AW80" s="541"/>
      <c r="AX80" s="542"/>
      <c r="AY80" s="542"/>
      <c r="AZ80" s="542"/>
      <c r="BA80" s="542"/>
      <c r="BB80" s="542"/>
      <c r="BC80" s="542"/>
      <c r="BD80" s="542"/>
      <c r="BE80" s="542"/>
      <c r="BF80" s="542"/>
      <c r="BG80" s="543"/>
      <c r="BH80" s="169"/>
    </row>
    <row r="81" spans="2:60" ht="11.25" customHeight="1" x14ac:dyDescent="0.2">
      <c r="B81" s="173" t="str">
        <f>IF(Roster!$M$1=0,"",Roster!$M$1)</f>
        <v>AG</v>
      </c>
      <c r="C81" s="174"/>
      <c r="D81" s="541"/>
      <c r="E81" s="542"/>
      <c r="F81" s="542"/>
      <c r="G81" s="542"/>
      <c r="H81" s="542"/>
      <c r="I81" s="542"/>
      <c r="J81" s="542"/>
      <c r="K81" s="542"/>
      <c r="L81" s="542"/>
      <c r="M81" s="542"/>
      <c r="N81" s="543"/>
      <c r="O81" s="169"/>
      <c r="Q81" s="173" t="str">
        <f>IF(Roster!$M$1=0,"",Roster!$M$1)</f>
        <v>AG</v>
      </c>
      <c r="R81" s="174"/>
      <c r="S81" s="541"/>
      <c r="T81" s="542"/>
      <c r="U81" s="542"/>
      <c r="V81" s="542"/>
      <c r="W81" s="542"/>
      <c r="X81" s="542"/>
      <c r="Y81" s="542"/>
      <c r="Z81" s="542"/>
      <c r="AA81" s="542"/>
      <c r="AB81" s="542"/>
      <c r="AC81" s="543"/>
      <c r="AD81" s="169"/>
      <c r="AF81" s="173" t="str">
        <f>IF(Roster!$M$1=0,"",Roster!$M$1)</f>
        <v>AG</v>
      </c>
      <c r="AG81" s="174"/>
      <c r="AH81" s="541"/>
      <c r="AI81" s="542"/>
      <c r="AJ81" s="542"/>
      <c r="AK81" s="542"/>
      <c r="AL81" s="542"/>
      <c r="AM81" s="542"/>
      <c r="AN81" s="542"/>
      <c r="AO81" s="542"/>
      <c r="AP81" s="542"/>
      <c r="AQ81" s="542"/>
      <c r="AR81" s="543"/>
      <c r="AS81" s="169"/>
      <c r="AU81" s="173" t="str">
        <f>IF(Roster!$M$1=0,"",Roster!$M$1)</f>
        <v>AG</v>
      </c>
      <c r="AV81" s="174"/>
      <c r="AW81" s="541"/>
      <c r="AX81" s="542"/>
      <c r="AY81" s="542"/>
      <c r="AZ81" s="542"/>
      <c r="BA81" s="542"/>
      <c r="BB81" s="542"/>
      <c r="BC81" s="542"/>
      <c r="BD81" s="542"/>
      <c r="BE81" s="542"/>
      <c r="BF81" s="542"/>
      <c r="BG81" s="543"/>
      <c r="BH81" s="169"/>
    </row>
    <row r="82" spans="2:60" ht="37.5" customHeight="1" x14ac:dyDescent="0.2">
      <c r="B82" s="176" t="str">
        <f>IF(Roster!$M$13=0&amp;"+","",Roster!$M$13)</f>
        <v>3+</v>
      </c>
      <c r="C82" s="174"/>
      <c r="D82" s="541"/>
      <c r="E82" s="542"/>
      <c r="F82" s="542"/>
      <c r="G82" s="542"/>
      <c r="H82" s="542"/>
      <c r="I82" s="542"/>
      <c r="J82" s="542"/>
      <c r="K82" s="542"/>
      <c r="L82" s="542"/>
      <c r="M82" s="542"/>
      <c r="N82" s="543"/>
      <c r="O82" s="169"/>
      <c r="Q82" s="176" t="str">
        <f>IF(Roster!$M$14=0&amp;"+","",Roster!$M$14)</f>
        <v>3+</v>
      </c>
      <c r="R82" s="174"/>
      <c r="S82" s="541"/>
      <c r="T82" s="542"/>
      <c r="U82" s="542"/>
      <c r="V82" s="542"/>
      <c r="W82" s="542"/>
      <c r="X82" s="542"/>
      <c r="Y82" s="542"/>
      <c r="Z82" s="542"/>
      <c r="AA82" s="542"/>
      <c r="AB82" s="542"/>
      <c r="AC82" s="543"/>
      <c r="AD82" s="169"/>
      <c r="AF82" s="176" t="str">
        <f>IF(Roster!$M$15=0&amp;"+","",Roster!$M$15)</f>
        <v/>
      </c>
      <c r="AG82" s="174"/>
      <c r="AH82" s="541"/>
      <c r="AI82" s="542"/>
      <c r="AJ82" s="542"/>
      <c r="AK82" s="542"/>
      <c r="AL82" s="542"/>
      <c r="AM82" s="542"/>
      <c r="AN82" s="542"/>
      <c r="AO82" s="542"/>
      <c r="AP82" s="542"/>
      <c r="AQ82" s="542"/>
      <c r="AR82" s="543"/>
      <c r="AS82" s="169"/>
      <c r="AU82" s="176" t="str">
        <f>IF(Roster!$M$16=0&amp;"+","",Roster!$M$16)</f>
        <v/>
      </c>
      <c r="AV82" s="174"/>
      <c r="AW82" s="541"/>
      <c r="AX82" s="542"/>
      <c r="AY82" s="542"/>
      <c r="AZ82" s="542"/>
      <c r="BA82" s="542"/>
      <c r="BB82" s="542"/>
      <c r="BC82" s="542"/>
      <c r="BD82" s="542"/>
      <c r="BE82" s="542"/>
      <c r="BF82" s="542"/>
      <c r="BG82" s="543"/>
      <c r="BH82" s="169"/>
    </row>
    <row r="83" spans="2:60" ht="11.25" customHeight="1" x14ac:dyDescent="0.2">
      <c r="B83" s="173" t="str">
        <f>IF(Roster!$N$1=0,"",Roster!$N$1)</f>
        <v>PA</v>
      </c>
      <c r="C83" s="174"/>
      <c r="D83" s="541"/>
      <c r="E83" s="542"/>
      <c r="F83" s="542"/>
      <c r="G83" s="542"/>
      <c r="H83" s="542"/>
      <c r="I83" s="542"/>
      <c r="J83" s="542"/>
      <c r="K83" s="542"/>
      <c r="L83" s="542"/>
      <c r="M83" s="542"/>
      <c r="N83" s="543"/>
      <c r="O83" s="178"/>
      <c r="Q83" s="173" t="str">
        <f>IF(Roster!$N$1=0,"",Roster!$N$1)</f>
        <v>PA</v>
      </c>
      <c r="R83" s="174"/>
      <c r="S83" s="541"/>
      <c r="T83" s="542"/>
      <c r="U83" s="542"/>
      <c r="V83" s="542"/>
      <c r="W83" s="542"/>
      <c r="X83" s="542"/>
      <c r="Y83" s="542"/>
      <c r="Z83" s="542"/>
      <c r="AA83" s="542"/>
      <c r="AB83" s="542"/>
      <c r="AC83" s="543"/>
      <c r="AD83" s="178"/>
      <c r="AF83" s="173" t="str">
        <f>IF(Roster!$N$1=0,"",Roster!$N$1)</f>
        <v>PA</v>
      </c>
      <c r="AG83" s="174"/>
      <c r="AH83" s="541"/>
      <c r="AI83" s="542"/>
      <c r="AJ83" s="542"/>
      <c r="AK83" s="542"/>
      <c r="AL83" s="542"/>
      <c r="AM83" s="542"/>
      <c r="AN83" s="542"/>
      <c r="AO83" s="542"/>
      <c r="AP83" s="542"/>
      <c r="AQ83" s="542"/>
      <c r="AR83" s="543"/>
      <c r="AS83" s="178"/>
      <c r="AU83" s="173" t="str">
        <f>IF(Roster!$N$1=0,"",Roster!$N$1)</f>
        <v>PA</v>
      </c>
      <c r="AV83" s="174"/>
      <c r="AW83" s="541"/>
      <c r="AX83" s="542"/>
      <c r="AY83" s="542"/>
      <c r="AZ83" s="542"/>
      <c r="BA83" s="542"/>
      <c r="BB83" s="542"/>
      <c r="BC83" s="542"/>
      <c r="BD83" s="542"/>
      <c r="BE83" s="542"/>
      <c r="BF83" s="542"/>
      <c r="BG83" s="543"/>
      <c r="BH83" s="178"/>
    </row>
    <row r="84" spans="2:60" ht="6" customHeight="1" x14ac:dyDescent="0.2">
      <c r="B84" s="530" t="str">
        <f>IF(Roster!$N$13=0&amp;"+","",Roster!$N$13)</f>
        <v>5+</v>
      </c>
      <c r="C84" s="174"/>
      <c r="D84" s="544"/>
      <c r="E84" s="545"/>
      <c r="F84" s="545"/>
      <c r="G84" s="545"/>
      <c r="H84" s="545"/>
      <c r="I84" s="545"/>
      <c r="J84" s="545"/>
      <c r="K84" s="545"/>
      <c r="L84" s="545"/>
      <c r="M84" s="545"/>
      <c r="N84" s="546"/>
      <c r="O84" s="180"/>
      <c r="Q84" s="530" t="str">
        <f>IF(Roster!$N$14=0&amp;"+","",Roster!$N$14)</f>
        <v>5+</v>
      </c>
      <c r="R84" s="174"/>
      <c r="S84" s="544"/>
      <c r="T84" s="545"/>
      <c r="U84" s="545"/>
      <c r="V84" s="545"/>
      <c r="W84" s="545"/>
      <c r="X84" s="545"/>
      <c r="Y84" s="545"/>
      <c r="Z84" s="545"/>
      <c r="AA84" s="545"/>
      <c r="AB84" s="545"/>
      <c r="AC84" s="546"/>
      <c r="AD84" s="180"/>
      <c r="AF84" s="530" t="str">
        <f>IF(Roster!$N$15=0&amp;"+","",Roster!$N$15)</f>
        <v/>
      </c>
      <c r="AG84" s="174"/>
      <c r="AH84" s="544"/>
      <c r="AI84" s="545"/>
      <c r="AJ84" s="545"/>
      <c r="AK84" s="545"/>
      <c r="AL84" s="545"/>
      <c r="AM84" s="545"/>
      <c r="AN84" s="545"/>
      <c r="AO84" s="545"/>
      <c r="AP84" s="545"/>
      <c r="AQ84" s="545"/>
      <c r="AR84" s="546"/>
      <c r="AS84" s="180"/>
      <c r="AU84" s="530" t="str">
        <f>IF(Roster!$N$16=0&amp;"+","",Roster!$N$16)</f>
        <v/>
      </c>
      <c r="AV84" s="174"/>
      <c r="AW84" s="544"/>
      <c r="AX84" s="545"/>
      <c r="AY84" s="545"/>
      <c r="AZ84" s="545"/>
      <c r="BA84" s="545"/>
      <c r="BB84" s="545"/>
      <c r="BC84" s="545"/>
      <c r="BD84" s="545"/>
      <c r="BE84" s="545"/>
      <c r="BF84" s="545"/>
      <c r="BG84" s="546"/>
      <c r="BH84" s="180"/>
    </row>
    <row r="85" spans="2:60" ht="4.5" customHeight="1" x14ac:dyDescent="0.2">
      <c r="B85" s="531"/>
      <c r="C85" s="172"/>
      <c r="D85" s="181"/>
      <c r="E85" s="179"/>
      <c r="F85" s="181"/>
      <c r="G85" s="179"/>
      <c r="H85" s="181"/>
      <c r="I85" s="179"/>
      <c r="J85" s="181"/>
      <c r="K85" s="179"/>
      <c r="L85" s="181"/>
      <c r="M85" s="179"/>
      <c r="N85" s="181"/>
      <c r="O85" s="180"/>
      <c r="Q85" s="531"/>
      <c r="R85" s="172"/>
      <c r="S85" s="181"/>
      <c r="T85" s="179"/>
      <c r="U85" s="181"/>
      <c r="V85" s="179"/>
      <c r="W85" s="181"/>
      <c r="X85" s="179"/>
      <c r="Y85" s="181"/>
      <c r="Z85" s="179"/>
      <c r="AA85" s="181"/>
      <c r="AB85" s="179"/>
      <c r="AC85" s="181"/>
      <c r="AD85" s="180"/>
      <c r="AF85" s="531"/>
      <c r="AG85" s="172"/>
      <c r="AH85" s="181"/>
      <c r="AI85" s="179"/>
      <c r="AJ85" s="181"/>
      <c r="AK85" s="179"/>
      <c r="AL85" s="181"/>
      <c r="AM85" s="179"/>
      <c r="AN85" s="181"/>
      <c r="AO85" s="179"/>
      <c r="AP85" s="181"/>
      <c r="AQ85" s="179"/>
      <c r="AR85" s="181"/>
      <c r="AS85" s="180"/>
      <c r="AU85" s="531"/>
      <c r="AV85" s="172"/>
      <c r="AW85" s="181"/>
      <c r="AX85" s="179"/>
      <c r="AY85" s="181"/>
      <c r="AZ85" s="179"/>
      <c r="BA85" s="181"/>
      <c r="BB85" s="179"/>
      <c r="BC85" s="181"/>
      <c r="BD85" s="179"/>
      <c r="BE85" s="181"/>
      <c r="BF85" s="179"/>
      <c r="BG85" s="181"/>
      <c r="BH85" s="180"/>
    </row>
    <row r="86" spans="2:60" ht="11.25" customHeight="1" x14ac:dyDescent="0.2">
      <c r="B86" s="531"/>
      <c r="C86" s="172"/>
      <c r="D86" s="211" t="str">
        <f>IF(Roster!$AD$1=0,"",Roster!$AD$1)</f>
        <v>TD</v>
      </c>
      <c r="E86" s="206"/>
      <c r="F86" s="211" t="str">
        <f>IF(Roster!$K$25="Español","HER",(IF(Roster!$K$25="Deutsch","VER",(IF(Roster!$K$25="Français","BLES","CAS")))))</f>
        <v>CAS</v>
      </c>
      <c r="G86" s="206"/>
      <c r="H86" s="211" t="str">
        <f>IF(Roster!$AG$1=0,"",Roster!$AG$1)</f>
        <v>BH</v>
      </c>
      <c r="I86" s="206"/>
      <c r="J86" s="211" t="str">
        <f>IF(Roster!$AH$1=0,"",Roster!$AH$1)</f>
        <v>SI</v>
      </c>
      <c r="K86" s="206"/>
      <c r="L86" s="211" t="str">
        <f>IF(Roster!$AI$1=0,"",Roster!$AI$1)</f>
        <v>KILL</v>
      </c>
      <c r="M86" s="206"/>
      <c r="N86" s="211" t="str">
        <f>IF(Roster!$AC$1=0,"",Roster!$AC$1)</f>
        <v>CP</v>
      </c>
      <c r="O86" s="180"/>
      <c r="Q86" s="531"/>
      <c r="R86" s="172"/>
      <c r="S86" s="211" t="str">
        <f>IF(Roster!$AD$1=0,"",Roster!$AD$1)</f>
        <v>TD</v>
      </c>
      <c r="T86" s="206"/>
      <c r="U86" s="211" t="str">
        <f>IF(Roster!$K$25="Español","HER",(IF(Roster!$K$25="Deutsch","VER",(IF(Roster!$K$25="Français","BLES","CAS")))))</f>
        <v>CAS</v>
      </c>
      <c r="V86" s="206"/>
      <c r="W86" s="211" t="str">
        <f>IF(Roster!$AG$1=0,"",Roster!$AG$1)</f>
        <v>BH</v>
      </c>
      <c r="X86" s="206"/>
      <c r="Y86" s="211" t="str">
        <f>IF(Roster!$AH$1=0,"",Roster!$AH$1)</f>
        <v>SI</v>
      </c>
      <c r="Z86" s="206"/>
      <c r="AA86" s="211" t="str">
        <f>IF(Roster!$AI$1=0,"",Roster!$AI$1)</f>
        <v>KILL</v>
      </c>
      <c r="AB86" s="206"/>
      <c r="AC86" s="211" t="str">
        <f>IF(Roster!$AC$1=0,"",Roster!$AC$1)</f>
        <v>CP</v>
      </c>
      <c r="AD86" s="180"/>
      <c r="AF86" s="531"/>
      <c r="AG86" s="172"/>
      <c r="AH86" s="211" t="str">
        <f>IF(Roster!$AD$1=0,"",Roster!$AD$1)</f>
        <v>TD</v>
      </c>
      <c r="AI86" s="206"/>
      <c r="AJ86" s="211" t="str">
        <f>IF(Roster!$K$25="Español","HER",(IF(Roster!$K$25="Deutsch","VER",(IF(Roster!$K$25="Français","BLES","CAS")))))</f>
        <v>CAS</v>
      </c>
      <c r="AK86" s="206"/>
      <c r="AL86" s="211" t="str">
        <f>IF(Roster!$AG$1=0,"",Roster!$AG$1)</f>
        <v>BH</v>
      </c>
      <c r="AM86" s="206"/>
      <c r="AN86" s="211" t="str">
        <f>IF(Roster!$AH$1=0,"",Roster!$AH$1)</f>
        <v>SI</v>
      </c>
      <c r="AO86" s="206"/>
      <c r="AP86" s="211" t="str">
        <f>IF(Roster!$AI$1=0,"",Roster!$AI$1)</f>
        <v>KILL</v>
      </c>
      <c r="AQ86" s="206"/>
      <c r="AR86" s="211" t="str">
        <f>IF(Roster!$AC$1=0,"",Roster!$AC$1)</f>
        <v>CP</v>
      </c>
      <c r="AS86" s="180"/>
      <c r="AU86" s="531"/>
      <c r="AV86" s="172"/>
      <c r="AW86" s="211" t="str">
        <f>IF(Roster!$AD$1=0,"",Roster!$AD$1)</f>
        <v>TD</v>
      </c>
      <c r="AX86" s="206"/>
      <c r="AY86" s="211" t="str">
        <f>IF(Roster!$K$25="Español","HER",(IF(Roster!$K$25="Deutsch","VER",(IF(Roster!$K$25="Français","BLES","CAS")))))</f>
        <v>CAS</v>
      </c>
      <c r="AZ86" s="206"/>
      <c r="BA86" s="211" t="str">
        <f>IF(Roster!$AG$1=0,"",Roster!$AG$1)</f>
        <v>BH</v>
      </c>
      <c r="BB86" s="206"/>
      <c r="BC86" s="211" t="str">
        <f>IF(Roster!$AH$1=0,"",Roster!$AH$1)</f>
        <v>SI</v>
      </c>
      <c r="BD86" s="206"/>
      <c r="BE86" s="211" t="str">
        <f>IF(Roster!$AI$1=0,"",Roster!$AI$1)</f>
        <v>KILL</v>
      </c>
      <c r="BF86" s="206"/>
      <c r="BG86" s="211" t="str">
        <f>IF(Roster!$AC$1=0,"",Roster!$AC$1)</f>
        <v>CP</v>
      </c>
      <c r="BH86" s="180"/>
    </row>
    <row r="87" spans="2:60" ht="15" customHeight="1" x14ac:dyDescent="0.2">
      <c r="B87" s="531"/>
      <c r="C87" s="175"/>
      <c r="D87" s="212" t="str">
        <f>IF(Roster!$AD$13=0,"",Roster!$AD$13)</f>
        <v/>
      </c>
      <c r="E87" s="207"/>
      <c r="F87" s="212" t="str">
        <f>IF((SUM(H87,J87,L87))=0,"",(SUM(H87,J87,L87)))</f>
        <v/>
      </c>
      <c r="G87" s="207"/>
      <c r="H87" s="212" t="str">
        <f>IF(Roster!$AG$13=0,"",Roster!$AG$13)</f>
        <v/>
      </c>
      <c r="I87" s="207"/>
      <c r="J87" s="212" t="str">
        <f>IF(Roster!$AH$13=0,"",Roster!$AH$13)</f>
        <v/>
      </c>
      <c r="K87" s="207"/>
      <c r="L87" s="212" t="str">
        <f>IF(Roster!$AI$13=0,"",Roster!$AI$13)</f>
        <v/>
      </c>
      <c r="M87" s="207"/>
      <c r="N87" s="212" t="str">
        <f>IF(Roster!$AC$13=0,"",Roster!$AC$13)</f>
        <v/>
      </c>
      <c r="O87" s="180"/>
      <c r="Q87" s="531"/>
      <c r="R87" s="175"/>
      <c r="S87" s="212" t="str">
        <f>IF(Roster!$AD$14=0,"",Roster!$AD$14)</f>
        <v/>
      </c>
      <c r="T87" s="207"/>
      <c r="U87" s="212" t="str">
        <f>IF((SUM(W87,Y87,AA87))=0,"",(SUM(W87,Y87,AA87)))</f>
        <v/>
      </c>
      <c r="V87" s="207"/>
      <c r="W87" s="212" t="str">
        <f>IF(Roster!$AG$14=0,"",Roster!$AG$14)</f>
        <v/>
      </c>
      <c r="X87" s="207"/>
      <c r="Y87" s="212" t="str">
        <f>IF(Roster!$AH$14=0,"",Roster!$AH$14)</f>
        <v/>
      </c>
      <c r="Z87" s="207"/>
      <c r="AA87" s="212" t="str">
        <f>IF(Roster!$AI$14=0,"",Roster!$AI$14)</f>
        <v/>
      </c>
      <c r="AB87" s="207"/>
      <c r="AC87" s="212" t="str">
        <f>IF(Roster!$AC$14=0,"",Roster!$AC$14)</f>
        <v/>
      </c>
      <c r="AD87" s="180"/>
      <c r="AF87" s="531"/>
      <c r="AG87" s="175"/>
      <c r="AH87" s="212" t="str">
        <f>IF(Roster!$AD$15=0,"",Roster!$AD$15)</f>
        <v/>
      </c>
      <c r="AI87" s="207"/>
      <c r="AJ87" s="212" t="str">
        <f>IF((SUM(AL87,AN87,AP87))=0,"",(SUM(AL87,AN87,AP87)))</f>
        <v/>
      </c>
      <c r="AK87" s="207"/>
      <c r="AL87" s="212" t="str">
        <f>IF(Roster!$AG$15=0,"",Roster!$AG$15)</f>
        <v/>
      </c>
      <c r="AM87" s="207"/>
      <c r="AN87" s="212" t="str">
        <f>IF(Roster!$AH$15=0,"",Roster!$AH$15)</f>
        <v/>
      </c>
      <c r="AO87" s="207"/>
      <c r="AP87" s="212" t="str">
        <f>IF(Roster!$AI$15=0,"",Roster!$AI$15)</f>
        <v/>
      </c>
      <c r="AQ87" s="207"/>
      <c r="AR87" s="212" t="str">
        <f>IF(Roster!$AC$15=0,"",Roster!$AC$15)</f>
        <v/>
      </c>
      <c r="AS87" s="180"/>
      <c r="AU87" s="531"/>
      <c r="AV87" s="175"/>
      <c r="AW87" s="212" t="str">
        <f>IF(Roster!$AD$16=0,"",Roster!$AD$16)</f>
        <v/>
      </c>
      <c r="AX87" s="207"/>
      <c r="AY87" s="212" t="str">
        <f>IF((SUM(BA87,BC87,BE87))=0,"",(SUM(BA87,BC87,BE87)))</f>
        <v/>
      </c>
      <c r="AZ87" s="207"/>
      <c r="BA87" s="212" t="str">
        <f>IF(Roster!$AG$16=0,"",Roster!$AG$16)</f>
        <v/>
      </c>
      <c r="BB87" s="207"/>
      <c r="BC87" s="212" t="str">
        <f>IF(Roster!$AH$16=0,"",Roster!$AH$16)</f>
        <v/>
      </c>
      <c r="BD87" s="207"/>
      <c r="BE87" s="212" t="str">
        <f>IF(Roster!$AI$16=0,"",Roster!$AI$16)</f>
        <v/>
      </c>
      <c r="BF87" s="207"/>
      <c r="BG87" s="212" t="str">
        <f>IF(Roster!$AC$16=0,"",Roster!$AC$16)</f>
        <v/>
      </c>
      <c r="BH87" s="180"/>
    </row>
    <row r="88" spans="2:60" ht="4.5" customHeight="1" x14ac:dyDescent="0.2">
      <c r="B88" s="337"/>
      <c r="C88" s="175"/>
      <c r="D88" s="208"/>
      <c r="E88" s="207"/>
      <c r="F88" s="208"/>
      <c r="G88" s="207"/>
      <c r="H88" s="208"/>
      <c r="I88" s="207"/>
      <c r="J88" s="208"/>
      <c r="K88" s="207"/>
      <c r="L88" s="208"/>
      <c r="M88" s="207"/>
      <c r="N88" s="208"/>
      <c r="O88" s="180"/>
      <c r="Q88" s="337"/>
      <c r="R88" s="175"/>
      <c r="S88" s="208"/>
      <c r="T88" s="207"/>
      <c r="U88" s="208"/>
      <c r="V88" s="207"/>
      <c r="W88" s="208"/>
      <c r="X88" s="207"/>
      <c r="Y88" s="208"/>
      <c r="Z88" s="207"/>
      <c r="AA88" s="208"/>
      <c r="AB88" s="207"/>
      <c r="AC88" s="208"/>
      <c r="AD88" s="180"/>
      <c r="AF88" s="337"/>
      <c r="AG88" s="175"/>
      <c r="AH88" s="208"/>
      <c r="AI88" s="207"/>
      <c r="AJ88" s="208"/>
      <c r="AK88" s="207"/>
      <c r="AL88" s="208"/>
      <c r="AM88" s="207"/>
      <c r="AN88" s="208"/>
      <c r="AO88" s="207"/>
      <c r="AP88" s="208"/>
      <c r="AQ88" s="207"/>
      <c r="AR88" s="208"/>
      <c r="AS88" s="180"/>
      <c r="AU88" s="337"/>
      <c r="AV88" s="175"/>
      <c r="AW88" s="208"/>
      <c r="AX88" s="207"/>
      <c r="AY88" s="208"/>
      <c r="AZ88" s="207"/>
      <c r="BA88" s="208"/>
      <c r="BB88" s="207"/>
      <c r="BC88" s="208"/>
      <c r="BD88" s="207"/>
      <c r="BE88" s="208"/>
      <c r="BF88" s="207"/>
      <c r="BG88" s="208"/>
      <c r="BH88" s="180"/>
    </row>
    <row r="89" spans="2:60" ht="11.25" customHeight="1" x14ac:dyDescent="0.2">
      <c r="B89" s="173" t="str">
        <f>IF(Roster!$O$1=0,"",Roster!$O$1)</f>
        <v>AV</v>
      </c>
      <c r="C89" s="174"/>
      <c r="D89" s="211" t="str">
        <f>IF(Roster!$AE$1=0,"",Roster!$AE$1)</f>
        <v>DEF</v>
      </c>
      <c r="E89" s="209"/>
      <c r="F89" s="211" t="str">
        <f>IF(Roster!$AF$1=0,"",Roster!$AF$1)</f>
        <v>INT</v>
      </c>
      <c r="G89" s="209"/>
      <c r="H89" s="211" t="str">
        <f>IF(Roster!$AB$1=0,"",Roster!$AB$1)</f>
        <v>SPE</v>
      </c>
      <c r="I89" s="209"/>
      <c r="J89" s="211" t="str">
        <f>IF(Roster!$AJ$1=0,"",Roster!$AJ$1)</f>
        <v>MVP</v>
      </c>
      <c r="K89" s="209"/>
      <c r="L89" s="214" t="s">
        <v>257</v>
      </c>
      <c r="M89" s="209"/>
      <c r="N89" s="213" t="str">
        <f>IF(Roster!$K$25="Español","LPP/RT",(IF(Roster!$K$25="Deutsch","VNS/AD",(IF(Roster!$K$25="Français","RPM/RT","MNG/TR")))))</f>
        <v>MNG/TR</v>
      </c>
      <c r="O89" s="169"/>
      <c r="Q89" s="173" t="str">
        <f>IF(Roster!$O$1=0,"",Roster!$O$1)</f>
        <v>AV</v>
      </c>
      <c r="R89" s="174"/>
      <c r="S89" s="211" t="str">
        <f>IF(Roster!$AE$1=0,"",Roster!$AE$1)</f>
        <v>DEF</v>
      </c>
      <c r="T89" s="209"/>
      <c r="U89" s="211" t="str">
        <f>IF(Roster!$AF$1=0,"",Roster!$AF$1)</f>
        <v>INT</v>
      </c>
      <c r="V89" s="209"/>
      <c r="W89" s="211" t="str">
        <f>IF(Roster!$AB$1=0,"",Roster!$AB$1)</f>
        <v>SPE</v>
      </c>
      <c r="X89" s="209"/>
      <c r="Y89" s="211" t="str">
        <f>IF(Roster!$AJ$1=0,"",Roster!$AJ$1)</f>
        <v>MVP</v>
      </c>
      <c r="Z89" s="209"/>
      <c r="AA89" s="214" t="s">
        <v>257</v>
      </c>
      <c r="AB89" s="209"/>
      <c r="AC89" s="213" t="str">
        <f>IF(Roster!$K$25="Español","LPP/RT",(IF(Roster!$K$25="Deutsch","VNS/AD",(IF(Roster!$K$25="Français","RPM/RT","MNG/TR")))))</f>
        <v>MNG/TR</v>
      </c>
      <c r="AD89" s="169"/>
      <c r="AF89" s="173" t="str">
        <f>IF(Roster!$O$1=0,"",Roster!$O$1)</f>
        <v>AV</v>
      </c>
      <c r="AG89" s="174"/>
      <c r="AH89" s="211" t="str">
        <f>IF(Roster!$AE$1=0,"",Roster!$AE$1)</f>
        <v>DEF</v>
      </c>
      <c r="AI89" s="209"/>
      <c r="AJ89" s="211" t="str">
        <f>IF(Roster!$AF$1=0,"",Roster!$AF$1)</f>
        <v>INT</v>
      </c>
      <c r="AK89" s="209"/>
      <c r="AL89" s="211" t="str">
        <f>IF(Roster!$AB$1=0,"",Roster!$AB$1)</f>
        <v>SPE</v>
      </c>
      <c r="AM89" s="209"/>
      <c r="AN89" s="211" t="str">
        <f>IF(Roster!$AJ$1=0,"",Roster!$AJ$1)</f>
        <v>MVP</v>
      </c>
      <c r="AO89" s="209"/>
      <c r="AP89" s="214" t="s">
        <v>257</v>
      </c>
      <c r="AQ89" s="209"/>
      <c r="AR89" s="213" t="str">
        <f>IF(Roster!$K$25="Español","LPP/RT",(IF(Roster!$K$25="Deutsch","VNS/AD",(IF(Roster!$K$25="Français","RPM/RT","MNG/TR")))))</f>
        <v>MNG/TR</v>
      </c>
      <c r="AS89" s="169"/>
      <c r="AU89" s="173" t="str">
        <f>IF(Roster!$O$1=0,"",Roster!$O$1)</f>
        <v>AV</v>
      </c>
      <c r="AV89" s="174"/>
      <c r="AW89" s="211" t="str">
        <f>IF(Roster!$AE$1=0,"",Roster!$AE$1)</f>
        <v>DEF</v>
      </c>
      <c r="AX89" s="209"/>
      <c r="AY89" s="211" t="str">
        <f>IF(Roster!$AF$1=0,"",Roster!$AF$1)</f>
        <v>INT</v>
      </c>
      <c r="AZ89" s="209"/>
      <c r="BA89" s="211" t="str">
        <f>IF(Roster!$AB$1=0,"",Roster!$AB$1)</f>
        <v>SPE</v>
      </c>
      <c r="BB89" s="209"/>
      <c r="BC89" s="211" t="str">
        <f>IF(Roster!$AJ$1=0,"",Roster!$AJ$1)</f>
        <v>MVP</v>
      </c>
      <c r="BD89" s="209"/>
      <c r="BE89" s="214" t="s">
        <v>257</v>
      </c>
      <c r="BF89" s="209"/>
      <c r="BG89" s="213" t="str">
        <f>IF(Roster!$K$25="Español","LPP/RT",(IF(Roster!$K$25="Deutsch","VNS/AD",(IF(Roster!$K$25="Français","RPM/RT","MNG/TR")))))</f>
        <v>MNG/TR</v>
      </c>
      <c r="BH89" s="169"/>
    </row>
    <row r="90" spans="2:60" ht="15" customHeight="1" x14ac:dyDescent="0.2">
      <c r="B90" s="530" t="str">
        <f>IF(Roster!$O$13=0&amp;"+","",Roster!$O$13)</f>
        <v>6+</v>
      </c>
      <c r="C90" s="175"/>
      <c r="D90" s="212" t="str">
        <f>IF(Roster!$AE$13=0,"",Roster!$AE$13)</f>
        <v/>
      </c>
      <c r="E90" s="207"/>
      <c r="F90" s="212" t="str">
        <f>IF(Roster!$AF$13=0,"",Roster!$AF$13)</f>
        <v/>
      </c>
      <c r="G90" s="207"/>
      <c r="H90" s="212" t="str">
        <f>IF(Roster!$AB$13=0,"",Roster!$AB$13)</f>
        <v/>
      </c>
      <c r="I90" s="207"/>
      <c r="J90" s="212" t="str">
        <f>IF(Roster!$AJ$13=0,"",Roster!$AJ$13)</f>
        <v/>
      </c>
      <c r="K90" s="207"/>
      <c r="L90" s="212" t="str">
        <f>IF(Roster!$AK$13=0,"",Roster!$AK$13)</f>
        <v/>
      </c>
      <c r="M90" s="207"/>
      <c r="N90" s="212" t="str">
        <f>IF(Roster!$AA$13=0,"",Roster!$AA$13)</f>
        <v/>
      </c>
      <c r="O90" s="182"/>
      <c r="Q90" s="530" t="str">
        <f>IF(Roster!$O$14=0&amp;"+","",Roster!$O$14)</f>
        <v>6+</v>
      </c>
      <c r="R90" s="175"/>
      <c r="S90" s="212" t="str">
        <f>IF(Roster!$AE$14=0,"",Roster!$AE$14)</f>
        <v/>
      </c>
      <c r="T90" s="207"/>
      <c r="U90" s="212" t="str">
        <f>IF(Roster!$AF$14=0,"",Roster!$AF$14)</f>
        <v/>
      </c>
      <c r="V90" s="207"/>
      <c r="W90" s="212" t="str">
        <f>IF(Roster!$AB$14=0,"",Roster!$AB$14)</f>
        <v/>
      </c>
      <c r="X90" s="207"/>
      <c r="Y90" s="212" t="str">
        <f>IF(Roster!$AJ$14=0,"",Roster!$AJ$14)</f>
        <v/>
      </c>
      <c r="Z90" s="207"/>
      <c r="AA90" s="212" t="str">
        <f>IF(Roster!$AK$14=0,"",Roster!$AK$14)</f>
        <v/>
      </c>
      <c r="AB90" s="207"/>
      <c r="AC90" s="212" t="str">
        <f>IF(Roster!$AA$14=0,"",Roster!$AA$14)</f>
        <v/>
      </c>
      <c r="AD90" s="182"/>
      <c r="AF90" s="530" t="str">
        <f>IF(Roster!$O$15=0&amp;"+","",Roster!$O$15)</f>
        <v/>
      </c>
      <c r="AG90" s="175"/>
      <c r="AH90" s="212" t="str">
        <f>IF(Roster!$AE$15=0,"",Roster!$AE$15)</f>
        <v/>
      </c>
      <c r="AI90" s="207"/>
      <c r="AJ90" s="212" t="str">
        <f>IF(Roster!$AF$15=0,"",Roster!$AF$15)</f>
        <v/>
      </c>
      <c r="AK90" s="207"/>
      <c r="AL90" s="212" t="str">
        <f>IF(Roster!$AB$15=0,"",Roster!$AB$15)</f>
        <v/>
      </c>
      <c r="AM90" s="207"/>
      <c r="AN90" s="212" t="str">
        <f>IF(Roster!$AJ$15=0,"",Roster!$AJ$15)</f>
        <v/>
      </c>
      <c r="AO90" s="207"/>
      <c r="AP90" s="212" t="str">
        <f>IF(Roster!$AK$15=0,"",Roster!$AK$15)</f>
        <v/>
      </c>
      <c r="AQ90" s="207"/>
      <c r="AR90" s="212" t="str">
        <f>IF(Roster!$AA$15=0,"",Roster!$AA$15)</f>
        <v/>
      </c>
      <c r="AS90" s="182"/>
      <c r="AU90" s="530" t="str">
        <f>IF(Roster!$O$16=0&amp;"+","",Roster!$O$16)</f>
        <v/>
      </c>
      <c r="AV90" s="175"/>
      <c r="AW90" s="212" t="str">
        <f>IF(Roster!$AE$16=0,"",Roster!$AE$16)</f>
        <v/>
      </c>
      <c r="AX90" s="207"/>
      <c r="AY90" s="212" t="str">
        <f>IF(Roster!$AF$16=0,"",Roster!$AF$16)</f>
        <v/>
      </c>
      <c r="AZ90" s="207"/>
      <c r="BA90" s="212" t="str">
        <f>IF(Roster!$AB$16=0,"",Roster!$AB$16)</f>
        <v/>
      </c>
      <c r="BB90" s="207"/>
      <c r="BC90" s="212" t="str">
        <f>IF(Roster!$AJ$16=0,"",Roster!$AJ$16)</f>
        <v/>
      </c>
      <c r="BD90" s="207"/>
      <c r="BE90" s="212" t="str">
        <f>IF(Roster!$AK$16=0,"",Roster!$AK$16)</f>
        <v/>
      </c>
      <c r="BF90" s="207"/>
      <c r="BG90" s="212" t="str">
        <f>IF(Roster!$AA$16=0,"",Roster!$AA$16)</f>
        <v/>
      </c>
      <c r="BH90" s="182"/>
    </row>
    <row r="91" spans="2:60" ht="4.5" customHeight="1" x14ac:dyDescent="0.2">
      <c r="B91" s="531"/>
      <c r="C91" s="175"/>
      <c r="D91" s="207"/>
      <c r="E91" s="207"/>
      <c r="F91" s="207"/>
      <c r="G91" s="207"/>
      <c r="H91" s="207"/>
      <c r="I91" s="207"/>
      <c r="J91" s="207"/>
      <c r="K91" s="207"/>
      <c r="L91" s="207"/>
      <c r="M91" s="207"/>
      <c r="N91" s="210"/>
      <c r="O91" s="182"/>
      <c r="Q91" s="531"/>
      <c r="R91" s="175"/>
      <c r="S91" s="207"/>
      <c r="T91" s="207"/>
      <c r="U91" s="207"/>
      <c r="V91" s="207"/>
      <c r="W91" s="207"/>
      <c r="X91" s="207"/>
      <c r="Y91" s="207"/>
      <c r="Z91" s="207"/>
      <c r="AA91" s="207"/>
      <c r="AB91" s="207"/>
      <c r="AC91" s="210"/>
      <c r="AD91" s="182"/>
      <c r="AF91" s="531"/>
      <c r="AG91" s="175"/>
      <c r="AH91" s="207"/>
      <c r="AI91" s="207"/>
      <c r="AJ91" s="207"/>
      <c r="AK91" s="207"/>
      <c r="AL91" s="207"/>
      <c r="AM91" s="207"/>
      <c r="AN91" s="207"/>
      <c r="AO91" s="207"/>
      <c r="AP91" s="207"/>
      <c r="AQ91" s="207"/>
      <c r="AR91" s="210"/>
      <c r="AS91" s="182"/>
      <c r="AU91" s="531"/>
      <c r="AV91" s="175"/>
      <c r="AW91" s="207"/>
      <c r="AX91" s="207"/>
      <c r="AY91" s="207"/>
      <c r="AZ91" s="207"/>
      <c r="BA91" s="207"/>
      <c r="BB91" s="207"/>
      <c r="BC91" s="207"/>
      <c r="BD91" s="207"/>
      <c r="BE91" s="207"/>
      <c r="BF91" s="207"/>
      <c r="BG91" s="210"/>
      <c r="BH91" s="182"/>
    </row>
    <row r="92" spans="2:60" ht="11.25" customHeight="1" x14ac:dyDescent="0.2">
      <c r="B92" s="531"/>
      <c r="C92" s="175"/>
      <c r="D92" s="562" t="str">
        <f>IF(Roster!$K$25="Italiano","ABILITÀ &amp; TRATTI",(IF(Roster!$K$25="Español","HABILIDADES Y RASGOS","SKILLS &amp; TRAITS")))</f>
        <v>SKILLS &amp; TRAITS</v>
      </c>
      <c r="E92" s="563"/>
      <c r="F92" s="563"/>
      <c r="G92" s="563"/>
      <c r="H92" s="563"/>
      <c r="I92" s="563"/>
      <c r="J92" s="563"/>
      <c r="K92" s="563"/>
      <c r="L92" s="563"/>
      <c r="M92" s="563"/>
      <c r="N92" s="564"/>
      <c r="O92" s="182"/>
      <c r="Q92" s="531"/>
      <c r="R92" s="175"/>
      <c r="S92" s="562" t="str">
        <f>IF(Roster!$K$25="Italiano","ABILITÀ &amp; TRATTI",(IF(Roster!$K$25="Español","HABILIDADES Y RASGOS","SKILLS &amp; TRAITS")))</f>
        <v>SKILLS &amp; TRAITS</v>
      </c>
      <c r="T92" s="563"/>
      <c r="U92" s="563"/>
      <c r="V92" s="563"/>
      <c r="W92" s="563"/>
      <c r="X92" s="563"/>
      <c r="Y92" s="563"/>
      <c r="Z92" s="563"/>
      <c r="AA92" s="563"/>
      <c r="AB92" s="563"/>
      <c r="AC92" s="564"/>
      <c r="AD92" s="182"/>
      <c r="AF92" s="531"/>
      <c r="AG92" s="175"/>
      <c r="AH92" s="562" t="str">
        <f>IF(Roster!$K$25="Italiano","ABILITÀ &amp; TRATTI",(IF(Roster!$K$25="Español","HABILIDADES Y RASGOS","SKILLS &amp; TRAITS")))</f>
        <v>SKILLS &amp; TRAITS</v>
      </c>
      <c r="AI92" s="563"/>
      <c r="AJ92" s="563"/>
      <c r="AK92" s="563"/>
      <c r="AL92" s="563"/>
      <c r="AM92" s="563"/>
      <c r="AN92" s="563"/>
      <c r="AO92" s="563"/>
      <c r="AP92" s="563"/>
      <c r="AQ92" s="563"/>
      <c r="AR92" s="564"/>
      <c r="AS92" s="182"/>
      <c r="AU92" s="531"/>
      <c r="AV92" s="175"/>
      <c r="AW92" s="562" t="str">
        <f>IF(Roster!$K$25="Italiano","ABILITÀ &amp; TRATTI",(IF(Roster!$K$25="Español","HABILIDADES Y RASGOS","SKILLS &amp; TRAITS")))</f>
        <v>SKILLS &amp; TRAITS</v>
      </c>
      <c r="AX92" s="563"/>
      <c r="AY92" s="563"/>
      <c r="AZ92" s="563"/>
      <c r="BA92" s="563"/>
      <c r="BB92" s="563"/>
      <c r="BC92" s="563"/>
      <c r="BD92" s="563"/>
      <c r="BE92" s="563"/>
      <c r="BF92" s="563"/>
      <c r="BG92" s="564"/>
      <c r="BH92" s="182"/>
    </row>
    <row r="93" spans="2:60" ht="6.75" customHeight="1" x14ac:dyDescent="0.2">
      <c r="B93" s="337"/>
      <c r="C93" s="175"/>
      <c r="D93" s="565" t="str">
        <f>IF(Roster!$P$13=0&amp;AQ74,"",Roster!$P$13)</f>
        <v>Dodge, Right Stuff, Side Step, Stunty, Titchy</v>
      </c>
      <c r="E93" s="490"/>
      <c r="F93" s="490"/>
      <c r="G93" s="490"/>
      <c r="H93" s="490"/>
      <c r="I93" s="490"/>
      <c r="J93" s="490"/>
      <c r="K93" s="490"/>
      <c r="L93" s="490"/>
      <c r="M93" s="490"/>
      <c r="N93" s="566"/>
      <c r="O93" s="182"/>
      <c r="Q93" s="337"/>
      <c r="R93" s="175"/>
      <c r="S93" s="565" t="str">
        <f>IF(Roster!$P$14=0&amp;BF74,"",Roster!$P$14)</f>
        <v>Loner (4+), Dodge, Right Stuff, Side Step, Stunty, Titchy</v>
      </c>
      <c r="T93" s="490"/>
      <c r="U93" s="490"/>
      <c r="V93" s="490"/>
      <c r="W93" s="490"/>
      <c r="X93" s="490"/>
      <c r="Y93" s="490"/>
      <c r="Z93" s="490"/>
      <c r="AA93" s="490"/>
      <c r="AB93" s="490"/>
      <c r="AC93" s="566"/>
      <c r="AD93" s="182"/>
      <c r="AF93" s="337"/>
      <c r="AG93" s="175"/>
      <c r="AH93" s="565" t="str">
        <f>IF(Roster!$P$15=0&amp;BU74,"",Roster!$P$15)</f>
        <v/>
      </c>
      <c r="AI93" s="490"/>
      <c r="AJ93" s="490"/>
      <c r="AK93" s="490"/>
      <c r="AL93" s="490"/>
      <c r="AM93" s="490"/>
      <c r="AN93" s="490"/>
      <c r="AO93" s="490"/>
      <c r="AP93" s="490"/>
      <c r="AQ93" s="490"/>
      <c r="AR93" s="566"/>
      <c r="AS93" s="182"/>
      <c r="AU93" s="337"/>
      <c r="AV93" s="175"/>
      <c r="AW93" s="565" t="str">
        <f>IF(Roster!$P$16=0&amp;CJ74,"",Roster!$P$16)</f>
        <v/>
      </c>
      <c r="AX93" s="490"/>
      <c r="AY93" s="490"/>
      <c r="AZ93" s="490"/>
      <c r="BA93" s="490"/>
      <c r="BB93" s="490"/>
      <c r="BC93" s="490"/>
      <c r="BD93" s="490"/>
      <c r="BE93" s="490"/>
      <c r="BF93" s="490"/>
      <c r="BG93" s="566"/>
      <c r="BH93" s="182"/>
    </row>
    <row r="94" spans="2:60" ht="11.25" customHeight="1" x14ac:dyDescent="0.2">
      <c r="B94" s="173" t="str">
        <f>IF(Roster!$AO$1=0,"",Roster!$AO$1)</f>
        <v>COST</v>
      </c>
      <c r="C94" s="174"/>
      <c r="D94" s="567"/>
      <c r="E94" s="568"/>
      <c r="F94" s="568"/>
      <c r="G94" s="568"/>
      <c r="H94" s="568"/>
      <c r="I94" s="568"/>
      <c r="J94" s="568"/>
      <c r="K94" s="568"/>
      <c r="L94" s="568"/>
      <c r="M94" s="568"/>
      <c r="N94" s="566"/>
      <c r="O94" s="185"/>
      <c r="Q94" s="173" t="str">
        <f>IF(Roster!$AO$1=0,"",Roster!$AO$1)</f>
        <v>COST</v>
      </c>
      <c r="R94" s="174"/>
      <c r="S94" s="567"/>
      <c r="T94" s="568"/>
      <c r="U94" s="568"/>
      <c r="V94" s="568"/>
      <c r="W94" s="568"/>
      <c r="X94" s="568"/>
      <c r="Y94" s="568"/>
      <c r="Z94" s="568"/>
      <c r="AA94" s="568"/>
      <c r="AB94" s="568"/>
      <c r="AC94" s="566"/>
      <c r="AD94" s="185"/>
      <c r="AF94" s="173" t="str">
        <f>IF(Roster!$AO$1=0,"",Roster!$AO$1)</f>
        <v>COST</v>
      </c>
      <c r="AG94" s="174"/>
      <c r="AH94" s="567"/>
      <c r="AI94" s="568"/>
      <c r="AJ94" s="568"/>
      <c r="AK94" s="568"/>
      <c r="AL94" s="568"/>
      <c r="AM94" s="568"/>
      <c r="AN94" s="568"/>
      <c r="AO94" s="568"/>
      <c r="AP94" s="568"/>
      <c r="AQ94" s="568"/>
      <c r="AR94" s="566"/>
      <c r="AS94" s="185"/>
      <c r="AU94" s="173" t="str">
        <f>IF(Roster!$AO$1=0,"",Roster!$AO$1)</f>
        <v>COST</v>
      </c>
      <c r="AV94" s="174"/>
      <c r="AW94" s="567"/>
      <c r="AX94" s="568"/>
      <c r="AY94" s="568"/>
      <c r="AZ94" s="568"/>
      <c r="BA94" s="568"/>
      <c r="BB94" s="568"/>
      <c r="BC94" s="568"/>
      <c r="BD94" s="568"/>
      <c r="BE94" s="568"/>
      <c r="BF94" s="568"/>
      <c r="BG94" s="566"/>
      <c r="BH94" s="185"/>
    </row>
    <row r="95" spans="2:60" ht="34.5" customHeight="1" x14ac:dyDescent="0.2">
      <c r="B95" s="187">
        <f>IF(Roster!$AO$13=0,"",Roster!$AO$13)</f>
        <v>15000</v>
      </c>
      <c r="C95" s="188"/>
      <c r="D95" s="569"/>
      <c r="E95" s="570"/>
      <c r="F95" s="570"/>
      <c r="G95" s="570"/>
      <c r="H95" s="570"/>
      <c r="I95" s="570"/>
      <c r="J95" s="570"/>
      <c r="K95" s="570"/>
      <c r="L95" s="570"/>
      <c r="M95" s="570"/>
      <c r="N95" s="571"/>
      <c r="O95" s="185"/>
      <c r="Q95" s="187" t="str">
        <f>IF(Roster!$AO$14=0,"",Roster!$AO$14)</f>
        <v/>
      </c>
      <c r="R95" s="188"/>
      <c r="S95" s="569"/>
      <c r="T95" s="570"/>
      <c r="U95" s="570"/>
      <c r="V95" s="570"/>
      <c r="W95" s="570"/>
      <c r="X95" s="570"/>
      <c r="Y95" s="570"/>
      <c r="Z95" s="570"/>
      <c r="AA95" s="570"/>
      <c r="AB95" s="570"/>
      <c r="AC95" s="571"/>
      <c r="AD95" s="185"/>
      <c r="AF95" s="187" t="str">
        <f>IF(Roster!$AO$15=0,"",Roster!$AO$15)</f>
        <v/>
      </c>
      <c r="AG95" s="188"/>
      <c r="AH95" s="569"/>
      <c r="AI95" s="570"/>
      <c r="AJ95" s="570"/>
      <c r="AK95" s="570"/>
      <c r="AL95" s="570"/>
      <c r="AM95" s="570"/>
      <c r="AN95" s="570"/>
      <c r="AO95" s="570"/>
      <c r="AP95" s="570"/>
      <c r="AQ95" s="570"/>
      <c r="AR95" s="571"/>
      <c r="AS95" s="185"/>
      <c r="AU95" s="187" t="str">
        <f>IF(Roster!$AO$16=0,"",Roster!$AO$16)</f>
        <v/>
      </c>
      <c r="AV95" s="188"/>
      <c r="AW95" s="569"/>
      <c r="AX95" s="570"/>
      <c r="AY95" s="570"/>
      <c r="AZ95" s="570"/>
      <c r="BA95" s="570"/>
      <c r="BB95" s="570"/>
      <c r="BC95" s="570"/>
      <c r="BD95" s="570"/>
      <c r="BE95" s="570"/>
      <c r="BF95" s="570"/>
      <c r="BG95" s="571"/>
      <c r="BH95" s="185"/>
    </row>
    <row r="96" spans="2:60" ht="4.5" customHeight="1" x14ac:dyDescent="0.2">
      <c r="B96" s="572"/>
      <c r="C96" s="334"/>
      <c r="D96" s="334"/>
      <c r="E96" s="334"/>
      <c r="F96" s="334"/>
      <c r="G96" s="334"/>
      <c r="H96" s="334"/>
      <c r="I96" s="334"/>
      <c r="J96" s="334"/>
      <c r="K96" s="334"/>
      <c r="L96" s="334"/>
      <c r="M96" s="334"/>
      <c r="N96" s="336"/>
      <c r="O96" s="189"/>
      <c r="Q96" s="572"/>
      <c r="R96" s="334"/>
      <c r="S96" s="334"/>
      <c r="T96" s="334"/>
      <c r="U96" s="334"/>
      <c r="V96" s="334"/>
      <c r="W96" s="334"/>
      <c r="X96" s="334"/>
      <c r="Y96" s="334"/>
      <c r="Z96" s="334"/>
      <c r="AA96" s="334"/>
      <c r="AB96" s="334"/>
      <c r="AC96" s="336"/>
      <c r="AD96" s="189"/>
      <c r="AF96" s="572"/>
      <c r="AG96" s="334"/>
      <c r="AH96" s="334"/>
      <c r="AI96" s="334"/>
      <c r="AJ96" s="334"/>
      <c r="AK96" s="334"/>
      <c r="AL96" s="334"/>
      <c r="AM96" s="334"/>
      <c r="AN96" s="334"/>
      <c r="AO96" s="334"/>
      <c r="AP96" s="334"/>
      <c r="AQ96" s="334"/>
      <c r="AR96" s="336"/>
      <c r="AS96" s="189"/>
      <c r="AU96" s="572"/>
      <c r="AV96" s="334"/>
      <c r="AW96" s="334"/>
      <c r="AX96" s="334"/>
      <c r="AY96" s="334"/>
      <c r="AZ96" s="334"/>
      <c r="BA96" s="334"/>
      <c r="BB96" s="334"/>
      <c r="BC96" s="334"/>
      <c r="BD96" s="334"/>
      <c r="BE96" s="334"/>
      <c r="BF96" s="334"/>
      <c r="BG96" s="336"/>
      <c r="BH96" s="189"/>
    </row>
    <row r="97" spans="2:61" ht="11.25" customHeight="1" x14ac:dyDescent="0.2"/>
    <row r="98" spans="2:61" ht="4.5" customHeight="1" x14ac:dyDescent="0.2">
      <c r="B98" s="514" t="str">
        <f>IF(Roster!$A$17=0,"","#"&amp;Roster!$A$17)</f>
        <v>#16</v>
      </c>
      <c r="C98" s="167"/>
      <c r="D98" s="167"/>
      <c r="E98" s="167"/>
      <c r="F98" s="167"/>
      <c r="G98" s="167"/>
      <c r="H98" s="167"/>
      <c r="I98" s="167"/>
      <c r="J98" s="167"/>
      <c r="K98" s="167"/>
      <c r="L98" s="167"/>
      <c r="M98" s="167"/>
      <c r="N98" s="167"/>
      <c r="O98" s="168"/>
      <c r="Q98" s="514"/>
      <c r="R98" s="167"/>
      <c r="S98" s="167"/>
      <c r="T98" s="167"/>
      <c r="U98" s="167"/>
      <c r="V98" s="167"/>
      <c r="W98" s="167"/>
      <c r="X98" s="167"/>
      <c r="Y98" s="167"/>
      <c r="Z98" s="167"/>
      <c r="AA98" s="167"/>
      <c r="AB98" s="167"/>
      <c r="AC98" s="167"/>
      <c r="AD98" s="168"/>
      <c r="AE98" s="181"/>
      <c r="AF98" s="514"/>
      <c r="AG98" s="167"/>
      <c r="AH98" s="167"/>
      <c r="AI98" s="167"/>
      <c r="AJ98" s="167"/>
      <c r="AK98" s="167"/>
      <c r="AL98" s="167"/>
      <c r="AM98" s="167"/>
      <c r="AN98" s="167"/>
      <c r="AO98" s="167"/>
      <c r="AP98" s="167"/>
      <c r="AQ98" s="167"/>
      <c r="AR98" s="167"/>
      <c r="AS98" s="168"/>
      <c r="AT98" s="181"/>
      <c r="AU98" s="514"/>
      <c r="AV98" s="167"/>
      <c r="AW98" s="167"/>
      <c r="AX98" s="167"/>
      <c r="AY98" s="167"/>
      <c r="AZ98" s="167"/>
      <c r="BA98" s="167"/>
      <c r="BB98" s="167"/>
      <c r="BC98" s="167"/>
      <c r="BD98" s="167"/>
      <c r="BE98" s="167"/>
      <c r="BF98" s="167"/>
      <c r="BG98" s="167"/>
      <c r="BH98" s="168"/>
      <c r="BI98" s="190"/>
    </row>
    <row r="99" spans="2:61" ht="15" customHeight="1" x14ac:dyDescent="0.25">
      <c r="B99" s="515"/>
      <c r="C99" s="537" t="str">
        <f>IF(Roster!$B$17=0,"",Roster!$B$17)</f>
        <v/>
      </c>
      <c r="D99" s="303"/>
      <c r="E99" s="303"/>
      <c r="F99" s="303"/>
      <c r="G99" s="303"/>
      <c r="H99" s="303"/>
      <c r="I99" s="303"/>
      <c r="J99" s="303"/>
      <c r="K99" s="303"/>
      <c r="L99" s="303"/>
      <c r="M99" s="303"/>
      <c r="N99" s="304"/>
      <c r="O99" s="169"/>
      <c r="Q99" s="515"/>
      <c r="R99" s="517" t="str">
        <f>IF(Roster!$B$18=0,"","("&amp;Roster!$B$18&amp;")")</f>
        <v>(Star Player &amp; Mercenary)</v>
      </c>
      <c r="S99" s="303"/>
      <c r="T99" s="303"/>
      <c r="U99" s="303"/>
      <c r="V99" s="303"/>
      <c r="W99" s="303"/>
      <c r="X99" s="303"/>
      <c r="Y99" s="303"/>
      <c r="Z99" s="303"/>
      <c r="AA99" s="303"/>
      <c r="AB99" s="303"/>
      <c r="AC99" s="304"/>
      <c r="AD99" s="169"/>
      <c r="AE99" s="181"/>
      <c r="AF99" s="515"/>
      <c r="AG99" s="517" t="str">
        <f>IF(Roster!$B$18=0,"","("&amp;Roster!$B$18&amp;")")</f>
        <v>(Star Player &amp; Mercenary)</v>
      </c>
      <c r="AH99" s="303"/>
      <c r="AI99" s="303"/>
      <c r="AJ99" s="303"/>
      <c r="AK99" s="303"/>
      <c r="AL99" s="303"/>
      <c r="AM99" s="303"/>
      <c r="AN99" s="303"/>
      <c r="AO99" s="303"/>
      <c r="AP99" s="303"/>
      <c r="AQ99" s="303"/>
      <c r="AR99" s="304"/>
      <c r="AS99" s="169"/>
      <c r="AT99" s="181"/>
      <c r="AU99" s="515"/>
      <c r="AV99" s="517" t="str">
        <f>IF(Roster!$B$20=0,"","("&amp;Roster!$B$20&amp;")")</f>
        <v>(Mercenary)</v>
      </c>
      <c r="AW99" s="303"/>
      <c r="AX99" s="303"/>
      <c r="AY99" s="303"/>
      <c r="AZ99" s="303"/>
      <c r="BA99" s="303"/>
      <c r="BB99" s="303"/>
      <c r="BC99" s="303"/>
      <c r="BD99" s="303"/>
      <c r="BE99" s="303"/>
      <c r="BF99" s="303"/>
      <c r="BG99" s="304"/>
      <c r="BH99" s="169"/>
      <c r="BI99" s="190"/>
    </row>
    <row r="100" spans="2:61" ht="11.25" customHeight="1" x14ac:dyDescent="0.2">
      <c r="B100" s="516"/>
      <c r="C100" s="517" t="str">
        <f>IF(Roster!$D$17=0,"",Roster!$D$17)</f>
        <v/>
      </c>
      <c r="D100" s="303"/>
      <c r="E100" s="303"/>
      <c r="F100" s="303"/>
      <c r="G100" s="303"/>
      <c r="H100" s="303"/>
      <c r="I100" s="303"/>
      <c r="J100" s="303"/>
      <c r="K100" s="303"/>
      <c r="L100" s="303"/>
      <c r="M100" s="303"/>
      <c r="N100" s="304"/>
      <c r="O100" s="170"/>
      <c r="Q100" s="516"/>
      <c r="R100" s="518" t="str">
        <f>IF(Roster!$D$18=0,"",Roster!$D$18)</f>
        <v/>
      </c>
      <c r="S100" s="496"/>
      <c r="T100" s="496"/>
      <c r="U100" s="496"/>
      <c r="V100" s="496"/>
      <c r="W100" s="496"/>
      <c r="X100" s="496"/>
      <c r="Y100" s="496"/>
      <c r="Z100" s="496"/>
      <c r="AA100" s="496"/>
      <c r="AB100" s="496"/>
      <c r="AC100" s="497"/>
      <c r="AD100" s="170"/>
      <c r="AE100" s="181"/>
      <c r="AF100" s="516"/>
      <c r="AG100" s="518" t="str">
        <f>IF(Roster!$D$19=0,"",Roster!$D$19)</f>
        <v/>
      </c>
      <c r="AH100" s="496"/>
      <c r="AI100" s="496"/>
      <c r="AJ100" s="496"/>
      <c r="AK100" s="496"/>
      <c r="AL100" s="496"/>
      <c r="AM100" s="496"/>
      <c r="AN100" s="496"/>
      <c r="AO100" s="496"/>
      <c r="AP100" s="496"/>
      <c r="AQ100" s="496"/>
      <c r="AR100" s="497"/>
      <c r="AS100" s="170"/>
      <c r="AT100" s="181"/>
      <c r="AU100" s="516"/>
      <c r="AV100" s="518" t="str">
        <f>IF(Roster!$D$20=0,"",Roster!$D$20)</f>
        <v/>
      </c>
      <c r="AW100" s="496"/>
      <c r="AX100" s="496"/>
      <c r="AY100" s="496"/>
      <c r="AZ100" s="496"/>
      <c r="BA100" s="496"/>
      <c r="BB100" s="496"/>
      <c r="BC100" s="496"/>
      <c r="BD100" s="496"/>
      <c r="BE100" s="496"/>
      <c r="BF100" s="496"/>
      <c r="BG100" s="497"/>
      <c r="BH100" s="170"/>
      <c r="BI100" s="190"/>
    </row>
    <row r="101" spans="2:61" ht="11.25" customHeight="1" x14ac:dyDescent="0.2">
      <c r="B101" s="173" t="str">
        <f>IF(Roster!$K$1=0,"",Roster!$K$1)</f>
        <v>MA</v>
      </c>
      <c r="C101" s="174"/>
      <c r="D101" s="174"/>
      <c r="E101" s="174"/>
      <c r="F101" s="174"/>
      <c r="G101" s="174"/>
      <c r="H101" s="174"/>
      <c r="I101" s="174"/>
      <c r="J101" s="174"/>
      <c r="K101" s="174"/>
      <c r="L101" s="174"/>
      <c r="M101" s="174"/>
      <c r="N101" s="174"/>
      <c r="O101" s="169"/>
      <c r="Q101" s="173" t="str">
        <f>IF(Roster!$K$1=0,"",Roster!$K$1)</f>
        <v>MA</v>
      </c>
      <c r="R101" s="498"/>
      <c r="S101" s="385"/>
      <c r="T101" s="385"/>
      <c r="U101" s="385"/>
      <c r="V101" s="385"/>
      <c r="W101" s="385"/>
      <c r="X101" s="385"/>
      <c r="Y101" s="385"/>
      <c r="Z101" s="385"/>
      <c r="AA101" s="385"/>
      <c r="AB101" s="385"/>
      <c r="AC101" s="499"/>
      <c r="AD101" s="169"/>
      <c r="AE101" s="181"/>
      <c r="AF101" s="173" t="str">
        <f>IF(Roster!$K$1=0,"",Roster!$K$1)</f>
        <v>MA</v>
      </c>
      <c r="AG101" s="498"/>
      <c r="AH101" s="385"/>
      <c r="AI101" s="385"/>
      <c r="AJ101" s="385"/>
      <c r="AK101" s="385"/>
      <c r="AL101" s="385"/>
      <c r="AM101" s="385"/>
      <c r="AN101" s="385"/>
      <c r="AO101" s="385"/>
      <c r="AP101" s="385"/>
      <c r="AQ101" s="385"/>
      <c r="AR101" s="499"/>
      <c r="AS101" s="169"/>
      <c r="AT101" s="181"/>
      <c r="AU101" s="173" t="str">
        <f>IF(Roster!$K$1=0,"",Roster!$K$1)</f>
        <v>MA</v>
      </c>
      <c r="AV101" s="498"/>
      <c r="AW101" s="385"/>
      <c r="AX101" s="385"/>
      <c r="AY101" s="385"/>
      <c r="AZ101" s="385"/>
      <c r="BA101" s="385"/>
      <c r="BB101" s="385"/>
      <c r="BC101" s="385"/>
      <c r="BD101" s="385"/>
      <c r="BE101" s="385"/>
      <c r="BF101" s="385"/>
      <c r="BG101" s="499"/>
      <c r="BH101" s="169"/>
      <c r="BI101" s="190"/>
    </row>
    <row r="102" spans="2:61" ht="37.5" customHeight="1" x14ac:dyDescent="0.2">
      <c r="B102" s="176" t="str">
        <f>IF(Roster!$K$17=0,"",Roster!$K$17)</f>
        <v/>
      </c>
      <c r="C102" s="174"/>
      <c r="D102" s="538"/>
      <c r="E102" s="539"/>
      <c r="F102" s="539"/>
      <c r="G102" s="539"/>
      <c r="H102" s="539"/>
      <c r="I102" s="539"/>
      <c r="J102" s="539"/>
      <c r="K102" s="539"/>
      <c r="L102" s="539"/>
      <c r="M102" s="539"/>
      <c r="N102" s="540"/>
      <c r="O102" s="169"/>
      <c r="Q102" s="176" t="str">
        <f>IF(Roster!$K$18=0,"",Roster!$K$18)</f>
        <v/>
      </c>
      <c r="R102" s="500"/>
      <c r="S102" s="501"/>
      <c r="T102" s="501"/>
      <c r="U102" s="501"/>
      <c r="V102" s="501"/>
      <c r="W102" s="501"/>
      <c r="X102" s="501"/>
      <c r="Y102" s="501"/>
      <c r="Z102" s="501"/>
      <c r="AA102" s="501"/>
      <c r="AB102" s="501"/>
      <c r="AC102" s="291"/>
      <c r="AD102" s="511"/>
      <c r="AE102" s="181"/>
      <c r="AF102" s="176" t="str">
        <f>IF(Roster!$K$19=0,"",Roster!$K$19)</f>
        <v/>
      </c>
      <c r="AG102" s="500"/>
      <c r="AH102" s="501"/>
      <c r="AI102" s="501"/>
      <c r="AJ102" s="501"/>
      <c r="AK102" s="501"/>
      <c r="AL102" s="501"/>
      <c r="AM102" s="501"/>
      <c r="AN102" s="501"/>
      <c r="AO102" s="501"/>
      <c r="AP102" s="501"/>
      <c r="AQ102" s="501"/>
      <c r="AR102" s="291"/>
      <c r="AS102" s="511"/>
      <c r="AT102" s="181"/>
      <c r="AU102" s="176" t="str">
        <f>IF(Roster!$K$20=0,"",Roster!$K$20)</f>
        <v/>
      </c>
      <c r="AV102" s="500"/>
      <c r="AW102" s="501"/>
      <c r="AX102" s="501"/>
      <c r="AY102" s="501"/>
      <c r="AZ102" s="501"/>
      <c r="BA102" s="501"/>
      <c r="BB102" s="501"/>
      <c r="BC102" s="501"/>
      <c r="BD102" s="501"/>
      <c r="BE102" s="501"/>
      <c r="BF102" s="501"/>
      <c r="BG102" s="291"/>
      <c r="BH102" s="511"/>
      <c r="BI102" s="190"/>
    </row>
    <row r="103" spans="2:61" ht="11.25" customHeight="1" x14ac:dyDescent="0.2">
      <c r="B103" s="173" t="str">
        <f>IF(Roster!$L$1=0,"",Roster!$L$1)</f>
        <v>ST</v>
      </c>
      <c r="C103" s="174"/>
      <c r="D103" s="541"/>
      <c r="E103" s="542"/>
      <c r="F103" s="542"/>
      <c r="G103" s="542"/>
      <c r="H103" s="542"/>
      <c r="I103" s="542"/>
      <c r="J103" s="542"/>
      <c r="K103" s="542"/>
      <c r="L103" s="542"/>
      <c r="M103" s="542"/>
      <c r="N103" s="543"/>
      <c r="O103" s="169"/>
      <c r="Q103" s="173" t="str">
        <f>IF(Roster!$L$1=0,"",Roster!$L$1)</f>
        <v>ST</v>
      </c>
      <c r="R103" s="510"/>
      <c r="S103" s="519" t="str">
        <f>IF(Roster!$K$25="Español","REGLA ESPECIAL","SPECIAL RULE")</f>
        <v>SPECIAL RULE</v>
      </c>
      <c r="T103" s="331"/>
      <c r="U103" s="331"/>
      <c r="V103" s="331"/>
      <c r="W103" s="331"/>
      <c r="X103" s="331"/>
      <c r="Y103" s="331"/>
      <c r="Z103" s="331"/>
      <c r="AA103" s="331"/>
      <c r="AB103" s="331"/>
      <c r="AC103" s="520"/>
      <c r="AD103" s="512"/>
      <c r="AE103" s="181"/>
      <c r="AF103" s="173" t="str">
        <f>IF(Roster!$L$1=0,"",Roster!$L$1)</f>
        <v>ST</v>
      </c>
      <c r="AG103" s="510"/>
      <c r="AH103" s="519" t="str">
        <f>IF(Roster!$K$25="Español","REGLA ESPECIAL","SPECIAL RULE")</f>
        <v>SPECIAL RULE</v>
      </c>
      <c r="AI103" s="331"/>
      <c r="AJ103" s="331"/>
      <c r="AK103" s="331"/>
      <c r="AL103" s="331"/>
      <c r="AM103" s="331"/>
      <c r="AN103" s="331"/>
      <c r="AO103" s="331"/>
      <c r="AP103" s="331"/>
      <c r="AQ103" s="331"/>
      <c r="AR103" s="520"/>
      <c r="AS103" s="512"/>
      <c r="AT103" s="181"/>
      <c r="AU103" s="173" t="str">
        <f>IF(Roster!$L$1=0,"",Roster!$L$1)</f>
        <v>ST</v>
      </c>
      <c r="AV103" s="510"/>
      <c r="AW103" s="519" t="str">
        <f>IF(Roster!$K$25="Italiano","REGOLE SPECIALI",(IF(Roster!$K$25="Español","REGLA ESPECIAL","SPECIAL RULE")))</f>
        <v>SPECIAL RULE</v>
      </c>
      <c r="AX103" s="331"/>
      <c r="AY103" s="331"/>
      <c r="AZ103" s="331"/>
      <c r="BA103" s="331"/>
      <c r="BB103" s="331"/>
      <c r="BC103" s="331"/>
      <c r="BD103" s="331"/>
      <c r="BE103" s="331"/>
      <c r="BF103" s="331"/>
      <c r="BG103" s="520"/>
      <c r="BH103" s="512"/>
      <c r="BI103" s="190"/>
    </row>
    <row r="104" spans="2:61" ht="37.5" customHeight="1" x14ac:dyDescent="0.2">
      <c r="B104" s="176" t="str">
        <f>IF(Roster!$L$17=0,"",Roster!$L$17)</f>
        <v/>
      </c>
      <c r="C104" s="174"/>
      <c r="D104" s="541"/>
      <c r="E104" s="542"/>
      <c r="F104" s="542"/>
      <c r="G104" s="542"/>
      <c r="H104" s="542"/>
      <c r="I104" s="542"/>
      <c r="J104" s="542"/>
      <c r="K104" s="542"/>
      <c r="L104" s="542"/>
      <c r="M104" s="542"/>
      <c r="N104" s="543"/>
      <c r="O104" s="169"/>
      <c r="Q104" s="176" t="str">
        <f>IF(Roster!$L$18=0,"",Roster!$L$18)</f>
        <v/>
      </c>
      <c r="R104" s="290"/>
      <c r="S104" s="521" t="str">
        <f>IF(Roster!$AA$18=0,"",Roster!$AA$18)</f>
        <v/>
      </c>
      <c r="T104" s="522"/>
      <c r="U104" s="522"/>
      <c r="V104" s="522"/>
      <c r="W104" s="522"/>
      <c r="X104" s="522"/>
      <c r="Y104" s="522"/>
      <c r="Z104" s="522"/>
      <c r="AA104" s="522"/>
      <c r="AB104" s="522"/>
      <c r="AC104" s="523"/>
      <c r="AD104" s="512"/>
      <c r="AE104" s="181"/>
      <c r="AF104" s="176" t="str">
        <f>IF(Roster!$L$19=0,"",Roster!$L$19)</f>
        <v/>
      </c>
      <c r="AG104" s="290"/>
      <c r="AH104" s="521" t="str">
        <f>IF(Roster!$AA$19=0,"",Roster!$AA$19)</f>
        <v/>
      </c>
      <c r="AI104" s="522"/>
      <c r="AJ104" s="522"/>
      <c r="AK104" s="522"/>
      <c r="AL104" s="522"/>
      <c r="AM104" s="522"/>
      <c r="AN104" s="522"/>
      <c r="AO104" s="522"/>
      <c r="AP104" s="522"/>
      <c r="AQ104" s="522"/>
      <c r="AR104" s="523"/>
      <c r="AS104" s="512"/>
      <c r="AT104" s="181"/>
      <c r="AU104" s="176" t="str">
        <f>IF(Roster!$L$20=0,"",Roster!$L$20)</f>
        <v/>
      </c>
      <c r="AV104" s="290"/>
      <c r="AW104" s="521" t="str">
        <f>IF(Roster!$AA$20=0,"",Roster!$AA$20)</f>
        <v/>
      </c>
      <c r="AX104" s="522"/>
      <c r="AY104" s="522"/>
      <c r="AZ104" s="522"/>
      <c r="BA104" s="522"/>
      <c r="BB104" s="522"/>
      <c r="BC104" s="522"/>
      <c r="BD104" s="522"/>
      <c r="BE104" s="522"/>
      <c r="BF104" s="522"/>
      <c r="BG104" s="523"/>
      <c r="BH104" s="512"/>
      <c r="BI104" s="190"/>
    </row>
    <row r="105" spans="2:61" ht="11.25" customHeight="1" x14ac:dyDescent="0.2">
      <c r="B105" s="173" t="str">
        <f>IF(Roster!$M$1=0,"",Roster!$M$1)</f>
        <v>AG</v>
      </c>
      <c r="C105" s="174"/>
      <c r="D105" s="541"/>
      <c r="E105" s="542"/>
      <c r="F105" s="542"/>
      <c r="G105" s="542"/>
      <c r="H105" s="542"/>
      <c r="I105" s="542"/>
      <c r="J105" s="542"/>
      <c r="K105" s="542"/>
      <c r="L105" s="542"/>
      <c r="M105" s="542"/>
      <c r="N105" s="543"/>
      <c r="O105" s="169"/>
      <c r="Q105" s="173" t="str">
        <f>IF(Roster!$M$1=0,"",Roster!$M$1)</f>
        <v>AG</v>
      </c>
      <c r="R105" s="290"/>
      <c r="S105" s="524"/>
      <c r="T105" s="525"/>
      <c r="U105" s="525"/>
      <c r="V105" s="525"/>
      <c r="W105" s="525"/>
      <c r="X105" s="525"/>
      <c r="Y105" s="525"/>
      <c r="Z105" s="525"/>
      <c r="AA105" s="525"/>
      <c r="AB105" s="525"/>
      <c r="AC105" s="526"/>
      <c r="AD105" s="512"/>
      <c r="AE105" s="181"/>
      <c r="AF105" s="173" t="str">
        <f>IF(Roster!$M$1=0,"",Roster!$M$1)</f>
        <v>AG</v>
      </c>
      <c r="AG105" s="290"/>
      <c r="AH105" s="524"/>
      <c r="AI105" s="525"/>
      <c r="AJ105" s="525"/>
      <c r="AK105" s="525"/>
      <c r="AL105" s="525"/>
      <c r="AM105" s="525"/>
      <c r="AN105" s="525"/>
      <c r="AO105" s="525"/>
      <c r="AP105" s="525"/>
      <c r="AQ105" s="525"/>
      <c r="AR105" s="526"/>
      <c r="AS105" s="512"/>
      <c r="AT105" s="181"/>
      <c r="AU105" s="173" t="str">
        <f>IF(Roster!$M$1=0,"",Roster!$M$1)</f>
        <v>AG</v>
      </c>
      <c r="AV105" s="290"/>
      <c r="AW105" s="524"/>
      <c r="AX105" s="525"/>
      <c r="AY105" s="525"/>
      <c r="AZ105" s="525"/>
      <c r="BA105" s="525"/>
      <c r="BB105" s="525"/>
      <c r="BC105" s="525"/>
      <c r="BD105" s="525"/>
      <c r="BE105" s="525"/>
      <c r="BF105" s="525"/>
      <c r="BG105" s="526"/>
      <c r="BH105" s="512"/>
      <c r="BI105" s="190"/>
    </row>
    <row r="106" spans="2:61" ht="37.5" customHeight="1" x14ac:dyDescent="0.2">
      <c r="B106" s="176" t="str">
        <f>IF(Roster!$M$17=0&amp;"+","",Roster!$M$17)</f>
        <v/>
      </c>
      <c r="C106" s="174"/>
      <c r="D106" s="541"/>
      <c r="E106" s="542"/>
      <c r="F106" s="542"/>
      <c r="G106" s="542"/>
      <c r="H106" s="542"/>
      <c r="I106" s="542"/>
      <c r="J106" s="542"/>
      <c r="K106" s="542"/>
      <c r="L106" s="542"/>
      <c r="M106" s="542"/>
      <c r="N106" s="543"/>
      <c r="O106" s="169"/>
      <c r="Q106" s="176" t="str">
        <f>IF(Roster!$M$18=0,"",Roster!$M$18)</f>
        <v/>
      </c>
      <c r="R106" s="290"/>
      <c r="S106" s="524"/>
      <c r="T106" s="525"/>
      <c r="U106" s="525"/>
      <c r="V106" s="525"/>
      <c r="W106" s="525"/>
      <c r="X106" s="525"/>
      <c r="Y106" s="525"/>
      <c r="Z106" s="525"/>
      <c r="AA106" s="525"/>
      <c r="AB106" s="525"/>
      <c r="AC106" s="526"/>
      <c r="AD106" s="512"/>
      <c r="AE106" s="181"/>
      <c r="AF106" s="176" t="str">
        <f>IF(Roster!$M$19=0,"",Roster!$M$19)</f>
        <v/>
      </c>
      <c r="AG106" s="290"/>
      <c r="AH106" s="524"/>
      <c r="AI106" s="525"/>
      <c r="AJ106" s="525"/>
      <c r="AK106" s="525"/>
      <c r="AL106" s="525"/>
      <c r="AM106" s="525"/>
      <c r="AN106" s="525"/>
      <c r="AO106" s="525"/>
      <c r="AP106" s="525"/>
      <c r="AQ106" s="525"/>
      <c r="AR106" s="526"/>
      <c r="AS106" s="512"/>
      <c r="AT106" s="181"/>
      <c r="AU106" s="176" t="str">
        <f>IF(Roster!$M$20=0,"",Roster!$M$20)</f>
        <v/>
      </c>
      <c r="AV106" s="290"/>
      <c r="AW106" s="524"/>
      <c r="AX106" s="525"/>
      <c r="AY106" s="525"/>
      <c r="AZ106" s="525"/>
      <c r="BA106" s="525"/>
      <c r="BB106" s="525"/>
      <c r="BC106" s="525"/>
      <c r="BD106" s="525"/>
      <c r="BE106" s="525"/>
      <c r="BF106" s="525"/>
      <c r="BG106" s="526"/>
      <c r="BH106" s="512"/>
      <c r="BI106" s="190"/>
    </row>
    <row r="107" spans="2:61" ht="11.25" customHeight="1" x14ac:dyDescent="0.2">
      <c r="B107" s="173" t="str">
        <f>IF(Roster!$N$1=0,"",Roster!$N$1)</f>
        <v>PA</v>
      </c>
      <c r="C107" s="174"/>
      <c r="D107" s="541"/>
      <c r="E107" s="542"/>
      <c r="F107" s="542"/>
      <c r="G107" s="542"/>
      <c r="H107" s="542"/>
      <c r="I107" s="542"/>
      <c r="J107" s="542"/>
      <c r="K107" s="542"/>
      <c r="L107" s="542"/>
      <c r="M107" s="542"/>
      <c r="N107" s="543"/>
      <c r="O107" s="178"/>
      <c r="Q107" s="173" t="str">
        <f>IF(Roster!$N$1=0,"",Roster!$N$1)</f>
        <v>PA</v>
      </c>
      <c r="R107" s="290"/>
      <c r="S107" s="524"/>
      <c r="T107" s="525"/>
      <c r="U107" s="525"/>
      <c r="V107" s="525"/>
      <c r="W107" s="525"/>
      <c r="X107" s="525"/>
      <c r="Y107" s="525"/>
      <c r="Z107" s="525"/>
      <c r="AA107" s="525"/>
      <c r="AB107" s="525"/>
      <c r="AC107" s="526"/>
      <c r="AD107" s="512"/>
      <c r="AE107" s="181"/>
      <c r="AF107" s="173" t="str">
        <f>IF(Roster!$N$1=0,"",Roster!$N$1)</f>
        <v>PA</v>
      </c>
      <c r="AG107" s="290"/>
      <c r="AH107" s="524"/>
      <c r="AI107" s="525"/>
      <c r="AJ107" s="525"/>
      <c r="AK107" s="525"/>
      <c r="AL107" s="525"/>
      <c r="AM107" s="525"/>
      <c r="AN107" s="525"/>
      <c r="AO107" s="525"/>
      <c r="AP107" s="525"/>
      <c r="AQ107" s="525"/>
      <c r="AR107" s="526"/>
      <c r="AS107" s="512"/>
      <c r="AT107" s="181"/>
      <c r="AU107" s="173" t="str">
        <f>IF(Roster!$N$1=0,"",Roster!$N$1)</f>
        <v>PA</v>
      </c>
      <c r="AV107" s="290"/>
      <c r="AW107" s="524"/>
      <c r="AX107" s="525"/>
      <c r="AY107" s="525"/>
      <c r="AZ107" s="525"/>
      <c r="BA107" s="525"/>
      <c r="BB107" s="525"/>
      <c r="BC107" s="525"/>
      <c r="BD107" s="525"/>
      <c r="BE107" s="525"/>
      <c r="BF107" s="525"/>
      <c r="BG107" s="526"/>
      <c r="BH107" s="512"/>
      <c r="BI107" s="190"/>
    </row>
    <row r="108" spans="2:61" ht="6" customHeight="1" x14ac:dyDescent="0.2">
      <c r="B108" s="530" t="str">
        <f>IF(Roster!$N$17=0&amp;"+","",Roster!$N$17)</f>
        <v/>
      </c>
      <c r="C108" s="174"/>
      <c r="D108" s="544"/>
      <c r="E108" s="545"/>
      <c r="F108" s="545"/>
      <c r="G108" s="545"/>
      <c r="H108" s="545"/>
      <c r="I108" s="545"/>
      <c r="J108" s="545"/>
      <c r="K108" s="545"/>
      <c r="L108" s="545"/>
      <c r="M108" s="545"/>
      <c r="N108" s="546"/>
      <c r="O108" s="180"/>
      <c r="Q108" s="530" t="str">
        <f>IF(Roster!$N$18=0,"",Roster!$N$18)</f>
        <v/>
      </c>
      <c r="R108" s="290"/>
      <c r="S108" s="524"/>
      <c r="T108" s="525"/>
      <c r="U108" s="525"/>
      <c r="V108" s="525"/>
      <c r="W108" s="525"/>
      <c r="X108" s="525"/>
      <c r="Y108" s="525"/>
      <c r="Z108" s="525"/>
      <c r="AA108" s="525"/>
      <c r="AB108" s="525"/>
      <c r="AC108" s="526"/>
      <c r="AD108" s="512"/>
      <c r="AE108" s="181"/>
      <c r="AF108" s="530" t="str">
        <f>IF(Roster!$N$19=0,"",Roster!$N$19)</f>
        <v/>
      </c>
      <c r="AG108" s="290"/>
      <c r="AH108" s="524"/>
      <c r="AI108" s="525"/>
      <c r="AJ108" s="525"/>
      <c r="AK108" s="525"/>
      <c r="AL108" s="525"/>
      <c r="AM108" s="525"/>
      <c r="AN108" s="525"/>
      <c r="AO108" s="525"/>
      <c r="AP108" s="525"/>
      <c r="AQ108" s="525"/>
      <c r="AR108" s="526"/>
      <c r="AS108" s="512"/>
      <c r="AT108" s="181"/>
      <c r="AU108" s="530" t="str">
        <f>IF(Roster!$N$20=0,"",Roster!$N$20)</f>
        <v/>
      </c>
      <c r="AV108" s="290"/>
      <c r="AW108" s="524"/>
      <c r="AX108" s="525"/>
      <c r="AY108" s="525"/>
      <c r="AZ108" s="525"/>
      <c r="BA108" s="525"/>
      <c r="BB108" s="525"/>
      <c r="BC108" s="525"/>
      <c r="BD108" s="525"/>
      <c r="BE108" s="525"/>
      <c r="BF108" s="525"/>
      <c r="BG108" s="526"/>
      <c r="BH108" s="512"/>
      <c r="BI108" s="190"/>
    </row>
    <row r="109" spans="2:61" ht="4.5" customHeight="1" x14ac:dyDescent="0.2">
      <c r="B109" s="531"/>
      <c r="C109" s="172"/>
      <c r="D109" s="181"/>
      <c r="E109" s="179"/>
      <c r="F109" s="181"/>
      <c r="G109" s="179"/>
      <c r="H109" s="181"/>
      <c r="I109" s="179"/>
      <c r="J109" s="181"/>
      <c r="K109" s="179"/>
      <c r="L109" s="181"/>
      <c r="M109" s="179"/>
      <c r="N109" s="181"/>
      <c r="O109" s="180"/>
      <c r="Q109" s="531"/>
      <c r="R109" s="290"/>
      <c r="S109" s="524"/>
      <c r="T109" s="525"/>
      <c r="U109" s="525"/>
      <c r="V109" s="525"/>
      <c r="W109" s="525"/>
      <c r="X109" s="525"/>
      <c r="Y109" s="525"/>
      <c r="Z109" s="525"/>
      <c r="AA109" s="525"/>
      <c r="AB109" s="525"/>
      <c r="AC109" s="526"/>
      <c r="AD109" s="512"/>
      <c r="AE109" s="181"/>
      <c r="AF109" s="531"/>
      <c r="AG109" s="290"/>
      <c r="AH109" s="524"/>
      <c r="AI109" s="525"/>
      <c r="AJ109" s="525"/>
      <c r="AK109" s="525"/>
      <c r="AL109" s="525"/>
      <c r="AM109" s="525"/>
      <c r="AN109" s="525"/>
      <c r="AO109" s="525"/>
      <c r="AP109" s="525"/>
      <c r="AQ109" s="525"/>
      <c r="AR109" s="526"/>
      <c r="AS109" s="512"/>
      <c r="AT109" s="181"/>
      <c r="AU109" s="531"/>
      <c r="AV109" s="290"/>
      <c r="AW109" s="524"/>
      <c r="AX109" s="525"/>
      <c r="AY109" s="525"/>
      <c r="AZ109" s="525"/>
      <c r="BA109" s="525"/>
      <c r="BB109" s="525"/>
      <c r="BC109" s="525"/>
      <c r="BD109" s="525"/>
      <c r="BE109" s="525"/>
      <c r="BF109" s="525"/>
      <c r="BG109" s="526"/>
      <c r="BH109" s="512"/>
      <c r="BI109" s="190"/>
    </row>
    <row r="110" spans="2:61" ht="11.25" customHeight="1" x14ac:dyDescent="0.2">
      <c r="B110" s="531"/>
      <c r="C110" s="172"/>
      <c r="D110" s="211" t="str">
        <f>IF(Roster!$AD$1=0,"",Roster!$AD$1)</f>
        <v>TD</v>
      </c>
      <c r="E110" s="206"/>
      <c r="F110" s="211" t="str">
        <f>IF(Roster!$K$25="Español","HER",(IF(Roster!$K$25="Deutsch","VER",(IF(Roster!$K$25="Français","BLES","CAS")))))</f>
        <v>CAS</v>
      </c>
      <c r="G110" s="206"/>
      <c r="H110" s="211" t="str">
        <f>IF(Roster!$AG$1=0,"",Roster!$AG$1)</f>
        <v>BH</v>
      </c>
      <c r="I110" s="206"/>
      <c r="J110" s="211" t="str">
        <f>IF(Roster!$AH$1=0,"",Roster!$AH$1)</f>
        <v>SI</v>
      </c>
      <c r="K110" s="206"/>
      <c r="L110" s="211" t="str">
        <f>IF(Roster!$AI$1=0,"",Roster!$AI$1)</f>
        <v>KILL</v>
      </c>
      <c r="M110" s="206"/>
      <c r="N110" s="211" t="str">
        <f>IF(Roster!$AC$1=0,"",Roster!$AC$1)</f>
        <v>CP</v>
      </c>
      <c r="O110" s="180"/>
      <c r="Q110" s="531"/>
      <c r="R110" s="290"/>
      <c r="S110" s="524"/>
      <c r="T110" s="525"/>
      <c r="U110" s="525"/>
      <c r="V110" s="525"/>
      <c r="W110" s="525"/>
      <c r="X110" s="525"/>
      <c r="Y110" s="525"/>
      <c r="Z110" s="525"/>
      <c r="AA110" s="525"/>
      <c r="AB110" s="525"/>
      <c r="AC110" s="526"/>
      <c r="AD110" s="512"/>
      <c r="AE110" s="181"/>
      <c r="AF110" s="531"/>
      <c r="AG110" s="290"/>
      <c r="AH110" s="524"/>
      <c r="AI110" s="525"/>
      <c r="AJ110" s="525"/>
      <c r="AK110" s="525"/>
      <c r="AL110" s="525"/>
      <c r="AM110" s="525"/>
      <c r="AN110" s="525"/>
      <c r="AO110" s="525"/>
      <c r="AP110" s="525"/>
      <c r="AQ110" s="525"/>
      <c r="AR110" s="526"/>
      <c r="AS110" s="512"/>
      <c r="AT110" s="181"/>
      <c r="AU110" s="531"/>
      <c r="AV110" s="290"/>
      <c r="AW110" s="524"/>
      <c r="AX110" s="525"/>
      <c r="AY110" s="525"/>
      <c r="AZ110" s="525"/>
      <c r="BA110" s="525"/>
      <c r="BB110" s="525"/>
      <c r="BC110" s="525"/>
      <c r="BD110" s="525"/>
      <c r="BE110" s="525"/>
      <c r="BF110" s="525"/>
      <c r="BG110" s="526"/>
      <c r="BH110" s="512"/>
      <c r="BI110" s="190"/>
    </row>
    <row r="111" spans="2:61" ht="15" customHeight="1" x14ac:dyDescent="0.2">
      <c r="B111" s="531"/>
      <c r="C111" s="175"/>
      <c r="D111" s="212" t="str">
        <f>IF(Roster!$AD$17=0,"",Roster!$AD$17)</f>
        <v/>
      </c>
      <c r="E111" s="207"/>
      <c r="F111" s="212" t="str">
        <f>IF((SUM(H111,J111,L111))=0,"",(SUM(H111,J111,L111)))</f>
        <v/>
      </c>
      <c r="G111" s="207"/>
      <c r="H111" s="212" t="str">
        <f>IF(Roster!$AG$17=0,"",Roster!$AG$17)</f>
        <v/>
      </c>
      <c r="I111" s="207"/>
      <c r="J111" s="212" t="str">
        <f>IF(Roster!$AH$17=0,"",Roster!$AH$17)</f>
        <v/>
      </c>
      <c r="K111" s="207"/>
      <c r="L111" s="212" t="str">
        <f>IF(Roster!$AI$17=0,"",Roster!$AI$17)</f>
        <v/>
      </c>
      <c r="M111" s="207"/>
      <c r="N111" s="212" t="str">
        <f>IF(Roster!$AC$17=0,"",Roster!$AC$17)</f>
        <v/>
      </c>
      <c r="O111" s="180"/>
      <c r="Q111" s="531"/>
      <c r="R111" s="290"/>
      <c r="S111" s="527"/>
      <c r="T111" s="528"/>
      <c r="U111" s="528"/>
      <c r="V111" s="528"/>
      <c r="W111" s="528"/>
      <c r="X111" s="528"/>
      <c r="Y111" s="528"/>
      <c r="Z111" s="528"/>
      <c r="AA111" s="528"/>
      <c r="AB111" s="528"/>
      <c r="AC111" s="529"/>
      <c r="AD111" s="512"/>
      <c r="AE111" s="181"/>
      <c r="AF111" s="531"/>
      <c r="AG111" s="290"/>
      <c r="AH111" s="527"/>
      <c r="AI111" s="528"/>
      <c r="AJ111" s="528"/>
      <c r="AK111" s="528"/>
      <c r="AL111" s="528"/>
      <c r="AM111" s="528"/>
      <c r="AN111" s="528"/>
      <c r="AO111" s="528"/>
      <c r="AP111" s="528"/>
      <c r="AQ111" s="528"/>
      <c r="AR111" s="529"/>
      <c r="AS111" s="512"/>
      <c r="AT111" s="181"/>
      <c r="AU111" s="531"/>
      <c r="AV111" s="290"/>
      <c r="AW111" s="527"/>
      <c r="AX111" s="528"/>
      <c r="AY111" s="528"/>
      <c r="AZ111" s="528"/>
      <c r="BA111" s="528"/>
      <c r="BB111" s="528"/>
      <c r="BC111" s="528"/>
      <c r="BD111" s="528"/>
      <c r="BE111" s="528"/>
      <c r="BF111" s="528"/>
      <c r="BG111" s="529"/>
      <c r="BH111" s="512"/>
      <c r="BI111" s="190"/>
    </row>
    <row r="112" spans="2:61" ht="4.5" customHeight="1" x14ac:dyDescent="0.2">
      <c r="B112" s="337"/>
      <c r="C112" s="175"/>
      <c r="D112" s="208"/>
      <c r="E112" s="207"/>
      <c r="F112" s="208"/>
      <c r="G112" s="207"/>
      <c r="H112" s="208"/>
      <c r="I112" s="207"/>
      <c r="J112" s="208"/>
      <c r="K112" s="207"/>
      <c r="L112" s="208"/>
      <c r="M112" s="207"/>
      <c r="N112" s="208"/>
      <c r="O112" s="180"/>
      <c r="Q112" s="337"/>
      <c r="R112" s="290"/>
      <c r="S112" s="509"/>
      <c r="T112" s="300"/>
      <c r="U112" s="300"/>
      <c r="V112" s="300"/>
      <c r="W112" s="300"/>
      <c r="X112" s="300"/>
      <c r="Y112" s="300"/>
      <c r="Z112" s="300"/>
      <c r="AA112" s="300"/>
      <c r="AB112" s="300"/>
      <c r="AC112" s="371"/>
      <c r="AD112" s="512"/>
      <c r="AE112" s="181"/>
      <c r="AF112" s="337"/>
      <c r="AG112" s="290"/>
      <c r="AH112" s="509"/>
      <c r="AI112" s="300"/>
      <c r="AJ112" s="300"/>
      <c r="AK112" s="300"/>
      <c r="AL112" s="300"/>
      <c r="AM112" s="300"/>
      <c r="AN112" s="300"/>
      <c r="AO112" s="300"/>
      <c r="AP112" s="300"/>
      <c r="AQ112" s="300"/>
      <c r="AR112" s="371"/>
      <c r="AS112" s="512"/>
      <c r="AT112" s="181"/>
      <c r="AU112" s="337"/>
      <c r="AV112" s="290"/>
      <c r="AW112" s="509"/>
      <c r="AX112" s="300"/>
      <c r="AY112" s="300"/>
      <c r="AZ112" s="300"/>
      <c r="BA112" s="300"/>
      <c r="BB112" s="300"/>
      <c r="BC112" s="300"/>
      <c r="BD112" s="300"/>
      <c r="BE112" s="300"/>
      <c r="BF112" s="300"/>
      <c r="BG112" s="371"/>
      <c r="BH112" s="512"/>
      <c r="BI112" s="190"/>
    </row>
    <row r="113" spans="2:61" ht="11.25" customHeight="1" x14ac:dyDescent="0.2">
      <c r="B113" s="173" t="str">
        <f>IF(Roster!$O$1=0,"",Roster!$O$1)</f>
        <v>AV</v>
      </c>
      <c r="C113" s="174"/>
      <c r="D113" s="211" t="str">
        <f>IF(Roster!$AE$1=0,"",Roster!$AE$1)</f>
        <v>DEF</v>
      </c>
      <c r="E113" s="209"/>
      <c r="F113" s="211" t="str">
        <f>IF(Roster!$AF$1=0,"",Roster!$AF$1)</f>
        <v>INT</v>
      </c>
      <c r="G113" s="209"/>
      <c r="H113" s="211" t="str">
        <f>IF(Roster!$AB$1=0,"",Roster!$AB$1)</f>
        <v>SPE</v>
      </c>
      <c r="I113" s="209"/>
      <c r="J113" s="211" t="str">
        <f>IF(Roster!$AJ$1=0,"",Roster!$AJ$1)</f>
        <v>MVP</v>
      </c>
      <c r="K113" s="209"/>
      <c r="L113" s="214" t="s">
        <v>257</v>
      </c>
      <c r="M113" s="209"/>
      <c r="N113" s="213" t="str">
        <f>IF(Roster!$K$25="Español","LPP/RT",(IF(Roster!$K$25="Deutsch","VNS/AD",(IF(Roster!$K$25="Français","RPM/RT","MNG/TR")))))</f>
        <v>MNG/TR</v>
      </c>
      <c r="O113" s="169"/>
      <c r="Q113" s="173" t="str">
        <f>IF(Roster!$O$1=0,"",Roster!$O$1)</f>
        <v>AV</v>
      </c>
      <c r="R113" s="290"/>
      <c r="S113" s="532" t="str">
        <f>IF(Roster!$K$25="Español","HABILIDADES Y RASGOS","SKILLS &amp; TRAITS")</f>
        <v>SKILLS &amp; TRAITS</v>
      </c>
      <c r="T113" s="303"/>
      <c r="U113" s="303"/>
      <c r="V113" s="303"/>
      <c r="W113" s="303"/>
      <c r="X113" s="303"/>
      <c r="Y113" s="303"/>
      <c r="Z113" s="303"/>
      <c r="AA113" s="303"/>
      <c r="AB113" s="303"/>
      <c r="AC113" s="533"/>
      <c r="AD113" s="512"/>
      <c r="AE113" s="181"/>
      <c r="AF113" s="173" t="str">
        <f>IF(Roster!$O$1=0,"",Roster!$O$1)</f>
        <v>AV</v>
      </c>
      <c r="AG113" s="290"/>
      <c r="AH113" s="532" t="str">
        <f>IF(Roster!$K$25="Español","HABILIDADES Y RASGOS","SKILLS &amp; TRAITS")</f>
        <v>SKILLS &amp; TRAITS</v>
      </c>
      <c r="AI113" s="303"/>
      <c r="AJ113" s="303"/>
      <c r="AK113" s="303"/>
      <c r="AL113" s="303"/>
      <c r="AM113" s="303"/>
      <c r="AN113" s="303"/>
      <c r="AO113" s="303"/>
      <c r="AP113" s="303"/>
      <c r="AQ113" s="303"/>
      <c r="AR113" s="533"/>
      <c r="AS113" s="512"/>
      <c r="AT113" s="181"/>
      <c r="AU113" s="173" t="str">
        <f>IF(Roster!$O$1=0,"",Roster!$O$1)</f>
        <v>AV</v>
      </c>
      <c r="AV113" s="290"/>
      <c r="AW113" s="532" t="str">
        <f>IF(Roster!$K$25="Italiano","ABILITÀ &amp; TRATTI",(IF(Roster!$K$25="Español","HABILIDADES Y RASGOS","SKILLS &amp; TRAITS")))</f>
        <v>SKILLS &amp; TRAITS</v>
      </c>
      <c r="AX113" s="303"/>
      <c r="AY113" s="303"/>
      <c r="AZ113" s="303"/>
      <c r="BA113" s="303"/>
      <c r="BB113" s="303"/>
      <c r="BC113" s="303"/>
      <c r="BD113" s="303"/>
      <c r="BE113" s="303"/>
      <c r="BF113" s="303"/>
      <c r="BG113" s="533"/>
      <c r="BH113" s="512"/>
      <c r="BI113" s="190"/>
    </row>
    <row r="114" spans="2:61" ht="15" customHeight="1" x14ac:dyDescent="0.2">
      <c r="B114" s="530" t="str">
        <f>IF(Roster!$O$17=0&amp;"+","",Roster!$O$17)</f>
        <v/>
      </c>
      <c r="C114" s="175"/>
      <c r="D114" s="212" t="str">
        <f>IF(Roster!$AE$17=0,"",Roster!$AE$17)</f>
        <v/>
      </c>
      <c r="E114" s="207"/>
      <c r="F114" s="212" t="str">
        <f>IF(Roster!$AF$17=0,"",Roster!$AF$17)</f>
        <v/>
      </c>
      <c r="G114" s="207"/>
      <c r="H114" s="212" t="str">
        <f>IF(Roster!$AB$17=0,"",Roster!$AB$17)</f>
        <v/>
      </c>
      <c r="I114" s="207"/>
      <c r="J114" s="212" t="str">
        <f>IF(Roster!$AJ$17=0,"",Roster!$AJ$17)</f>
        <v/>
      </c>
      <c r="K114" s="207"/>
      <c r="L114" s="212" t="str">
        <f>IF(Roster!$AK$17=0,"",Roster!$AK$17)</f>
        <v/>
      </c>
      <c r="M114" s="207"/>
      <c r="N114" s="212" t="str">
        <f>IF(Roster!$AA$17=0,"",Roster!$AA$17)</f>
        <v/>
      </c>
      <c r="O114" s="182"/>
      <c r="Q114" s="530" t="str">
        <f>IF(Roster!$O$18=0,"",Roster!$O$18)</f>
        <v/>
      </c>
      <c r="R114" s="290"/>
      <c r="S114" s="521" t="str">
        <f>IF(Roster!$P$18=0,"",Roster!$P$18)</f>
        <v/>
      </c>
      <c r="T114" s="522"/>
      <c r="U114" s="522"/>
      <c r="V114" s="522"/>
      <c r="W114" s="522"/>
      <c r="X114" s="522"/>
      <c r="Y114" s="522"/>
      <c r="Z114" s="522"/>
      <c r="AA114" s="522"/>
      <c r="AB114" s="522"/>
      <c r="AC114" s="523"/>
      <c r="AD114" s="512"/>
      <c r="AE114" s="181"/>
      <c r="AF114" s="530" t="str">
        <f>IF(Roster!$O$19=0,"",Roster!$O$19)</f>
        <v/>
      </c>
      <c r="AG114" s="290"/>
      <c r="AH114" s="521" t="str">
        <f>IF(Roster!$P$19=0,"",Roster!$P$19)</f>
        <v/>
      </c>
      <c r="AI114" s="522"/>
      <c r="AJ114" s="522"/>
      <c r="AK114" s="522"/>
      <c r="AL114" s="522"/>
      <c r="AM114" s="522"/>
      <c r="AN114" s="522"/>
      <c r="AO114" s="522"/>
      <c r="AP114" s="522"/>
      <c r="AQ114" s="522"/>
      <c r="AR114" s="523"/>
      <c r="AS114" s="512"/>
      <c r="AT114" s="181"/>
      <c r="AU114" s="530" t="str">
        <f>IF(Roster!$O$20=0,"",Roster!$O$20)</f>
        <v/>
      </c>
      <c r="AV114" s="290"/>
      <c r="AW114" s="521" t="str">
        <f>IF(Roster!$P$20=0,"",Roster!$P$20)</f>
        <v/>
      </c>
      <c r="AX114" s="522"/>
      <c r="AY114" s="522"/>
      <c r="AZ114" s="522"/>
      <c r="BA114" s="522"/>
      <c r="BB114" s="522"/>
      <c r="BC114" s="522"/>
      <c r="BD114" s="522"/>
      <c r="BE114" s="522"/>
      <c r="BF114" s="522"/>
      <c r="BG114" s="523"/>
      <c r="BH114" s="512"/>
      <c r="BI114" s="190"/>
    </row>
    <row r="115" spans="2:61" ht="4.5" customHeight="1" x14ac:dyDescent="0.2">
      <c r="B115" s="531"/>
      <c r="C115" s="175"/>
      <c r="D115" s="207"/>
      <c r="E115" s="207"/>
      <c r="F115" s="207"/>
      <c r="G115" s="207"/>
      <c r="H115" s="207"/>
      <c r="I115" s="207"/>
      <c r="J115" s="207"/>
      <c r="K115" s="207"/>
      <c r="L115" s="207"/>
      <c r="M115" s="207"/>
      <c r="N115" s="210"/>
      <c r="O115" s="182"/>
      <c r="Q115" s="531"/>
      <c r="R115" s="290"/>
      <c r="S115" s="524"/>
      <c r="T115" s="525"/>
      <c r="U115" s="525"/>
      <c r="V115" s="525"/>
      <c r="W115" s="525"/>
      <c r="X115" s="525"/>
      <c r="Y115" s="525"/>
      <c r="Z115" s="525"/>
      <c r="AA115" s="525"/>
      <c r="AB115" s="525"/>
      <c r="AC115" s="526"/>
      <c r="AD115" s="512"/>
      <c r="AE115" s="181"/>
      <c r="AF115" s="531"/>
      <c r="AG115" s="290"/>
      <c r="AH115" s="524"/>
      <c r="AI115" s="525"/>
      <c r="AJ115" s="525"/>
      <c r="AK115" s="525"/>
      <c r="AL115" s="525"/>
      <c r="AM115" s="525"/>
      <c r="AN115" s="525"/>
      <c r="AO115" s="525"/>
      <c r="AP115" s="525"/>
      <c r="AQ115" s="525"/>
      <c r="AR115" s="526"/>
      <c r="AS115" s="512"/>
      <c r="AT115" s="181"/>
      <c r="AU115" s="531"/>
      <c r="AV115" s="290"/>
      <c r="AW115" s="524"/>
      <c r="AX115" s="525"/>
      <c r="AY115" s="525"/>
      <c r="AZ115" s="525"/>
      <c r="BA115" s="525"/>
      <c r="BB115" s="525"/>
      <c r="BC115" s="525"/>
      <c r="BD115" s="525"/>
      <c r="BE115" s="525"/>
      <c r="BF115" s="525"/>
      <c r="BG115" s="526"/>
      <c r="BH115" s="512"/>
      <c r="BI115" s="190"/>
    </row>
    <row r="116" spans="2:61" ht="11.25" customHeight="1" x14ac:dyDescent="0.2">
      <c r="B116" s="531"/>
      <c r="C116" s="175"/>
      <c r="D116" s="562" t="str">
        <f>IF(Roster!$K$25="Italiano","ABILITÀ &amp; TRATTI",(IF(Roster!$K$25="Español","HABILIDADES Y RASGOS","SKILLS &amp; TRAITS")))</f>
        <v>SKILLS &amp; TRAITS</v>
      </c>
      <c r="E116" s="563"/>
      <c r="F116" s="563"/>
      <c r="G116" s="563"/>
      <c r="H116" s="563"/>
      <c r="I116" s="563"/>
      <c r="J116" s="563"/>
      <c r="K116" s="563"/>
      <c r="L116" s="563"/>
      <c r="M116" s="563"/>
      <c r="N116" s="564"/>
      <c r="O116" s="182"/>
      <c r="Q116" s="531"/>
      <c r="R116" s="290"/>
      <c r="S116" s="524"/>
      <c r="T116" s="525"/>
      <c r="U116" s="525"/>
      <c r="V116" s="525"/>
      <c r="W116" s="525"/>
      <c r="X116" s="525"/>
      <c r="Y116" s="525"/>
      <c r="Z116" s="525"/>
      <c r="AA116" s="525"/>
      <c r="AB116" s="525"/>
      <c r="AC116" s="526"/>
      <c r="AD116" s="512"/>
      <c r="AE116" s="181"/>
      <c r="AF116" s="531"/>
      <c r="AG116" s="290"/>
      <c r="AH116" s="524"/>
      <c r="AI116" s="525"/>
      <c r="AJ116" s="525"/>
      <c r="AK116" s="525"/>
      <c r="AL116" s="525"/>
      <c r="AM116" s="525"/>
      <c r="AN116" s="525"/>
      <c r="AO116" s="525"/>
      <c r="AP116" s="525"/>
      <c r="AQ116" s="525"/>
      <c r="AR116" s="526"/>
      <c r="AS116" s="512"/>
      <c r="AT116" s="181"/>
      <c r="AU116" s="531"/>
      <c r="AV116" s="290"/>
      <c r="AW116" s="524"/>
      <c r="AX116" s="525"/>
      <c r="AY116" s="525"/>
      <c r="AZ116" s="525"/>
      <c r="BA116" s="525"/>
      <c r="BB116" s="525"/>
      <c r="BC116" s="525"/>
      <c r="BD116" s="525"/>
      <c r="BE116" s="525"/>
      <c r="BF116" s="525"/>
      <c r="BG116" s="526"/>
      <c r="BH116" s="512"/>
      <c r="BI116" s="190"/>
    </row>
    <row r="117" spans="2:61" ht="6.75" customHeight="1" x14ac:dyDescent="0.2">
      <c r="B117" s="337"/>
      <c r="C117" s="175"/>
      <c r="D117" s="565" t="str">
        <f>IF(Roster!$P$17=0&amp;AQ98,"",Roster!$P$17)</f>
        <v/>
      </c>
      <c r="E117" s="490"/>
      <c r="F117" s="490"/>
      <c r="G117" s="490"/>
      <c r="H117" s="490"/>
      <c r="I117" s="490"/>
      <c r="J117" s="490"/>
      <c r="K117" s="490"/>
      <c r="L117" s="490"/>
      <c r="M117" s="490"/>
      <c r="N117" s="566"/>
      <c r="O117" s="182"/>
      <c r="Q117" s="337"/>
      <c r="R117" s="290"/>
      <c r="S117" s="524"/>
      <c r="T117" s="525"/>
      <c r="U117" s="525"/>
      <c r="V117" s="525"/>
      <c r="W117" s="525"/>
      <c r="X117" s="525"/>
      <c r="Y117" s="525"/>
      <c r="Z117" s="525"/>
      <c r="AA117" s="525"/>
      <c r="AB117" s="525"/>
      <c r="AC117" s="526"/>
      <c r="AD117" s="512"/>
      <c r="AE117" s="181"/>
      <c r="AF117" s="337"/>
      <c r="AG117" s="290"/>
      <c r="AH117" s="524"/>
      <c r="AI117" s="525"/>
      <c r="AJ117" s="525"/>
      <c r="AK117" s="525"/>
      <c r="AL117" s="525"/>
      <c r="AM117" s="525"/>
      <c r="AN117" s="525"/>
      <c r="AO117" s="525"/>
      <c r="AP117" s="525"/>
      <c r="AQ117" s="525"/>
      <c r="AR117" s="526"/>
      <c r="AS117" s="512"/>
      <c r="AT117" s="181"/>
      <c r="AU117" s="337"/>
      <c r="AV117" s="290"/>
      <c r="AW117" s="524"/>
      <c r="AX117" s="525"/>
      <c r="AY117" s="525"/>
      <c r="AZ117" s="525"/>
      <c r="BA117" s="525"/>
      <c r="BB117" s="525"/>
      <c r="BC117" s="525"/>
      <c r="BD117" s="525"/>
      <c r="BE117" s="525"/>
      <c r="BF117" s="525"/>
      <c r="BG117" s="526"/>
      <c r="BH117" s="512"/>
      <c r="BI117" s="190"/>
    </row>
    <row r="118" spans="2:61" ht="11.25" customHeight="1" x14ac:dyDescent="0.2">
      <c r="B118" s="173" t="str">
        <f>IF(Roster!$AO$1=0,"",Roster!$AO$1)</f>
        <v>COST</v>
      </c>
      <c r="C118" s="174"/>
      <c r="D118" s="567"/>
      <c r="E118" s="568"/>
      <c r="F118" s="568"/>
      <c r="G118" s="568"/>
      <c r="H118" s="568"/>
      <c r="I118" s="568"/>
      <c r="J118" s="568"/>
      <c r="K118" s="568"/>
      <c r="L118" s="568"/>
      <c r="M118" s="568"/>
      <c r="N118" s="566"/>
      <c r="O118" s="185"/>
      <c r="Q118" s="173" t="str">
        <f>IF(Roster!$AO$1=0,"",Roster!$AO$1)</f>
        <v>COST</v>
      </c>
      <c r="R118" s="290"/>
      <c r="S118" s="524"/>
      <c r="T118" s="525"/>
      <c r="U118" s="525"/>
      <c r="V118" s="525"/>
      <c r="W118" s="525"/>
      <c r="X118" s="525"/>
      <c r="Y118" s="525"/>
      <c r="Z118" s="525"/>
      <c r="AA118" s="525"/>
      <c r="AB118" s="525"/>
      <c r="AC118" s="526"/>
      <c r="AD118" s="512"/>
      <c r="AE118" s="181"/>
      <c r="AF118" s="173" t="str">
        <f>IF(Roster!$AO$1=0,"",Roster!$AO$1)</f>
        <v>COST</v>
      </c>
      <c r="AG118" s="290"/>
      <c r="AH118" s="524"/>
      <c r="AI118" s="525"/>
      <c r="AJ118" s="525"/>
      <c r="AK118" s="525"/>
      <c r="AL118" s="525"/>
      <c r="AM118" s="525"/>
      <c r="AN118" s="525"/>
      <c r="AO118" s="525"/>
      <c r="AP118" s="525"/>
      <c r="AQ118" s="525"/>
      <c r="AR118" s="526"/>
      <c r="AS118" s="512"/>
      <c r="AT118" s="181"/>
      <c r="AU118" s="173" t="str">
        <f>IF(Roster!$AO$1=0,"",Roster!$AO$1)</f>
        <v>COST</v>
      </c>
      <c r="AV118" s="290"/>
      <c r="AW118" s="524"/>
      <c r="AX118" s="525"/>
      <c r="AY118" s="525"/>
      <c r="AZ118" s="525"/>
      <c r="BA118" s="525"/>
      <c r="BB118" s="525"/>
      <c r="BC118" s="525"/>
      <c r="BD118" s="525"/>
      <c r="BE118" s="525"/>
      <c r="BF118" s="525"/>
      <c r="BG118" s="526"/>
      <c r="BH118" s="512"/>
      <c r="BI118" s="190"/>
    </row>
    <row r="119" spans="2:61" ht="34.5" customHeight="1" x14ac:dyDescent="0.2">
      <c r="B119" s="187" t="str">
        <f>IF(Roster!$AO$17=0,"",Roster!$AO$17)</f>
        <v/>
      </c>
      <c r="C119" s="188"/>
      <c r="D119" s="569"/>
      <c r="E119" s="570"/>
      <c r="F119" s="570"/>
      <c r="G119" s="570"/>
      <c r="H119" s="570"/>
      <c r="I119" s="570"/>
      <c r="J119" s="570"/>
      <c r="K119" s="570"/>
      <c r="L119" s="570"/>
      <c r="M119" s="570"/>
      <c r="N119" s="571"/>
      <c r="O119" s="185"/>
      <c r="Q119" s="187" t="str">
        <f>IF(Roster!$AO$18=0,"",Roster!$AO$18)</f>
        <v/>
      </c>
      <c r="R119" s="452"/>
      <c r="S119" s="534"/>
      <c r="T119" s="535"/>
      <c r="U119" s="535"/>
      <c r="V119" s="535"/>
      <c r="W119" s="535"/>
      <c r="X119" s="535"/>
      <c r="Y119" s="535"/>
      <c r="Z119" s="535"/>
      <c r="AA119" s="535"/>
      <c r="AB119" s="535"/>
      <c r="AC119" s="536"/>
      <c r="AD119" s="513"/>
      <c r="AE119" s="181"/>
      <c r="AF119" s="187" t="str">
        <f>IF(Roster!$AO$19=0,"",Roster!$AO$19)</f>
        <v/>
      </c>
      <c r="AG119" s="452"/>
      <c r="AH119" s="534"/>
      <c r="AI119" s="535"/>
      <c r="AJ119" s="535"/>
      <c r="AK119" s="535"/>
      <c r="AL119" s="535"/>
      <c r="AM119" s="535"/>
      <c r="AN119" s="535"/>
      <c r="AO119" s="535"/>
      <c r="AP119" s="535"/>
      <c r="AQ119" s="535"/>
      <c r="AR119" s="536"/>
      <c r="AS119" s="513"/>
      <c r="AT119" s="181"/>
      <c r="AU119" s="187" t="str">
        <f>IF(Roster!$AO$20=0,"",Roster!$AO$20)</f>
        <v/>
      </c>
      <c r="AV119" s="452"/>
      <c r="AW119" s="534"/>
      <c r="AX119" s="535"/>
      <c r="AY119" s="535"/>
      <c r="AZ119" s="535"/>
      <c r="BA119" s="535"/>
      <c r="BB119" s="535"/>
      <c r="BC119" s="535"/>
      <c r="BD119" s="535"/>
      <c r="BE119" s="535"/>
      <c r="BF119" s="535"/>
      <c r="BG119" s="536"/>
      <c r="BH119" s="513"/>
      <c r="BI119" s="190"/>
    </row>
    <row r="120" spans="2:61" ht="4.5" customHeight="1" x14ac:dyDescent="0.2">
      <c r="B120" s="572"/>
      <c r="C120" s="334"/>
      <c r="D120" s="334"/>
      <c r="E120" s="334"/>
      <c r="F120" s="334"/>
      <c r="G120" s="334"/>
      <c r="H120" s="334"/>
      <c r="I120" s="334"/>
      <c r="J120" s="334"/>
      <c r="K120" s="334"/>
      <c r="L120" s="334"/>
      <c r="M120" s="334"/>
      <c r="N120" s="336"/>
      <c r="O120" s="189"/>
      <c r="Q120" s="574"/>
      <c r="R120" s="334"/>
      <c r="S120" s="334"/>
      <c r="T120" s="334"/>
      <c r="U120" s="334"/>
      <c r="V120" s="334"/>
      <c r="W120" s="334"/>
      <c r="X120" s="334"/>
      <c r="Y120" s="334"/>
      <c r="Z120" s="334"/>
      <c r="AA120" s="334"/>
      <c r="AB120" s="334"/>
      <c r="AC120" s="334"/>
      <c r="AD120" s="381"/>
      <c r="AE120" s="190"/>
      <c r="AF120" s="574"/>
      <c r="AG120" s="334"/>
      <c r="AH120" s="334"/>
      <c r="AI120" s="334"/>
      <c r="AJ120" s="334"/>
      <c r="AK120" s="334"/>
      <c r="AL120" s="334"/>
      <c r="AM120" s="334"/>
      <c r="AN120" s="334"/>
      <c r="AO120" s="334"/>
      <c r="AP120" s="334"/>
      <c r="AQ120" s="334"/>
      <c r="AR120" s="334"/>
      <c r="AS120" s="381"/>
      <c r="AT120" s="190"/>
      <c r="AU120" s="574"/>
      <c r="AV120" s="334"/>
      <c r="AW120" s="334"/>
      <c r="AX120" s="334"/>
      <c r="AY120" s="334"/>
      <c r="AZ120" s="334"/>
      <c r="BA120" s="334"/>
      <c r="BB120" s="334"/>
      <c r="BC120" s="334"/>
      <c r="BD120" s="334"/>
      <c r="BE120" s="334"/>
      <c r="BF120" s="334"/>
      <c r="BG120" s="334"/>
      <c r="BH120" s="381"/>
      <c r="BI120" s="190"/>
    </row>
    <row r="121" spans="2:61" ht="11.25" customHeight="1" x14ac:dyDescent="0.2">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0"/>
      <c r="BC121" s="190"/>
      <c r="BD121" s="190"/>
      <c r="BE121" s="190"/>
      <c r="BF121" s="190"/>
      <c r="BG121" s="190"/>
      <c r="BH121" s="190"/>
      <c r="BI121" s="190"/>
    </row>
    <row r="122" spans="2:61" ht="12.75" hidden="1" customHeight="1" x14ac:dyDescent="0.2"/>
    <row r="123" spans="2:61" ht="12.75" hidden="1" customHeight="1" x14ac:dyDescent="0.2"/>
    <row r="124" spans="2:61" ht="12.75" hidden="1" customHeight="1" x14ac:dyDescent="0.2"/>
    <row r="125" spans="2:61" ht="12.75" hidden="1" customHeight="1" x14ac:dyDescent="0.2"/>
    <row r="126" spans="2:61" ht="12.75" hidden="1" customHeight="1" x14ac:dyDescent="0.2"/>
    <row r="127" spans="2:61" ht="12.75" hidden="1" customHeight="1" x14ac:dyDescent="0.2"/>
    <row r="128" spans="2:61"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row r="292" ht="12.75" hidden="1" customHeight="1" x14ac:dyDescent="0.2"/>
    <row r="293" ht="12.75" hidden="1" customHeight="1" x14ac:dyDescent="0.2"/>
    <row r="294" ht="12.75" hidden="1" customHeight="1" x14ac:dyDescent="0.2"/>
    <row r="295" ht="12.75" hidden="1" customHeight="1" x14ac:dyDescent="0.2"/>
    <row r="296" ht="12.75" hidden="1" customHeight="1" x14ac:dyDescent="0.2"/>
    <row r="297" ht="12.75" hidden="1" customHeight="1" x14ac:dyDescent="0.2"/>
    <row r="298" ht="12.75" hidden="1" customHeight="1" x14ac:dyDescent="0.2"/>
    <row r="299" ht="12.75" hidden="1" customHeight="1" x14ac:dyDescent="0.2"/>
    <row r="300" ht="12.75" hidden="1" customHeight="1" x14ac:dyDescent="0.2"/>
    <row r="301" ht="12.75" hidden="1" customHeight="1" x14ac:dyDescent="0.2"/>
    <row r="302" ht="12.75" hidden="1" customHeight="1" x14ac:dyDescent="0.2"/>
    <row r="303" ht="12.75" hidden="1" customHeight="1" x14ac:dyDescent="0.2"/>
    <row r="304" ht="12.75" hidden="1" customHeight="1" x14ac:dyDescent="0.2"/>
    <row r="305" ht="12.75" hidden="1" customHeight="1" x14ac:dyDescent="0.2"/>
    <row r="306" ht="12.75" hidden="1" customHeight="1" x14ac:dyDescent="0.2"/>
    <row r="307" ht="12.75" hidden="1" customHeight="1" x14ac:dyDescent="0.2"/>
    <row r="308" ht="12.75" hidden="1" customHeight="1" x14ac:dyDescent="0.2"/>
    <row r="309" ht="12.75" hidden="1" customHeight="1" x14ac:dyDescent="0.2"/>
    <row r="310" ht="12.75" hidden="1" customHeight="1" x14ac:dyDescent="0.2"/>
    <row r="311" ht="12.75" hidden="1" customHeight="1" x14ac:dyDescent="0.2"/>
    <row r="312" ht="12.75" hidden="1" customHeight="1" x14ac:dyDescent="0.2"/>
    <row r="313" ht="12.75" hidden="1" customHeight="1" x14ac:dyDescent="0.2"/>
    <row r="314" ht="12.75" hidden="1" customHeight="1" x14ac:dyDescent="0.2"/>
    <row r="315" ht="12.75" hidden="1" customHeight="1" x14ac:dyDescent="0.2"/>
    <row r="316" ht="12.75" hidden="1" customHeight="1" x14ac:dyDescent="0.2"/>
    <row r="317" ht="12.75" hidden="1" customHeight="1" x14ac:dyDescent="0.2"/>
    <row r="318" ht="12.75" hidden="1" customHeight="1" x14ac:dyDescent="0.2"/>
    <row r="319" ht="12.75" hidden="1" customHeight="1" x14ac:dyDescent="0.2"/>
    <row r="320" ht="12.75" hidden="1" customHeight="1" x14ac:dyDescent="0.2"/>
    <row r="321" ht="12.75" hidden="1" customHeight="1" x14ac:dyDescent="0.2"/>
    <row r="322" ht="12.75" hidden="1" customHeight="1" x14ac:dyDescent="0.2"/>
    <row r="323" ht="12.75" hidden="1" customHeight="1" x14ac:dyDescent="0.2"/>
    <row r="324" ht="12.75" hidden="1" customHeight="1" x14ac:dyDescent="0.2"/>
    <row r="325" ht="12.75" hidden="1" customHeight="1" x14ac:dyDescent="0.2"/>
    <row r="326" ht="12.75" hidden="1" customHeight="1" x14ac:dyDescent="0.2"/>
    <row r="327" ht="12.75" hidden="1" customHeight="1" x14ac:dyDescent="0.2"/>
    <row r="328" ht="12.75" hidden="1" customHeight="1" x14ac:dyDescent="0.2"/>
    <row r="329" ht="12.75" hidden="1" customHeight="1" x14ac:dyDescent="0.2"/>
    <row r="330" ht="12.75" hidden="1" customHeight="1" x14ac:dyDescent="0.2"/>
    <row r="331" ht="12.75" hidden="1" customHeight="1" x14ac:dyDescent="0.2"/>
    <row r="332" ht="12.75" hidden="1" customHeight="1" x14ac:dyDescent="0.2"/>
    <row r="333" ht="12.75" hidden="1" customHeight="1" x14ac:dyDescent="0.2"/>
    <row r="334" ht="12.75" hidden="1" customHeight="1" x14ac:dyDescent="0.2"/>
    <row r="335" ht="12.75" hidden="1" customHeight="1" x14ac:dyDescent="0.2"/>
    <row r="336" ht="12.75" hidden="1" customHeight="1" x14ac:dyDescent="0.2"/>
    <row r="337" ht="12.75" hidden="1" customHeight="1" x14ac:dyDescent="0.2"/>
    <row r="338" ht="12.75" hidden="1" customHeight="1" x14ac:dyDescent="0.2"/>
    <row r="339" ht="12.75" hidden="1" customHeight="1" x14ac:dyDescent="0.2"/>
    <row r="340" ht="12.75" hidden="1" customHeight="1" x14ac:dyDescent="0.2"/>
    <row r="341" ht="12.75" hidden="1" customHeight="1" x14ac:dyDescent="0.2"/>
    <row r="342" ht="12.75" hidden="1" customHeight="1" x14ac:dyDescent="0.2"/>
    <row r="343" ht="12.75" hidden="1" customHeight="1" x14ac:dyDescent="0.2"/>
    <row r="344" ht="12.75" hidden="1" customHeight="1" x14ac:dyDescent="0.2"/>
    <row r="345" ht="12.75" hidden="1" customHeight="1" x14ac:dyDescent="0.2"/>
    <row r="346" ht="12.75" hidden="1" customHeight="1" x14ac:dyDescent="0.2"/>
    <row r="347" ht="12.75" hidden="1" customHeight="1" x14ac:dyDescent="0.2"/>
    <row r="348" ht="12.75" hidden="1" customHeight="1" x14ac:dyDescent="0.2"/>
    <row r="349" ht="12.75" hidden="1" customHeight="1" x14ac:dyDescent="0.2"/>
    <row r="350" ht="12.75" hidden="1" customHeight="1" x14ac:dyDescent="0.2"/>
    <row r="351" ht="12.75" hidden="1" customHeight="1" x14ac:dyDescent="0.2"/>
    <row r="352" ht="12.75" hidden="1" customHeight="1" x14ac:dyDescent="0.2"/>
    <row r="353" ht="12.75" hidden="1" customHeight="1" x14ac:dyDescent="0.2"/>
    <row r="354" ht="12.75" hidden="1" customHeight="1" x14ac:dyDescent="0.2"/>
    <row r="355" ht="12.75" hidden="1" customHeight="1" x14ac:dyDescent="0.2"/>
    <row r="356" ht="12.75" hidden="1" customHeight="1" x14ac:dyDescent="0.2"/>
    <row r="357" ht="12.75" hidden="1" customHeight="1" x14ac:dyDescent="0.2"/>
    <row r="358" ht="12.75" hidden="1" customHeight="1" x14ac:dyDescent="0.2"/>
    <row r="359" ht="12.75" hidden="1" customHeight="1" x14ac:dyDescent="0.2"/>
    <row r="360" ht="12.75" hidden="1" customHeight="1" x14ac:dyDescent="0.2"/>
    <row r="361" ht="12.75" hidden="1" customHeight="1" x14ac:dyDescent="0.2"/>
    <row r="362" ht="12.75" hidden="1" customHeight="1" x14ac:dyDescent="0.2"/>
    <row r="363" ht="12.75" hidden="1" customHeight="1" x14ac:dyDescent="0.2"/>
    <row r="364" ht="12.75" hidden="1" customHeight="1" x14ac:dyDescent="0.2"/>
    <row r="365" ht="12.75" hidden="1" customHeight="1" x14ac:dyDescent="0.2"/>
    <row r="366" ht="12.75" hidden="1" customHeight="1" x14ac:dyDescent="0.2"/>
    <row r="367" ht="12.75" hidden="1" customHeight="1" x14ac:dyDescent="0.2"/>
    <row r="368" ht="12.75" hidden="1" customHeight="1" x14ac:dyDescent="0.2"/>
    <row r="369" ht="12.75" hidden="1" customHeight="1" x14ac:dyDescent="0.2"/>
    <row r="370" ht="12.75" hidden="1" customHeight="1" x14ac:dyDescent="0.2"/>
    <row r="371" ht="12.75" hidden="1" customHeight="1" x14ac:dyDescent="0.2"/>
    <row r="372" ht="12.75" hidden="1" customHeight="1" x14ac:dyDescent="0.2"/>
    <row r="373" ht="12.75" hidden="1" customHeight="1" x14ac:dyDescent="0.2"/>
    <row r="374" ht="12.75" hidden="1" customHeight="1" x14ac:dyDescent="0.2"/>
    <row r="375" ht="12.75" hidden="1" customHeight="1" x14ac:dyDescent="0.2"/>
    <row r="376" ht="12.75" hidden="1" customHeight="1" x14ac:dyDescent="0.2"/>
    <row r="377" ht="12.75" hidden="1" customHeight="1" x14ac:dyDescent="0.2"/>
    <row r="378" ht="12.75" hidden="1" customHeight="1" x14ac:dyDescent="0.2"/>
    <row r="379" ht="12.75" hidden="1" customHeight="1" x14ac:dyDescent="0.2"/>
    <row r="380" ht="12.75" hidden="1" customHeight="1" x14ac:dyDescent="0.2"/>
    <row r="381" ht="12.75" hidden="1" customHeight="1" x14ac:dyDescent="0.2"/>
    <row r="382" ht="12.75" hidden="1" customHeight="1" x14ac:dyDescent="0.2"/>
    <row r="383" ht="12.75" hidden="1" customHeight="1" x14ac:dyDescent="0.2"/>
    <row r="384" ht="12.75" hidden="1" customHeight="1" x14ac:dyDescent="0.2"/>
    <row r="385" ht="12.75" hidden="1" customHeight="1" x14ac:dyDescent="0.2"/>
    <row r="386" ht="12.75" hidden="1" customHeight="1" x14ac:dyDescent="0.2"/>
    <row r="387" ht="12.75" hidden="1" customHeight="1" x14ac:dyDescent="0.2"/>
    <row r="388" ht="12.75" hidden="1" customHeight="1" x14ac:dyDescent="0.2"/>
    <row r="389" ht="12.75" hidden="1" customHeight="1" x14ac:dyDescent="0.2"/>
    <row r="390" ht="12.75" hidden="1" customHeight="1" x14ac:dyDescent="0.2"/>
    <row r="391" ht="12.75" hidden="1" customHeight="1" x14ac:dyDescent="0.2"/>
    <row r="392" ht="12.75" hidden="1" customHeight="1" x14ac:dyDescent="0.2"/>
    <row r="393" ht="12.75" hidden="1" customHeight="1" x14ac:dyDescent="0.2"/>
    <row r="394" ht="12.75" hidden="1" customHeight="1" x14ac:dyDescent="0.2"/>
    <row r="395" ht="12.75" hidden="1" customHeight="1" x14ac:dyDescent="0.2"/>
    <row r="396" ht="12.75" hidden="1" customHeight="1" x14ac:dyDescent="0.2"/>
    <row r="397" ht="12.75" hidden="1" customHeight="1" x14ac:dyDescent="0.2"/>
    <row r="398" ht="12.75" hidden="1" customHeight="1" x14ac:dyDescent="0.2"/>
    <row r="399" ht="12.75" hidden="1" customHeight="1" x14ac:dyDescent="0.2"/>
    <row r="400" ht="12.75" hidden="1" customHeight="1" x14ac:dyDescent="0.2"/>
    <row r="401" ht="12.75" hidden="1" customHeight="1" x14ac:dyDescent="0.2"/>
    <row r="402" ht="12.75" hidden="1" customHeight="1" x14ac:dyDescent="0.2"/>
    <row r="403" ht="12.75" hidden="1" customHeight="1" x14ac:dyDescent="0.2"/>
    <row r="404" ht="12.75" hidden="1" customHeight="1" x14ac:dyDescent="0.2"/>
    <row r="405" ht="12.75" hidden="1" customHeight="1" x14ac:dyDescent="0.2"/>
    <row r="406" ht="12.75" hidden="1" customHeight="1" x14ac:dyDescent="0.2"/>
    <row r="407" ht="12.75" hidden="1" customHeight="1" x14ac:dyDescent="0.2"/>
    <row r="408" ht="12.75" hidden="1" customHeight="1" x14ac:dyDescent="0.2"/>
    <row r="409" ht="12.75" hidden="1" customHeight="1" x14ac:dyDescent="0.2"/>
    <row r="410" ht="12.75" hidden="1" customHeight="1" x14ac:dyDescent="0.2"/>
    <row r="411" ht="12.75" hidden="1" customHeight="1" x14ac:dyDescent="0.2"/>
    <row r="412" ht="12.75" hidden="1" customHeight="1" x14ac:dyDescent="0.2"/>
    <row r="413" ht="12.75" hidden="1" customHeight="1" x14ac:dyDescent="0.2"/>
    <row r="414" ht="12.75" hidden="1" customHeight="1" x14ac:dyDescent="0.2"/>
    <row r="415" ht="12.75" hidden="1" customHeight="1" x14ac:dyDescent="0.2"/>
    <row r="416" ht="12.75" hidden="1" customHeight="1" x14ac:dyDescent="0.2"/>
    <row r="417" ht="12.75" hidden="1" customHeight="1" x14ac:dyDescent="0.2"/>
    <row r="418" ht="12.75" hidden="1" customHeight="1" x14ac:dyDescent="0.2"/>
    <row r="419" ht="12.75" hidden="1" customHeight="1" x14ac:dyDescent="0.2"/>
    <row r="420" ht="12.75" hidden="1" customHeight="1" x14ac:dyDescent="0.2"/>
    <row r="421" ht="12.75" hidden="1" customHeight="1" x14ac:dyDescent="0.2"/>
    <row r="422" ht="12.75" hidden="1" customHeight="1" x14ac:dyDescent="0.2"/>
    <row r="423" ht="12.75" hidden="1" customHeight="1" x14ac:dyDescent="0.2"/>
    <row r="424" ht="12.75" hidden="1" customHeight="1" x14ac:dyDescent="0.2"/>
    <row r="425" ht="12.75" hidden="1" customHeight="1" x14ac:dyDescent="0.2"/>
    <row r="426" ht="12.75" hidden="1" customHeight="1" x14ac:dyDescent="0.2"/>
    <row r="427" ht="12.75" hidden="1" customHeight="1" x14ac:dyDescent="0.2"/>
    <row r="428" ht="12.75" hidden="1" customHeight="1" x14ac:dyDescent="0.2"/>
    <row r="429" ht="12.75" hidden="1" customHeight="1" x14ac:dyDescent="0.2"/>
    <row r="430" ht="12.75" hidden="1" customHeight="1" x14ac:dyDescent="0.2"/>
    <row r="431" ht="12.75" hidden="1" customHeight="1" x14ac:dyDescent="0.2"/>
    <row r="432" ht="12.75" hidden="1" customHeight="1" x14ac:dyDescent="0.2"/>
    <row r="433" ht="12.75" hidden="1" customHeight="1" x14ac:dyDescent="0.2"/>
    <row r="434" ht="12.75" hidden="1" customHeight="1" x14ac:dyDescent="0.2"/>
    <row r="435" ht="12.75" hidden="1" customHeight="1" x14ac:dyDescent="0.2"/>
    <row r="436" ht="12.75" hidden="1" customHeight="1" x14ac:dyDescent="0.2"/>
    <row r="437" ht="12.75" hidden="1" customHeight="1" x14ac:dyDescent="0.2"/>
    <row r="438" ht="12.75" hidden="1" customHeight="1" x14ac:dyDescent="0.2"/>
    <row r="439" ht="12.75" hidden="1" customHeight="1" x14ac:dyDescent="0.2"/>
    <row r="440" ht="12.75" hidden="1" customHeight="1" x14ac:dyDescent="0.2"/>
    <row r="441" ht="12.75" hidden="1" customHeight="1" x14ac:dyDescent="0.2"/>
    <row r="442" ht="12.75" hidden="1" customHeight="1" x14ac:dyDescent="0.2"/>
    <row r="443" ht="12.75" hidden="1" customHeight="1" x14ac:dyDescent="0.2"/>
    <row r="444" ht="12.75" hidden="1" customHeight="1" x14ac:dyDescent="0.2"/>
    <row r="445" ht="12.75" hidden="1" customHeight="1" x14ac:dyDescent="0.2"/>
    <row r="446" ht="12.75" hidden="1" customHeight="1" x14ac:dyDescent="0.2"/>
    <row r="447" ht="12.75" hidden="1" customHeight="1" x14ac:dyDescent="0.2"/>
    <row r="448" ht="12.75" hidden="1" customHeight="1" x14ac:dyDescent="0.2"/>
    <row r="449" ht="12.75" hidden="1" customHeight="1" x14ac:dyDescent="0.2"/>
    <row r="450" ht="12.75" hidden="1" customHeight="1" x14ac:dyDescent="0.2"/>
    <row r="451" ht="12.75" hidden="1" customHeight="1" x14ac:dyDescent="0.2"/>
    <row r="452" ht="12.75" hidden="1" customHeight="1" x14ac:dyDescent="0.2"/>
    <row r="453" ht="12.75" hidden="1" customHeight="1" x14ac:dyDescent="0.2"/>
    <row r="454" ht="12.75" hidden="1" customHeight="1" x14ac:dyDescent="0.2"/>
    <row r="455" ht="12.75" hidden="1" customHeight="1" x14ac:dyDescent="0.2"/>
    <row r="456" ht="12.75" hidden="1" customHeight="1" x14ac:dyDescent="0.2"/>
    <row r="457" ht="12.75" hidden="1" customHeight="1" x14ac:dyDescent="0.2"/>
    <row r="458" ht="12.75" hidden="1" customHeight="1" x14ac:dyDescent="0.2"/>
    <row r="459" ht="12.75" hidden="1" customHeight="1" x14ac:dyDescent="0.2"/>
    <row r="460" ht="12.75" hidden="1" customHeight="1" x14ac:dyDescent="0.2"/>
    <row r="461" ht="12.75" hidden="1" customHeight="1" x14ac:dyDescent="0.2"/>
    <row r="462" ht="12.75" hidden="1" customHeight="1" x14ac:dyDescent="0.2"/>
    <row r="463" ht="12.75" hidden="1" customHeight="1" x14ac:dyDescent="0.2"/>
    <row r="464" ht="12.75" hidden="1" customHeight="1" x14ac:dyDescent="0.2"/>
    <row r="465" ht="12.75" hidden="1" customHeight="1" x14ac:dyDescent="0.2"/>
    <row r="466" ht="12.75" hidden="1" customHeight="1" x14ac:dyDescent="0.2"/>
    <row r="467" ht="12.75" hidden="1" customHeight="1" x14ac:dyDescent="0.2"/>
    <row r="468" ht="12.75" hidden="1" customHeight="1" x14ac:dyDescent="0.2"/>
    <row r="469" ht="12.75" hidden="1" customHeight="1" x14ac:dyDescent="0.2"/>
    <row r="470" ht="12.75" hidden="1" customHeight="1" x14ac:dyDescent="0.2"/>
    <row r="471" ht="12.75" hidden="1" customHeight="1" x14ac:dyDescent="0.2"/>
    <row r="472" ht="12.75" hidden="1" customHeight="1" x14ac:dyDescent="0.2"/>
    <row r="473" ht="12.75" hidden="1" customHeight="1" x14ac:dyDescent="0.2"/>
    <row r="474" ht="12.75" hidden="1" customHeight="1" x14ac:dyDescent="0.2"/>
    <row r="475" ht="12.75" hidden="1" customHeight="1" x14ac:dyDescent="0.2"/>
    <row r="476" ht="12.75" hidden="1" customHeight="1" x14ac:dyDescent="0.2"/>
    <row r="477" ht="12.75" hidden="1" customHeight="1" x14ac:dyDescent="0.2"/>
    <row r="478" ht="12.75" hidden="1" customHeight="1" x14ac:dyDescent="0.2"/>
    <row r="479" ht="12.75" hidden="1" customHeight="1" x14ac:dyDescent="0.2"/>
    <row r="480" ht="12.75" hidden="1" customHeight="1" x14ac:dyDescent="0.2"/>
    <row r="481" ht="12.75" hidden="1" customHeight="1" x14ac:dyDescent="0.2"/>
    <row r="482" ht="12.75" hidden="1" customHeight="1" x14ac:dyDescent="0.2"/>
    <row r="483" ht="12.75" hidden="1" customHeight="1" x14ac:dyDescent="0.2"/>
    <row r="484" ht="12.75" hidden="1" customHeight="1" x14ac:dyDescent="0.2"/>
    <row r="485" ht="12.75" hidden="1" customHeight="1" x14ac:dyDescent="0.2"/>
    <row r="486" ht="12.75" hidden="1" customHeight="1" x14ac:dyDescent="0.2"/>
    <row r="487" ht="12.75" hidden="1" customHeight="1" x14ac:dyDescent="0.2"/>
    <row r="488" ht="12.75" hidden="1" customHeight="1" x14ac:dyDescent="0.2"/>
    <row r="489" ht="12.75" hidden="1" customHeight="1" x14ac:dyDescent="0.2"/>
    <row r="490" ht="12.75" hidden="1" customHeight="1" x14ac:dyDescent="0.2"/>
    <row r="491" ht="12.75" hidden="1" customHeight="1" x14ac:dyDescent="0.2"/>
    <row r="492" ht="12.75" hidden="1" customHeight="1" x14ac:dyDescent="0.2"/>
    <row r="493" ht="12.75" hidden="1" customHeight="1" x14ac:dyDescent="0.2"/>
    <row r="494" ht="12.75" hidden="1" customHeight="1" x14ac:dyDescent="0.2"/>
    <row r="495" ht="12.75" hidden="1" customHeight="1" x14ac:dyDescent="0.2"/>
    <row r="496" ht="12.75" hidden="1" customHeight="1" x14ac:dyDescent="0.2"/>
    <row r="497" ht="12.75" hidden="1" customHeight="1" x14ac:dyDescent="0.2"/>
    <row r="498" ht="12.75" hidden="1" customHeight="1" x14ac:dyDescent="0.2"/>
    <row r="499" ht="12.75" hidden="1" customHeight="1" x14ac:dyDescent="0.2"/>
    <row r="500" ht="12.75" hidden="1" customHeight="1" x14ac:dyDescent="0.2"/>
    <row r="501" ht="12.75" hidden="1" customHeight="1" x14ac:dyDescent="0.2"/>
    <row r="502" ht="12.75" hidden="1" customHeight="1" x14ac:dyDescent="0.2"/>
    <row r="503" ht="12.75" hidden="1" customHeight="1" x14ac:dyDescent="0.2"/>
    <row r="504" ht="12.75" hidden="1" customHeight="1" x14ac:dyDescent="0.2"/>
    <row r="505" ht="12.75" hidden="1" customHeight="1" x14ac:dyDescent="0.2"/>
    <row r="506" ht="12.75" hidden="1" customHeight="1" x14ac:dyDescent="0.2"/>
    <row r="507" ht="12.75" hidden="1" customHeight="1" x14ac:dyDescent="0.2"/>
    <row r="508" ht="12.75" hidden="1" customHeight="1" x14ac:dyDescent="0.2"/>
    <row r="509" ht="12.75" hidden="1" customHeight="1" x14ac:dyDescent="0.2"/>
    <row r="510" ht="12.75" hidden="1" customHeight="1" x14ac:dyDescent="0.2"/>
    <row r="511" ht="12.75" hidden="1" customHeight="1" x14ac:dyDescent="0.2"/>
    <row r="512" ht="12.75" hidden="1" customHeight="1" x14ac:dyDescent="0.2"/>
    <row r="513" ht="12.75" hidden="1" customHeight="1" x14ac:dyDescent="0.2"/>
    <row r="514" ht="12.75" hidden="1" customHeight="1" x14ac:dyDescent="0.2"/>
    <row r="515" ht="12.75" hidden="1" customHeight="1" x14ac:dyDescent="0.2"/>
    <row r="516" ht="12.75" hidden="1" customHeight="1" x14ac:dyDescent="0.2"/>
    <row r="517" ht="12.75" hidden="1" customHeight="1" x14ac:dyDescent="0.2"/>
    <row r="518" ht="12.75" hidden="1" customHeight="1" x14ac:dyDescent="0.2"/>
    <row r="519" ht="12.75" hidden="1" customHeight="1" x14ac:dyDescent="0.2"/>
    <row r="520" ht="12.75" hidden="1" customHeight="1" x14ac:dyDescent="0.2"/>
    <row r="521" ht="12.75" hidden="1" customHeight="1" x14ac:dyDescent="0.2"/>
    <row r="522" ht="12.75" hidden="1" customHeight="1" x14ac:dyDescent="0.2"/>
    <row r="523" ht="12.75" hidden="1" customHeight="1" x14ac:dyDescent="0.2"/>
    <row r="524" ht="12.75" hidden="1" customHeight="1" x14ac:dyDescent="0.2"/>
    <row r="525" ht="12.75" hidden="1" customHeight="1" x14ac:dyDescent="0.2"/>
    <row r="526" ht="12.75" hidden="1" customHeight="1" x14ac:dyDescent="0.2"/>
    <row r="527" ht="12.75" hidden="1" customHeight="1" x14ac:dyDescent="0.2"/>
    <row r="528" ht="12.75" hidden="1" customHeight="1" x14ac:dyDescent="0.2"/>
    <row r="529" ht="12.75" hidden="1" customHeight="1" x14ac:dyDescent="0.2"/>
    <row r="530" ht="12.75" hidden="1" customHeight="1" x14ac:dyDescent="0.2"/>
    <row r="531" ht="12.75" hidden="1" customHeight="1" x14ac:dyDescent="0.2"/>
    <row r="532" ht="12.75" hidden="1" customHeight="1" x14ac:dyDescent="0.2"/>
    <row r="533" ht="12.75" hidden="1" customHeight="1" x14ac:dyDescent="0.2"/>
    <row r="534" ht="12.75" hidden="1" customHeight="1" x14ac:dyDescent="0.2"/>
    <row r="535" ht="12.75" hidden="1" customHeight="1" x14ac:dyDescent="0.2"/>
    <row r="536" ht="12.75" hidden="1" customHeight="1" x14ac:dyDescent="0.2"/>
    <row r="537" ht="12.75" hidden="1" customHeight="1" x14ac:dyDescent="0.2"/>
    <row r="538" ht="12.75" hidden="1" customHeight="1" x14ac:dyDescent="0.2"/>
    <row r="539" ht="12.75" hidden="1" customHeight="1" x14ac:dyDescent="0.2"/>
    <row r="540" ht="12.75" hidden="1" customHeight="1" x14ac:dyDescent="0.2"/>
    <row r="541" ht="12.75" hidden="1" customHeight="1" x14ac:dyDescent="0.2"/>
    <row r="542" ht="12.75" hidden="1" customHeight="1" x14ac:dyDescent="0.2"/>
    <row r="543" ht="12.75" hidden="1" customHeight="1" x14ac:dyDescent="0.2"/>
    <row r="544" ht="12.75" hidden="1" customHeight="1" x14ac:dyDescent="0.2"/>
    <row r="545" ht="12.75" hidden="1" customHeight="1" x14ac:dyDescent="0.2"/>
    <row r="546" ht="12.75" hidden="1" customHeight="1" x14ac:dyDescent="0.2"/>
    <row r="547" ht="12.75" hidden="1" customHeight="1" x14ac:dyDescent="0.2"/>
    <row r="548" ht="12.75" hidden="1" customHeight="1" x14ac:dyDescent="0.2"/>
    <row r="549" ht="12.75" hidden="1" customHeight="1" x14ac:dyDescent="0.2"/>
    <row r="550" ht="12.75" hidden="1" customHeight="1" x14ac:dyDescent="0.2"/>
    <row r="551" ht="12.75" hidden="1" customHeight="1" x14ac:dyDescent="0.2"/>
    <row r="552" ht="12.75" hidden="1" customHeight="1" x14ac:dyDescent="0.2"/>
    <row r="553" ht="12.75" hidden="1" customHeight="1" x14ac:dyDescent="0.2"/>
    <row r="554" ht="12.75" hidden="1" customHeight="1" x14ac:dyDescent="0.2"/>
    <row r="555" ht="12.75" hidden="1" customHeight="1" x14ac:dyDescent="0.2"/>
    <row r="556" ht="12.75" hidden="1" customHeight="1" x14ac:dyDescent="0.2"/>
    <row r="557" ht="12.75" hidden="1" customHeight="1" x14ac:dyDescent="0.2"/>
    <row r="558" ht="12.75" hidden="1" customHeight="1" x14ac:dyDescent="0.2"/>
    <row r="559" ht="12.75" hidden="1" customHeight="1" x14ac:dyDescent="0.2"/>
    <row r="560" ht="12.75" hidden="1" customHeight="1" x14ac:dyDescent="0.2"/>
    <row r="561" ht="12.75" hidden="1" customHeight="1" x14ac:dyDescent="0.2"/>
    <row r="562" ht="12.75" hidden="1" customHeight="1" x14ac:dyDescent="0.2"/>
    <row r="563" ht="12.75" hidden="1" customHeight="1" x14ac:dyDescent="0.2"/>
    <row r="564" ht="12.75" hidden="1" customHeight="1" x14ac:dyDescent="0.2"/>
    <row r="565" ht="12.75" hidden="1" customHeight="1" x14ac:dyDescent="0.2"/>
    <row r="566" ht="12.75" hidden="1" customHeight="1" x14ac:dyDescent="0.2"/>
    <row r="567" ht="12.75" hidden="1" customHeight="1" x14ac:dyDescent="0.2"/>
    <row r="568" ht="12.75" hidden="1" customHeight="1" x14ac:dyDescent="0.2"/>
    <row r="569" ht="12.75" hidden="1" customHeight="1" x14ac:dyDescent="0.2"/>
    <row r="570" ht="12.75" hidden="1" customHeight="1" x14ac:dyDescent="0.2"/>
    <row r="571" ht="12.75" hidden="1" customHeight="1" x14ac:dyDescent="0.2"/>
    <row r="572" ht="12.75" hidden="1" customHeight="1" x14ac:dyDescent="0.2"/>
    <row r="573" ht="12.75" hidden="1" customHeight="1" x14ac:dyDescent="0.2"/>
    <row r="574" ht="12.75" hidden="1" customHeight="1" x14ac:dyDescent="0.2"/>
    <row r="575" ht="12.75" hidden="1" customHeight="1" x14ac:dyDescent="0.2"/>
    <row r="576" ht="12.75" hidden="1" customHeight="1" x14ac:dyDescent="0.2"/>
    <row r="577" ht="12.75" hidden="1" customHeight="1" x14ac:dyDescent="0.2"/>
    <row r="578" ht="12.75" hidden="1" customHeight="1" x14ac:dyDescent="0.2"/>
    <row r="579" ht="12.75" hidden="1" customHeight="1" x14ac:dyDescent="0.2"/>
    <row r="580" ht="12.75" hidden="1" customHeight="1" x14ac:dyDescent="0.2"/>
    <row r="581" ht="12.75" hidden="1" customHeight="1" x14ac:dyDescent="0.2"/>
    <row r="582" ht="12.75" hidden="1" customHeight="1" x14ac:dyDescent="0.2"/>
    <row r="583" ht="12.75" hidden="1" customHeight="1" x14ac:dyDescent="0.2"/>
    <row r="584" ht="12.75" hidden="1" customHeight="1" x14ac:dyDescent="0.2"/>
    <row r="585" ht="12.75" hidden="1" customHeight="1" x14ac:dyDescent="0.2"/>
    <row r="586" ht="12.75" hidden="1" customHeight="1" x14ac:dyDescent="0.2"/>
    <row r="587" ht="12.75" hidden="1" customHeight="1" x14ac:dyDescent="0.2"/>
    <row r="588" ht="12.75" hidden="1" customHeight="1" x14ac:dyDescent="0.2"/>
    <row r="589" ht="12.75" hidden="1" customHeight="1" x14ac:dyDescent="0.2"/>
    <row r="590" ht="12.75" hidden="1" customHeight="1" x14ac:dyDescent="0.2"/>
    <row r="591" ht="12.75" hidden="1" customHeight="1" x14ac:dyDescent="0.2"/>
    <row r="592" ht="12.75" hidden="1" customHeight="1" x14ac:dyDescent="0.2"/>
    <row r="593" ht="12.75" hidden="1" customHeight="1" x14ac:dyDescent="0.2"/>
    <row r="594" ht="12.75" hidden="1" customHeight="1" x14ac:dyDescent="0.2"/>
    <row r="595" ht="12.75" hidden="1" customHeight="1" x14ac:dyDescent="0.2"/>
    <row r="596" ht="12.75" hidden="1" customHeight="1" x14ac:dyDescent="0.2"/>
    <row r="597" ht="12.75" hidden="1" customHeight="1" x14ac:dyDescent="0.2"/>
    <row r="598" ht="12.75" hidden="1" customHeight="1" x14ac:dyDescent="0.2"/>
    <row r="599" ht="12.75" hidden="1" customHeight="1" x14ac:dyDescent="0.2"/>
    <row r="600" ht="12.75" hidden="1" customHeight="1" x14ac:dyDescent="0.2"/>
    <row r="601" ht="12.75" hidden="1" customHeight="1" x14ac:dyDescent="0.2"/>
    <row r="602" ht="12.75" hidden="1" customHeight="1" x14ac:dyDescent="0.2"/>
    <row r="603" ht="12.75" hidden="1" customHeight="1" x14ac:dyDescent="0.2"/>
    <row r="604" ht="12.75" hidden="1" customHeight="1" x14ac:dyDescent="0.2"/>
    <row r="605" ht="12.75" hidden="1" customHeight="1" x14ac:dyDescent="0.2"/>
    <row r="606" ht="12.75" hidden="1" customHeight="1" x14ac:dyDescent="0.2"/>
    <row r="607" ht="12.75" hidden="1" customHeight="1" x14ac:dyDescent="0.2"/>
    <row r="608" ht="12.75" hidden="1" customHeight="1" x14ac:dyDescent="0.2"/>
    <row r="609" ht="12.75" hidden="1" customHeight="1" x14ac:dyDescent="0.2"/>
    <row r="610" ht="12.75" hidden="1" customHeight="1" x14ac:dyDescent="0.2"/>
    <row r="611" ht="12.75" hidden="1" customHeight="1" x14ac:dyDescent="0.2"/>
    <row r="612" ht="12.75" hidden="1" customHeight="1" x14ac:dyDescent="0.2"/>
    <row r="613" ht="12.75" hidden="1" customHeight="1" x14ac:dyDescent="0.2"/>
    <row r="614" ht="12.75" hidden="1" customHeight="1" x14ac:dyDescent="0.2"/>
    <row r="615" ht="12.75" hidden="1" customHeight="1" x14ac:dyDescent="0.2"/>
    <row r="616" ht="12.75" hidden="1" customHeight="1" x14ac:dyDescent="0.2"/>
    <row r="617" ht="12.75" hidden="1" customHeight="1" x14ac:dyDescent="0.2"/>
    <row r="618" ht="12.75" hidden="1" customHeight="1" x14ac:dyDescent="0.2"/>
    <row r="619" ht="12.75" hidden="1" customHeight="1" x14ac:dyDescent="0.2"/>
    <row r="620" ht="12.75" hidden="1" customHeight="1" x14ac:dyDescent="0.2"/>
    <row r="621" ht="12.75" hidden="1" customHeight="1" x14ac:dyDescent="0.2"/>
    <row r="622" ht="12.75" hidden="1" customHeight="1" x14ac:dyDescent="0.2"/>
    <row r="623" ht="12.75" hidden="1" customHeight="1" x14ac:dyDescent="0.2"/>
    <row r="624" ht="12.75" hidden="1" customHeight="1" x14ac:dyDescent="0.2"/>
    <row r="625" ht="12.75" hidden="1" customHeight="1" x14ac:dyDescent="0.2"/>
    <row r="626" ht="12.75" hidden="1" customHeight="1" x14ac:dyDescent="0.2"/>
    <row r="627" ht="12.75" hidden="1" customHeight="1" x14ac:dyDescent="0.2"/>
    <row r="628" ht="12.75" hidden="1" customHeight="1" x14ac:dyDescent="0.2"/>
    <row r="629" ht="12.75" hidden="1" customHeight="1" x14ac:dyDescent="0.2"/>
    <row r="630" ht="12.75" hidden="1" customHeight="1" x14ac:dyDescent="0.2"/>
    <row r="631" ht="12.75" hidden="1" customHeight="1" x14ac:dyDescent="0.2"/>
    <row r="632" ht="12.75" hidden="1" customHeight="1" x14ac:dyDescent="0.2"/>
    <row r="633" ht="12.75" hidden="1" customHeight="1" x14ac:dyDescent="0.2"/>
    <row r="634" ht="12.75" hidden="1" customHeight="1" x14ac:dyDescent="0.2"/>
    <row r="635" ht="12.75" hidden="1" customHeight="1" x14ac:dyDescent="0.2"/>
    <row r="636" ht="12.75" hidden="1" customHeight="1" x14ac:dyDescent="0.2"/>
    <row r="637" ht="12.75" hidden="1" customHeight="1" x14ac:dyDescent="0.2"/>
    <row r="638" ht="12.75" hidden="1" customHeight="1" x14ac:dyDescent="0.2"/>
    <row r="639" ht="12.75" hidden="1" customHeight="1" x14ac:dyDescent="0.2"/>
    <row r="640" ht="12.75" hidden="1" customHeight="1" x14ac:dyDescent="0.2"/>
    <row r="641" ht="12.75" hidden="1" customHeight="1" x14ac:dyDescent="0.2"/>
    <row r="642" ht="12.75" hidden="1" customHeight="1" x14ac:dyDescent="0.2"/>
    <row r="643" ht="12.75" hidden="1" customHeight="1" x14ac:dyDescent="0.2"/>
    <row r="644" ht="12.75" hidden="1" customHeight="1" x14ac:dyDescent="0.2"/>
    <row r="645" ht="12.75" hidden="1" customHeight="1" x14ac:dyDescent="0.2"/>
    <row r="646" ht="12.75" hidden="1" customHeight="1" x14ac:dyDescent="0.2"/>
    <row r="647" ht="12.75" hidden="1" customHeight="1" x14ac:dyDescent="0.2"/>
    <row r="648" ht="12.75" hidden="1" customHeight="1" x14ac:dyDescent="0.2"/>
    <row r="649" ht="12.75" hidden="1" customHeight="1" x14ac:dyDescent="0.2"/>
    <row r="650" ht="12.75" hidden="1" customHeight="1" x14ac:dyDescent="0.2"/>
    <row r="651" ht="12.75" hidden="1" customHeight="1" x14ac:dyDescent="0.2"/>
    <row r="652" ht="12.75" hidden="1" customHeight="1" x14ac:dyDescent="0.2"/>
    <row r="653" ht="12.75" hidden="1" customHeight="1" x14ac:dyDescent="0.2"/>
    <row r="654" ht="12.75" hidden="1" customHeight="1" x14ac:dyDescent="0.2"/>
    <row r="655" ht="12.75" hidden="1" customHeight="1" x14ac:dyDescent="0.2"/>
    <row r="656" ht="12.75" hidden="1" customHeight="1" x14ac:dyDescent="0.2"/>
    <row r="657" ht="12.75" hidden="1" customHeight="1" x14ac:dyDescent="0.2"/>
    <row r="658" ht="12.75" hidden="1" customHeight="1" x14ac:dyDescent="0.2"/>
    <row r="659" ht="12.75" hidden="1" customHeight="1" x14ac:dyDescent="0.2"/>
    <row r="660" ht="12.75" hidden="1" customHeight="1" x14ac:dyDescent="0.2"/>
    <row r="661" ht="12.75" hidden="1" customHeight="1" x14ac:dyDescent="0.2"/>
    <row r="662" ht="12.75" hidden="1" customHeight="1" x14ac:dyDescent="0.2"/>
    <row r="663" ht="12.75" hidden="1" customHeight="1" x14ac:dyDescent="0.2"/>
    <row r="664" ht="12.75" hidden="1" customHeight="1" x14ac:dyDescent="0.2"/>
    <row r="665" ht="12.75" hidden="1" customHeight="1" x14ac:dyDescent="0.2"/>
    <row r="666" ht="12.75" hidden="1" customHeight="1" x14ac:dyDescent="0.2"/>
    <row r="667" ht="12.75" hidden="1" customHeight="1" x14ac:dyDescent="0.2"/>
    <row r="668" ht="12.75" hidden="1" customHeight="1" x14ac:dyDescent="0.2"/>
    <row r="669" ht="12.75" hidden="1" customHeight="1" x14ac:dyDescent="0.2"/>
    <row r="670" ht="12.75" hidden="1" customHeight="1" x14ac:dyDescent="0.2"/>
    <row r="671" ht="12.75" hidden="1" customHeight="1" x14ac:dyDescent="0.2"/>
    <row r="672" ht="12.75" hidden="1" customHeight="1" x14ac:dyDescent="0.2"/>
    <row r="673" ht="12.75" hidden="1" customHeight="1" x14ac:dyDescent="0.2"/>
    <row r="674" ht="12.75" hidden="1" customHeight="1" x14ac:dyDescent="0.2"/>
    <row r="675" ht="12.75" hidden="1" customHeight="1" x14ac:dyDescent="0.2"/>
    <row r="676" ht="12.75" hidden="1" customHeight="1" x14ac:dyDescent="0.2"/>
    <row r="677" ht="12.75" hidden="1" customHeight="1" x14ac:dyDescent="0.2"/>
    <row r="678" ht="12.75" hidden="1" customHeight="1" x14ac:dyDescent="0.2"/>
    <row r="679" ht="12.75" hidden="1" customHeight="1" x14ac:dyDescent="0.2"/>
    <row r="680" ht="12.75" hidden="1" customHeight="1" x14ac:dyDescent="0.2"/>
    <row r="681" ht="12.75" hidden="1" customHeight="1" x14ac:dyDescent="0.2"/>
    <row r="682" ht="12.75" hidden="1" customHeight="1" x14ac:dyDescent="0.2"/>
    <row r="683" ht="12.75" hidden="1" customHeight="1" x14ac:dyDescent="0.2"/>
    <row r="684" ht="12.75" hidden="1" customHeight="1" x14ac:dyDescent="0.2"/>
    <row r="685" ht="12.75" hidden="1" customHeight="1" x14ac:dyDescent="0.2"/>
    <row r="686" ht="12.75" hidden="1" customHeight="1" x14ac:dyDescent="0.2"/>
    <row r="687" ht="12.75" hidden="1" customHeight="1" x14ac:dyDescent="0.2"/>
    <row r="688" ht="12.75" hidden="1" customHeight="1" x14ac:dyDescent="0.2"/>
    <row r="689" ht="12.75" hidden="1" customHeight="1" x14ac:dyDescent="0.2"/>
    <row r="690" ht="12.75" hidden="1" customHeight="1" x14ac:dyDescent="0.2"/>
    <row r="691" ht="12.75" hidden="1" customHeight="1" x14ac:dyDescent="0.2"/>
    <row r="692" ht="12.75" hidden="1" customHeight="1" x14ac:dyDescent="0.2"/>
    <row r="693" ht="12.75" hidden="1" customHeight="1" x14ac:dyDescent="0.2"/>
    <row r="694" ht="12.75" hidden="1" customHeight="1" x14ac:dyDescent="0.2"/>
    <row r="695" ht="12.75" hidden="1" customHeight="1" x14ac:dyDescent="0.2"/>
    <row r="696" ht="12.75" hidden="1" customHeight="1" x14ac:dyDescent="0.2"/>
    <row r="697" ht="12.75" hidden="1" customHeight="1" x14ac:dyDescent="0.2"/>
    <row r="698" ht="12.75" hidden="1" customHeight="1" x14ac:dyDescent="0.2"/>
    <row r="699" ht="12.75" hidden="1" customHeight="1" x14ac:dyDescent="0.2"/>
    <row r="700" ht="12.75" hidden="1" customHeight="1" x14ac:dyDescent="0.2"/>
    <row r="701" ht="12.75" hidden="1" customHeight="1" x14ac:dyDescent="0.2"/>
    <row r="702" ht="12.75" hidden="1" customHeight="1" x14ac:dyDescent="0.2"/>
    <row r="703" ht="12.75" hidden="1" customHeight="1" x14ac:dyDescent="0.2"/>
    <row r="704" ht="12.75" hidden="1" customHeight="1" x14ac:dyDescent="0.2"/>
    <row r="705" ht="12.75" hidden="1" customHeight="1" x14ac:dyDescent="0.2"/>
    <row r="706" ht="12.75" hidden="1" customHeight="1" x14ac:dyDescent="0.2"/>
    <row r="707" ht="12.75" hidden="1" customHeight="1" x14ac:dyDescent="0.2"/>
    <row r="708" ht="12.75" hidden="1" customHeight="1" x14ac:dyDescent="0.2"/>
    <row r="709" ht="12.75" hidden="1" customHeight="1" x14ac:dyDescent="0.2"/>
    <row r="710" ht="12.75" hidden="1" customHeight="1" x14ac:dyDescent="0.2"/>
    <row r="711" ht="12.75" hidden="1" customHeight="1" x14ac:dyDescent="0.2"/>
    <row r="712" ht="12.75" hidden="1" customHeight="1" x14ac:dyDescent="0.2"/>
    <row r="713" ht="12.75" hidden="1" customHeight="1" x14ac:dyDescent="0.2"/>
    <row r="714" ht="12.75" hidden="1" customHeight="1" x14ac:dyDescent="0.2"/>
    <row r="715" ht="12.75" hidden="1" customHeight="1" x14ac:dyDescent="0.2"/>
    <row r="716" ht="12.75" hidden="1" customHeight="1" x14ac:dyDescent="0.2"/>
    <row r="717" ht="12.75" hidden="1" customHeight="1" x14ac:dyDescent="0.2"/>
    <row r="718" ht="12.75" hidden="1" customHeight="1" x14ac:dyDescent="0.2"/>
    <row r="719" ht="12.75" hidden="1" customHeight="1" x14ac:dyDescent="0.2"/>
    <row r="720" ht="12.75" hidden="1" customHeight="1" x14ac:dyDescent="0.2"/>
    <row r="721" ht="12.75" hidden="1" customHeight="1" x14ac:dyDescent="0.2"/>
    <row r="722" ht="12.75" hidden="1" customHeight="1" x14ac:dyDescent="0.2"/>
    <row r="723" ht="12.75" hidden="1" customHeight="1" x14ac:dyDescent="0.2"/>
    <row r="724" ht="12.75" hidden="1" customHeight="1" x14ac:dyDescent="0.2"/>
    <row r="725" ht="12.75" hidden="1" customHeight="1" x14ac:dyDescent="0.2"/>
    <row r="726" ht="12.75" hidden="1" customHeight="1" x14ac:dyDescent="0.2"/>
    <row r="727" ht="12.75" hidden="1" customHeight="1" x14ac:dyDescent="0.2"/>
    <row r="728" ht="12.75" hidden="1" customHeight="1" x14ac:dyDescent="0.2"/>
    <row r="729" ht="12.75" hidden="1" customHeight="1" x14ac:dyDescent="0.2"/>
    <row r="730" ht="12.75" hidden="1" customHeight="1" x14ac:dyDescent="0.2"/>
    <row r="731" ht="12.75" hidden="1" customHeight="1" x14ac:dyDescent="0.2"/>
    <row r="732" ht="12.75" hidden="1" customHeight="1" x14ac:dyDescent="0.2"/>
    <row r="733" ht="12.75" hidden="1" customHeight="1" x14ac:dyDescent="0.2"/>
    <row r="734" ht="12.75" hidden="1" customHeight="1" x14ac:dyDescent="0.2"/>
    <row r="735" ht="12.75" hidden="1" customHeight="1" x14ac:dyDescent="0.2"/>
    <row r="736" ht="12.75" hidden="1" customHeight="1" x14ac:dyDescent="0.2"/>
    <row r="737" ht="12.75" hidden="1" customHeight="1" x14ac:dyDescent="0.2"/>
    <row r="738" ht="12.75" hidden="1" customHeight="1" x14ac:dyDescent="0.2"/>
    <row r="739" ht="12.75" hidden="1" customHeight="1" x14ac:dyDescent="0.2"/>
    <row r="740" ht="12.75" hidden="1" customHeight="1" x14ac:dyDescent="0.2"/>
    <row r="741" ht="12.75" hidden="1" customHeight="1" x14ac:dyDescent="0.2"/>
    <row r="742" ht="12.75" hidden="1" customHeight="1" x14ac:dyDescent="0.2"/>
    <row r="743" ht="12.75" hidden="1" customHeight="1" x14ac:dyDescent="0.2"/>
    <row r="744" ht="12.75" hidden="1" customHeight="1" x14ac:dyDescent="0.2"/>
    <row r="745" ht="12.75" hidden="1" customHeight="1" x14ac:dyDescent="0.2"/>
    <row r="746" ht="12.75" hidden="1" customHeight="1" x14ac:dyDescent="0.2"/>
    <row r="747" ht="12.75" hidden="1" customHeight="1" x14ac:dyDescent="0.2"/>
    <row r="748" ht="12.75" hidden="1" customHeight="1" x14ac:dyDescent="0.2"/>
    <row r="749" ht="12.75" hidden="1" customHeight="1" x14ac:dyDescent="0.2"/>
    <row r="750" ht="12.75" hidden="1" customHeight="1" x14ac:dyDescent="0.2"/>
    <row r="751" ht="12.75" hidden="1" customHeight="1" x14ac:dyDescent="0.2"/>
    <row r="752" ht="12.75" hidden="1" customHeight="1" x14ac:dyDescent="0.2"/>
    <row r="753" ht="12.75" hidden="1" customHeight="1" x14ac:dyDescent="0.2"/>
    <row r="754" ht="12.75" hidden="1" customHeight="1" x14ac:dyDescent="0.2"/>
    <row r="755" ht="12.75" hidden="1" customHeight="1" x14ac:dyDescent="0.2"/>
    <row r="756" ht="12.75" hidden="1" customHeight="1" x14ac:dyDescent="0.2"/>
    <row r="757" ht="12.75" hidden="1" customHeight="1" x14ac:dyDescent="0.2"/>
    <row r="758" ht="12.75" hidden="1" customHeight="1" x14ac:dyDescent="0.2"/>
    <row r="759" ht="12.75" hidden="1" customHeight="1" x14ac:dyDescent="0.2"/>
    <row r="760" ht="12.75" hidden="1" customHeight="1" x14ac:dyDescent="0.2"/>
    <row r="761" ht="12.75" hidden="1" customHeight="1" x14ac:dyDescent="0.2"/>
    <row r="762" ht="12.75" hidden="1" customHeight="1" x14ac:dyDescent="0.2"/>
    <row r="763" ht="12.75" hidden="1" customHeight="1" x14ac:dyDescent="0.2"/>
    <row r="764" ht="12.75" hidden="1" customHeight="1" x14ac:dyDescent="0.2"/>
    <row r="765" ht="12.75" hidden="1" customHeight="1" x14ac:dyDescent="0.2"/>
    <row r="766" ht="12.75" hidden="1" customHeight="1" x14ac:dyDescent="0.2"/>
    <row r="767" ht="12.75" hidden="1" customHeight="1" x14ac:dyDescent="0.2"/>
    <row r="768" ht="12.75" hidden="1" customHeight="1" x14ac:dyDescent="0.2"/>
    <row r="769" ht="12.75" hidden="1" customHeight="1" x14ac:dyDescent="0.2"/>
    <row r="770" ht="12.75" hidden="1" customHeight="1" x14ac:dyDescent="0.2"/>
    <row r="771" ht="12.75" hidden="1" customHeight="1" x14ac:dyDescent="0.2"/>
    <row r="772" ht="12.75" hidden="1" customHeight="1" x14ac:dyDescent="0.2"/>
    <row r="773" ht="12.75" hidden="1" customHeight="1" x14ac:dyDescent="0.2"/>
    <row r="774" ht="12.75" hidden="1" customHeight="1" x14ac:dyDescent="0.2"/>
    <row r="775" ht="12.75" hidden="1" customHeight="1" x14ac:dyDescent="0.2"/>
    <row r="776" ht="12.75" hidden="1" customHeight="1" x14ac:dyDescent="0.2"/>
    <row r="777" ht="12.75" hidden="1" customHeight="1" x14ac:dyDescent="0.2"/>
    <row r="778" ht="12.75" hidden="1" customHeight="1" x14ac:dyDescent="0.2"/>
    <row r="779" ht="12.75" hidden="1" customHeight="1" x14ac:dyDescent="0.2"/>
    <row r="780" ht="12.75" hidden="1" customHeight="1" x14ac:dyDescent="0.2"/>
    <row r="781" ht="12.75" hidden="1" customHeight="1" x14ac:dyDescent="0.2"/>
    <row r="782" ht="12.75" hidden="1" customHeight="1" x14ac:dyDescent="0.2"/>
    <row r="783" ht="12.75" hidden="1" customHeight="1" x14ac:dyDescent="0.2"/>
    <row r="784" ht="12.75" hidden="1" customHeight="1" x14ac:dyDescent="0.2"/>
    <row r="785" ht="12.75" hidden="1" customHeight="1" x14ac:dyDescent="0.2"/>
    <row r="786" ht="12.75" hidden="1" customHeight="1" x14ac:dyDescent="0.2"/>
    <row r="787" ht="12.75" hidden="1" customHeight="1" x14ac:dyDescent="0.2"/>
    <row r="788" ht="12.75" hidden="1" customHeight="1" x14ac:dyDescent="0.2"/>
    <row r="789" ht="12.75" hidden="1" customHeight="1" x14ac:dyDescent="0.2"/>
    <row r="790" ht="12.75" hidden="1" customHeight="1" x14ac:dyDescent="0.2"/>
    <row r="791" ht="12.75" hidden="1" customHeight="1" x14ac:dyDescent="0.2"/>
    <row r="792" ht="12.75" hidden="1" customHeight="1" x14ac:dyDescent="0.2"/>
    <row r="793" ht="12.75" hidden="1" customHeight="1" x14ac:dyDescent="0.2"/>
    <row r="794" ht="12.75" hidden="1" customHeight="1" x14ac:dyDescent="0.2"/>
    <row r="795" ht="12.75" hidden="1" customHeight="1" x14ac:dyDescent="0.2"/>
    <row r="796" ht="12.75" hidden="1" customHeight="1" x14ac:dyDescent="0.2"/>
    <row r="797" ht="12.75" hidden="1" customHeight="1" x14ac:dyDescent="0.2"/>
    <row r="798" ht="12.75" hidden="1" customHeight="1" x14ac:dyDescent="0.2"/>
    <row r="799" ht="12.75" hidden="1" customHeight="1" x14ac:dyDescent="0.2"/>
    <row r="800" ht="12.75" hidden="1" customHeight="1" x14ac:dyDescent="0.2"/>
    <row r="801" ht="12.75" hidden="1" customHeight="1" x14ac:dyDescent="0.2"/>
    <row r="802" ht="12.75" hidden="1" customHeight="1" x14ac:dyDescent="0.2"/>
    <row r="803" ht="12.75" hidden="1" customHeight="1" x14ac:dyDescent="0.2"/>
    <row r="804" ht="12.75" hidden="1" customHeight="1" x14ac:dyDescent="0.2"/>
    <row r="805" ht="12.75" hidden="1" customHeight="1" x14ac:dyDescent="0.2"/>
    <row r="806" ht="12.75" hidden="1" customHeight="1" x14ac:dyDescent="0.2"/>
    <row r="807" ht="12.75" hidden="1" customHeight="1" x14ac:dyDescent="0.2"/>
    <row r="808" ht="12.75" hidden="1" customHeight="1" x14ac:dyDescent="0.2"/>
    <row r="809" ht="12.75" hidden="1" customHeight="1" x14ac:dyDescent="0.2"/>
    <row r="810" ht="12.75" hidden="1" customHeight="1" x14ac:dyDescent="0.2"/>
    <row r="811" ht="12.75" hidden="1" customHeight="1" x14ac:dyDescent="0.2"/>
    <row r="812" ht="12.75" hidden="1" customHeight="1" x14ac:dyDescent="0.2"/>
    <row r="813" ht="12.75" hidden="1" customHeight="1" x14ac:dyDescent="0.2"/>
    <row r="814" ht="12.75" hidden="1" customHeight="1" x14ac:dyDescent="0.2"/>
    <row r="815" ht="12.75" hidden="1" customHeight="1" x14ac:dyDescent="0.2"/>
    <row r="816" ht="12.75" hidden="1" customHeight="1" x14ac:dyDescent="0.2"/>
    <row r="817" ht="12.75" hidden="1" customHeight="1" x14ac:dyDescent="0.2"/>
    <row r="818" ht="12.75" hidden="1" customHeight="1" x14ac:dyDescent="0.2"/>
    <row r="819" ht="12.75" hidden="1" customHeight="1" x14ac:dyDescent="0.2"/>
    <row r="820" ht="12.75" hidden="1" customHeight="1" x14ac:dyDescent="0.2"/>
    <row r="821" ht="12.75" hidden="1" customHeight="1" x14ac:dyDescent="0.2"/>
    <row r="822" ht="12.75" hidden="1" customHeight="1" x14ac:dyDescent="0.2"/>
    <row r="823" ht="12.75" hidden="1" customHeight="1" x14ac:dyDescent="0.2"/>
    <row r="824" ht="12.75" hidden="1" customHeight="1" x14ac:dyDescent="0.2"/>
    <row r="825" ht="12.75" hidden="1" customHeight="1" x14ac:dyDescent="0.2"/>
    <row r="826" ht="12.75" hidden="1" customHeight="1" x14ac:dyDescent="0.2"/>
    <row r="827" ht="12.75" hidden="1" customHeight="1" x14ac:dyDescent="0.2"/>
    <row r="828" ht="12.75" hidden="1" customHeight="1" x14ac:dyDescent="0.2"/>
    <row r="829" ht="12.75" hidden="1" customHeight="1" x14ac:dyDescent="0.2"/>
    <row r="830" ht="12.75" hidden="1" customHeight="1" x14ac:dyDescent="0.2"/>
    <row r="831" ht="12.75" hidden="1" customHeight="1" x14ac:dyDescent="0.2"/>
    <row r="832" ht="12.75" hidden="1" customHeight="1" x14ac:dyDescent="0.2"/>
    <row r="833" ht="12.75" hidden="1" customHeight="1" x14ac:dyDescent="0.2"/>
    <row r="834" ht="12.75" hidden="1" customHeight="1" x14ac:dyDescent="0.2"/>
    <row r="835" ht="12.75" hidden="1" customHeight="1" x14ac:dyDescent="0.2"/>
    <row r="836" ht="12.75" hidden="1" customHeight="1" x14ac:dyDescent="0.2"/>
    <row r="837" ht="12.75" hidden="1" customHeight="1" x14ac:dyDescent="0.2"/>
    <row r="838" ht="12.75" hidden="1" customHeight="1" x14ac:dyDescent="0.2"/>
    <row r="839" ht="12.75" hidden="1" customHeight="1" x14ac:dyDescent="0.2"/>
    <row r="840" ht="12.75" hidden="1" customHeight="1" x14ac:dyDescent="0.2"/>
    <row r="841" ht="12.75" hidden="1" customHeight="1" x14ac:dyDescent="0.2"/>
    <row r="842" ht="12.75" hidden="1" customHeight="1" x14ac:dyDescent="0.2"/>
    <row r="843" ht="12.75" hidden="1" customHeight="1" x14ac:dyDescent="0.2"/>
    <row r="844" ht="12.75" hidden="1" customHeight="1" x14ac:dyDescent="0.2"/>
    <row r="845" ht="12.75" hidden="1" customHeight="1" x14ac:dyDescent="0.2"/>
    <row r="846" ht="12.75" hidden="1" customHeight="1" x14ac:dyDescent="0.2"/>
    <row r="847" ht="12.75" hidden="1" customHeight="1" x14ac:dyDescent="0.2"/>
    <row r="848" ht="12.75" hidden="1" customHeight="1" x14ac:dyDescent="0.2"/>
    <row r="849" ht="12.75" hidden="1" customHeight="1" x14ac:dyDescent="0.2"/>
    <row r="850" ht="12.75" hidden="1" customHeight="1" x14ac:dyDescent="0.2"/>
    <row r="851" ht="12.75" hidden="1" customHeight="1" x14ac:dyDescent="0.2"/>
    <row r="852" ht="12.75" hidden="1" customHeight="1" x14ac:dyDescent="0.2"/>
    <row r="853" ht="12.75" hidden="1" customHeight="1" x14ac:dyDescent="0.2"/>
    <row r="854" ht="12.75" hidden="1" customHeight="1" x14ac:dyDescent="0.2"/>
    <row r="855" ht="12.75" hidden="1" customHeight="1" x14ac:dyDescent="0.2"/>
    <row r="856" ht="12.75" hidden="1" customHeight="1" x14ac:dyDescent="0.2"/>
    <row r="857" ht="12.75" hidden="1" customHeight="1" x14ac:dyDescent="0.2"/>
    <row r="858" ht="12.75" hidden="1" customHeight="1" x14ac:dyDescent="0.2"/>
    <row r="859" ht="12.75" hidden="1" customHeight="1" x14ac:dyDescent="0.2"/>
    <row r="860" ht="12.75" hidden="1" customHeight="1" x14ac:dyDescent="0.2"/>
    <row r="861" ht="12.75" hidden="1" customHeight="1" x14ac:dyDescent="0.2"/>
    <row r="862" ht="12.75" hidden="1" customHeight="1" x14ac:dyDescent="0.2"/>
    <row r="863" ht="12.75" hidden="1" customHeight="1" x14ac:dyDescent="0.2"/>
    <row r="864" ht="12.75" hidden="1" customHeight="1" x14ac:dyDescent="0.2"/>
    <row r="865" ht="12.75" hidden="1" customHeight="1" x14ac:dyDescent="0.2"/>
    <row r="866" ht="12.75" hidden="1" customHeight="1" x14ac:dyDescent="0.2"/>
    <row r="867" ht="12.75" hidden="1" customHeight="1" x14ac:dyDescent="0.2"/>
    <row r="868" ht="12.75" hidden="1" customHeight="1" x14ac:dyDescent="0.2"/>
    <row r="869" ht="12.75" hidden="1" customHeight="1" x14ac:dyDescent="0.2"/>
    <row r="870" ht="12.75" hidden="1" customHeight="1" x14ac:dyDescent="0.2"/>
    <row r="871" ht="12.75" hidden="1" customHeight="1" x14ac:dyDescent="0.2"/>
    <row r="872" ht="12.75" hidden="1" customHeight="1" x14ac:dyDescent="0.2"/>
    <row r="873" ht="12.75" hidden="1" customHeight="1" x14ac:dyDescent="0.2"/>
    <row r="874" ht="12.75" hidden="1" customHeight="1" x14ac:dyDescent="0.2"/>
    <row r="875" ht="12.75" hidden="1" customHeight="1" x14ac:dyDescent="0.2"/>
    <row r="876" ht="12.75" hidden="1" customHeight="1" x14ac:dyDescent="0.2"/>
    <row r="877" ht="12.75" hidden="1" customHeight="1" x14ac:dyDescent="0.2"/>
    <row r="878" ht="12.75" hidden="1" customHeight="1" x14ac:dyDescent="0.2"/>
    <row r="879" ht="12.75" hidden="1" customHeight="1" x14ac:dyDescent="0.2"/>
    <row r="880" ht="12.75" hidden="1" customHeight="1" x14ac:dyDescent="0.2"/>
    <row r="881" ht="12.75" hidden="1" customHeight="1" x14ac:dyDescent="0.2"/>
    <row r="882" ht="12.75" hidden="1" customHeight="1" x14ac:dyDescent="0.2"/>
    <row r="883" ht="12.75" hidden="1" customHeight="1" x14ac:dyDescent="0.2"/>
    <row r="884" ht="12.75" hidden="1" customHeight="1" x14ac:dyDescent="0.2"/>
    <row r="885" ht="12.75" hidden="1" customHeight="1" x14ac:dyDescent="0.2"/>
    <row r="886" ht="12.75" hidden="1" customHeight="1" x14ac:dyDescent="0.2"/>
    <row r="887" ht="12.75" hidden="1" customHeight="1" x14ac:dyDescent="0.2"/>
    <row r="888" ht="12.75" hidden="1" customHeight="1" x14ac:dyDescent="0.2"/>
    <row r="889" ht="12.75" hidden="1" customHeight="1" x14ac:dyDescent="0.2"/>
    <row r="890" ht="12.75" hidden="1" customHeight="1" x14ac:dyDescent="0.2"/>
    <row r="891" ht="12.75" hidden="1" customHeight="1" x14ac:dyDescent="0.2"/>
    <row r="892" ht="12.75" hidden="1" customHeight="1" x14ac:dyDescent="0.2"/>
    <row r="893" ht="12.75" hidden="1" customHeight="1" x14ac:dyDescent="0.2"/>
    <row r="894" ht="12.75" hidden="1" customHeight="1" x14ac:dyDescent="0.2"/>
    <row r="895" ht="12.75" hidden="1" customHeight="1" x14ac:dyDescent="0.2"/>
    <row r="896" ht="12.75" hidden="1" customHeight="1" x14ac:dyDescent="0.2"/>
    <row r="897" ht="12.75" hidden="1" customHeight="1" x14ac:dyDescent="0.2"/>
    <row r="898" ht="12.75" hidden="1" customHeight="1" x14ac:dyDescent="0.2"/>
    <row r="899" ht="12.75" hidden="1" customHeight="1" x14ac:dyDescent="0.2"/>
    <row r="900" ht="12.75" hidden="1" customHeight="1" x14ac:dyDescent="0.2"/>
    <row r="901" ht="12.75" hidden="1" customHeight="1" x14ac:dyDescent="0.2"/>
    <row r="902" ht="12.75" hidden="1" customHeight="1" x14ac:dyDescent="0.2"/>
    <row r="903" ht="12.75" hidden="1" customHeight="1" x14ac:dyDescent="0.2"/>
    <row r="904" ht="12.75" hidden="1" customHeight="1" x14ac:dyDescent="0.2"/>
    <row r="905" ht="12.75" hidden="1" customHeight="1" x14ac:dyDescent="0.2"/>
    <row r="906" ht="12.75" hidden="1" customHeight="1" x14ac:dyDescent="0.2"/>
    <row r="907" ht="12.75" hidden="1" customHeight="1" x14ac:dyDescent="0.2"/>
    <row r="908" ht="12.75" hidden="1" customHeight="1" x14ac:dyDescent="0.2"/>
    <row r="909" ht="12.75" hidden="1" customHeight="1" x14ac:dyDescent="0.2"/>
    <row r="910" ht="12.75" hidden="1" customHeight="1" x14ac:dyDescent="0.2"/>
    <row r="911" ht="12.75" hidden="1" customHeight="1" x14ac:dyDescent="0.2"/>
    <row r="912" ht="12.75" hidden="1" customHeight="1" x14ac:dyDescent="0.2"/>
    <row r="913" ht="12.75" hidden="1" customHeight="1" x14ac:dyDescent="0.2"/>
    <row r="914" ht="12.75" hidden="1" customHeight="1" x14ac:dyDescent="0.2"/>
    <row r="915" ht="12.75" hidden="1" customHeight="1" x14ac:dyDescent="0.2"/>
    <row r="916" ht="12.75" hidden="1" customHeight="1" x14ac:dyDescent="0.2"/>
    <row r="917" ht="12.75" hidden="1" customHeight="1" x14ac:dyDescent="0.2"/>
    <row r="918" ht="12.75" hidden="1" customHeight="1" x14ac:dyDescent="0.2"/>
    <row r="919" ht="12.75" hidden="1" customHeight="1" x14ac:dyDescent="0.2"/>
    <row r="920" ht="12.75" hidden="1" customHeight="1" x14ac:dyDescent="0.2"/>
    <row r="921" ht="12.75" hidden="1" customHeight="1" x14ac:dyDescent="0.2"/>
    <row r="922" ht="12.75" hidden="1" customHeight="1" x14ac:dyDescent="0.2"/>
    <row r="923" ht="12.75" hidden="1" customHeight="1" x14ac:dyDescent="0.2"/>
    <row r="924" ht="12.75" hidden="1" customHeight="1" x14ac:dyDescent="0.2"/>
    <row r="925" ht="12.75" hidden="1" customHeight="1" x14ac:dyDescent="0.2"/>
    <row r="926" ht="12.75" hidden="1" customHeight="1" x14ac:dyDescent="0.2"/>
    <row r="927" ht="12.75" hidden="1" customHeight="1" x14ac:dyDescent="0.2"/>
    <row r="928" ht="12.75" hidden="1" customHeight="1" x14ac:dyDescent="0.2"/>
    <row r="929" ht="12.75" hidden="1" customHeight="1" x14ac:dyDescent="0.2"/>
    <row r="930" ht="12.75" hidden="1" customHeight="1" x14ac:dyDescent="0.2"/>
    <row r="931" ht="12.75" hidden="1" customHeight="1" x14ac:dyDescent="0.2"/>
    <row r="932" ht="12.75" hidden="1" customHeight="1" x14ac:dyDescent="0.2"/>
    <row r="933" ht="12.75" hidden="1" customHeight="1" x14ac:dyDescent="0.2"/>
    <row r="934" ht="12.75" hidden="1" customHeight="1" x14ac:dyDescent="0.2"/>
    <row r="935" ht="12.75" hidden="1" customHeight="1" x14ac:dyDescent="0.2"/>
    <row r="936" ht="12.75" hidden="1" customHeight="1" x14ac:dyDescent="0.2"/>
    <row r="937" ht="12.75" hidden="1" customHeight="1" x14ac:dyDescent="0.2"/>
    <row r="938" ht="12.75" hidden="1" customHeight="1" x14ac:dyDescent="0.2"/>
    <row r="939" ht="12.75" hidden="1" customHeight="1" x14ac:dyDescent="0.2"/>
    <row r="940" ht="12.75" hidden="1" customHeight="1" x14ac:dyDescent="0.2"/>
    <row r="941" ht="12.75" hidden="1" customHeight="1" x14ac:dyDescent="0.2"/>
    <row r="942" ht="12.75" hidden="1" customHeight="1" x14ac:dyDescent="0.2"/>
    <row r="943" ht="12.75" hidden="1" customHeight="1" x14ac:dyDescent="0.2"/>
    <row r="944" ht="12.75" hidden="1" customHeight="1" x14ac:dyDescent="0.2"/>
    <row r="945" ht="12.75" hidden="1" customHeight="1" x14ac:dyDescent="0.2"/>
    <row r="946" ht="12.75" hidden="1" customHeight="1" x14ac:dyDescent="0.2"/>
    <row r="947" ht="12.75" hidden="1" customHeight="1" x14ac:dyDescent="0.2"/>
    <row r="948" ht="12.75" hidden="1" customHeight="1" x14ac:dyDescent="0.2"/>
    <row r="949" ht="12.75" hidden="1" customHeight="1" x14ac:dyDescent="0.2"/>
    <row r="950" ht="12.75" hidden="1" customHeight="1" x14ac:dyDescent="0.2"/>
    <row r="951" ht="12.75" hidden="1" customHeight="1" x14ac:dyDescent="0.2"/>
    <row r="952" ht="12.75" hidden="1" customHeight="1" x14ac:dyDescent="0.2"/>
    <row r="953" ht="12.75" hidden="1" customHeight="1" x14ac:dyDescent="0.2"/>
    <row r="954" ht="12.75" hidden="1" customHeight="1" x14ac:dyDescent="0.2"/>
    <row r="955" ht="12.75" hidden="1" customHeight="1" x14ac:dyDescent="0.2"/>
    <row r="956" ht="12.75" hidden="1" customHeight="1" x14ac:dyDescent="0.2"/>
    <row r="957" ht="12.75" hidden="1" customHeight="1" x14ac:dyDescent="0.2"/>
    <row r="958" ht="12.75" hidden="1" customHeight="1" x14ac:dyDescent="0.2"/>
    <row r="959" ht="12.75" hidden="1" customHeight="1" x14ac:dyDescent="0.2"/>
    <row r="960" ht="12.75" hidden="1" customHeight="1" x14ac:dyDescent="0.2"/>
    <row r="961" ht="12.75" hidden="1" customHeight="1" x14ac:dyDescent="0.2"/>
    <row r="962" ht="12.75" hidden="1" customHeight="1" x14ac:dyDescent="0.2"/>
    <row r="963" ht="12.75" hidden="1" customHeight="1" x14ac:dyDescent="0.2"/>
    <row r="964" ht="12.75" hidden="1" customHeight="1" x14ac:dyDescent="0.2"/>
    <row r="965" ht="12.75" hidden="1" customHeight="1" x14ac:dyDescent="0.2"/>
    <row r="966" ht="12.75" hidden="1" customHeight="1" x14ac:dyDescent="0.2"/>
    <row r="967" ht="12.75" hidden="1" customHeight="1" x14ac:dyDescent="0.2"/>
    <row r="968" ht="12.75" hidden="1" customHeight="1" x14ac:dyDescent="0.2"/>
    <row r="969" ht="12.75" hidden="1" customHeight="1" x14ac:dyDescent="0.2"/>
    <row r="970" ht="12.75" hidden="1" customHeight="1" x14ac:dyDescent="0.2"/>
    <row r="971" ht="12.75" hidden="1" customHeight="1" x14ac:dyDescent="0.2"/>
    <row r="972" ht="12.75" hidden="1" customHeight="1" x14ac:dyDescent="0.2"/>
    <row r="973" ht="12.75" hidden="1" customHeight="1" x14ac:dyDescent="0.2"/>
    <row r="974" ht="12.75" hidden="1" customHeight="1" x14ac:dyDescent="0.2"/>
    <row r="975" ht="12.75" hidden="1" customHeight="1" x14ac:dyDescent="0.2"/>
    <row r="976" ht="12.75" hidden="1" customHeight="1" x14ac:dyDescent="0.2"/>
    <row r="977" ht="12.75" hidden="1" customHeight="1" x14ac:dyDescent="0.2"/>
    <row r="978" ht="12.75" hidden="1" customHeight="1" x14ac:dyDescent="0.2"/>
    <row r="979" ht="12.75" hidden="1" customHeight="1" x14ac:dyDescent="0.2"/>
    <row r="980" ht="12.75" hidden="1" customHeight="1" x14ac:dyDescent="0.2"/>
    <row r="981" ht="12.75" hidden="1" customHeight="1" x14ac:dyDescent="0.2"/>
    <row r="982" ht="12.75" hidden="1" customHeight="1" x14ac:dyDescent="0.2"/>
    <row r="983" ht="12.75" hidden="1" customHeight="1" x14ac:dyDescent="0.2"/>
    <row r="984" ht="12.75" hidden="1" customHeight="1" x14ac:dyDescent="0.2"/>
    <row r="985" ht="12.75" hidden="1" customHeight="1" x14ac:dyDescent="0.2"/>
    <row r="986" ht="12.75" hidden="1" customHeight="1" x14ac:dyDescent="0.2"/>
    <row r="987" ht="12.75" hidden="1" customHeight="1" x14ac:dyDescent="0.2"/>
    <row r="988" ht="12.75" hidden="1" customHeight="1" x14ac:dyDescent="0.2"/>
    <row r="989" ht="12.75" hidden="1" customHeight="1" x14ac:dyDescent="0.2"/>
    <row r="990" ht="12.75" hidden="1" customHeight="1" x14ac:dyDescent="0.2"/>
    <row r="991" ht="12.75" hidden="1" customHeight="1" x14ac:dyDescent="0.2"/>
    <row r="992" ht="12.75" hidden="1" customHeight="1" x14ac:dyDescent="0.2"/>
    <row r="993" ht="12.75" hidden="1" customHeight="1" x14ac:dyDescent="0.2"/>
    <row r="994" ht="12.75" hidden="1" customHeight="1" x14ac:dyDescent="0.2"/>
    <row r="995" ht="12.75" hidden="1" customHeight="1" x14ac:dyDescent="0.2"/>
    <row r="996" ht="12.75" hidden="1" customHeight="1" x14ac:dyDescent="0.2"/>
    <row r="997" ht="12.75" hidden="1" customHeight="1" x14ac:dyDescent="0.2"/>
    <row r="998" ht="12.75" hidden="1" customHeight="1" x14ac:dyDescent="0.2"/>
    <row r="999" ht="12.75" hidden="1" customHeight="1" x14ac:dyDescent="0.2"/>
    <row r="1000" ht="12.75" hidden="1" customHeight="1" x14ac:dyDescent="0.2"/>
  </sheetData>
  <mergeCells count="224">
    <mergeCell ref="AV51:BG51"/>
    <mergeCell ref="AH45:AR47"/>
    <mergeCell ref="AG51:AR51"/>
    <mergeCell ref="AW44:BG44"/>
    <mergeCell ref="AW45:BG47"/>
    <mergeCell ref="D68:N68"/>
    <mergeCell ref="D69:N71"/>
    <mergeCell ref="S68:AC68"/>
    <mergeCell ref="S69:AC71"/>
    <mergeCell ref="AH68:AR68"/>
    <mergeCell ref="AH69:AR71"/>
    <mergeCell ref="AW68:BG68"/>
    <mergeCell ref="AW69:BG71"/>
    <mergeCell ref="AF42:AF45"/>
    <mergeCell ref="AU42:AU45"/>
    <mergeCell ref="AF48:AR48"/>
    <mergeCell ref="AU48:BG48"/>
    <mergeCell ref="AU50:AU52"/>
    <mergeCell ref="AG52:AR52"/>
    <mergeCell ref="AV52:BG52"/>
    <mergeCell ref="AH54:AR60"/>
    <mergeCell ref="AW54:BG60"/>
    <mergeCell ref="AU60:AU64"/>
    <mergeCell ref="AU66:AU69"/>
    <mergeCell ref="AF120:AS120"/>
    <mergeCell ref="AU72:BG72"/>
    <mergeCell ref="AU74:AU76"/>
    <mergeCell ref="AV75:BG75"/>
    <mergeCell ref="AV76:BG76"/>
    <mergeCell ref="AH92:AR92"/>
    <mergeCell ref="AH93:AR95"/>
    <mergeCell ref="AW92:BG92"/>
    <mergeCell ref="AW93:BG95"/>
    <mergeCell ref="AS102:AS119"/>
    <mergeCell ref="AG103:AG119"/>
    <mergeCell ref="AH104:AR111"/>
    <mergeCell ref="AF108:AF112"/>
    <mergeCell ref="AH112:AR112"/>
    <mergeCell ref="AH113:AR113"/>
    <mergeCell ref="AF114:AF117"/>
    <mergeCell ref="AH114:AR119"/>
    <mergeCell ref="AW78:BG84"/>
    <mergeCell ref="AU84:AU88"/>
    <mergeCell ref="AU90:AU93"/>
    <mergeCell ref="AF72:AR72"/>
    <mergeCell ref="AG75:AR75"/>
    <mergeCell ref="AG100:AR102"/>
    <mergeCell ref="AH103:AR103"/>
    <mergeCell ref="AF98:AF100"/>
    <mergeCell ref="AF96:AR96"/>
    <mergeCell ref="AG99:AR99"/>
    <mergeCell ref="AG76:AR76"/>
    <mergeCell ref="AH78:AR84"/>
    <mergeCell ref="AF90:AF93"/>
    <mergeCell ref="AU96:BG96"/>
    <mergeCell ref="B120:N120"/>
    <mergeCell ref="C100:N100"/>
    <mergeCell ref="R100:AC102"/>
    <mergeCell ref="D102:N108"/>
    <mergeCell ref="S103:AC103"/>
    <mergeCell ref="S113:AC113"/>
    <mergeCell ref="S114:AC119"/>
    <mergeCell ref="Q120:AD120"/>
    <mergeCell ref="AD102:AD119"/>
    <mergeCell ref="D116:N116"/>
    <mergeCell ref="D117:N119"/>
    <mergeCell ref="B90:B93"/>
    <mergeCell ref="B96:N96"/>
    <mergeCell ref="Q96:AC96"/>
    <mergeCell ref="B98:B100"/>
    <mergeCell ref="S104:AC111"/>
    <mergeCell ref="AU120:BH120"/>
    <mergeCell ref="Q18:Q21"/>
    <mergeCell ref="S112:AC112"/>
    <mergeCell ref="B108:B112"/>
    <mergeCell ref="B114:B117"/>
    <mergeCell ref="D92:N92"/>
    <mergeCell ref="D93:N95"/>
    <mergeCell ref="S92:AC92"/>
    <mergeCell ref="S93:AC95"/>
    <mergeCell ref="Q90:Q93"/>
    <mergeCell ref="Q98:Q100"/>
    <mergeCell ref="R103:R119"/>
    <mergeCell ref="Q108:Q112"/>
    <mergeCell ref="Q114:Q117"/>
    <mergeCell ref="C99:N99"/>
    <mergeCell ref="R99:AC99"/>
    <mergeCell ref="R51:AC51"/>
    <mergeCell ref="S20:AC20"/>
    <mergeCell ref="S21:AC23"/>
    <mergeCell ref="Q48:AC48"/>
    <mergeCell ref="B48:N48"/>
    <mergeCell ref="B50:B52"/>
    <mergeCell ref="Q50:Q52"/>
    <mergeCell ref="B66:B69"/>
    <mergeCell ref="AH20:AR20"/>
    <mergeCell ref="AH21:AR23"/>
    <mergeCell ref="AV27:BG27"/>
    <mergeCell ref="AU18:AU21"/>
    <mergeCell ref="AH30:AR36"/>
    <mergeCell ref="AW30:BG36"/>
    <mergeCell ref="AF36:AF40"/>
    <mergeCell ref="AU36:AU40"/>
    <mergeCell ref="R27:AC27"/>
    <mergeCell ref="R28:AC28"/>
    <mergeCell ref="AV28:BG28"/>
    <mergeCell ref="AF26:AF28"/>
    <mergeCell ref="AU26:AU28"/>
    <mergeCell ref="AG28:AR28"/>
    <mergeCell ref="AU24:BG24"/>
    <mergeCell ref="AF18:AF21"/>
    <mergeCell ref="AW20:BG20"/>
    <mergeCell ref="AW21:BG23"/>
    <mergeCell ref="AF50:AF52"/>
    <mergeCell ref="C51:N51"/>
    <mergeCell ref="C52:N52"/>
    <mergeCell ref="D22:F22"/>
    <mergeCell ref="D23:F23"/>
    <mergeCell ref="B24:N24"/>
    <mergeCell ref="Q24:AC24"/>
    <mergeCell ref="AF24:AR24"/>
    <mergeCell ref="AG27:AR27"/>
    <mergeCell ref="AH44:AR44"/>
    <mergeCell ref="H22:J22"/>
    <mergeCell ref="L22:N22"/>
    <mergeCell ref="H23:J23"/>
    <mergeCell ref="L23:N23"/>
    <mergeCell ref="R52:AC52"/>
    <mergeCell ref="Q26:Q28"/>
    <mergeCell ref="S44:AC44"/>
    <mergeCell ref="S45:AC47"/>
    <mergeCell ref="S30:AC36"/>
    <mergeCell ref="Q36:Q40"/>
    <mergeCell ref="Q42:Q45"/>
    <mergeCell ref="AF66:AF69"/>
    <mergeCell ref="S78:AC84"/>
    <mergeCell ref="S54:AC60"/>
    <mergeCell ref="Q72:AC72"/>
    <mergeCell ref="AF74:AF76"/>
    <mergeCell ref="R75:AC75"/>
    <mergeCell ref="R76:AC76"/>
    <mergeCell ref="AF84:AF88"/>
    <mergeCell ref="B72:N72"/>
    <mergeCell ref="B74:B76"/>
    <mergeCell ref="C75:N75"/>
    <mergeCell ref="C76:N76"/>
    <mergeCell ref="D78:N84"/>
    <mergeCell ref="B84:B88"/>
    <mergeCell ref="Q60:Q64"/>
    <mergeCell ref="Q66:Q69"/>
    <mergeCell ref="Q74:Q76"/>
    <mergeCell ref="Q84:Q88"/>
    <mergeCell ref="D54:N60"/>
    <mergeCell ref="B60:B64"/>
    <mergeCell ref="AF60:AF64"/>
    <mergeCell ref="B2:B5"/>
    <mergeCell ref="D5:F5"/>
    <mergeCell ref="B6:B23"/>
    <mergeCell ref="D6:F6"/>
    <mergeCell ref="D8:F8"/>
    <mergeCell ref="D9:F9"/>
    <mergeCell ref="D10:F10"/>
    <mergeCell ref="D44:N44"/>
    <mergeCell ref="B26:B28"/>
    <mergeCell ref="B36:B40"/>
    <mergeCell ref="B42:B45"/>
    <mergeCell ref="H17:J17"/>
    <mergeCell ref="C27:N27"/>
    <mergeCell ref="C28:N28"/>
    <mergeCell ref="D30:N36"/>
    <mergeCell ref="L10:N10"/>
    <mergeCell ref="L7:N7"/>
    <mergeCell ref="H18:J21"/>
    <mergeCell ref="D18:F21"/>
    <mergeCell ref="H6:J6"/>
    <mergeCell ref="H7:J7"/>
    <mergeCell ref="D45:N47"/>
    <mergeCell ref="D11:F11"/>
    <mergeCell ref="D12:F16"/>
    <mergeCell ref="H12:J16"/>
    <mergeCell ref="L12:N16"/>
    <mergeCell ref="C3:N3"/>
    <mergeCell ref="C4:N4"/>
    <mergeCell ref="L5:N5"/>
    <mergeCell ref="H5:J5"/>
    <mergeCell ref="D17:F17"/>
    <mergeCell ref="L17:N17"/>
    <mergeCell ref="L18:N21"/>
    <mergeCell ref="D7:F7"/>
    <mergeCell ref="H8:J8"/>
    <mergeCell ref="H11:J11"/>
    <mergeCell ref="L11:N11"/>
    <mergeCell ref="L8:N8"/>
    <mergeCell ref="H9:J9"/>
    <mergeCell ref="L9:N9"/>
    <mergeCell ref="L6:N6"/>
    <mergeCell ref="H10:J10"/>
    <mergeCell ref="AG3:AR3"/>
    <mergeCell ref="AG4:AR4"/>
    <mergeCell ref="AH6:AR12"/>
    <mergeCell ref="AW6:BG12"/>
    <mergeCell ref="Q2:Q4"/>
    <mergeCell ref="AF2:AF4"/>
    <mergeCell ref="AU2:AU4"/>
    <mergeCell ref="R3:AC3"/>
    <mergeCell ref="AV3:BG3"/>
    <mergeCell ref="R4:AC4"/>
    <mergeCell ref="AV4:BG4"/>
    <mergeCell ref="Q12:Q16"/>
    <mergeCell ref="AF12:AF16"/>
    <mergeCell ref="AU12:AU16"/>
    <mergeCell ref="S6:AC12"/>
    <mergeCell ref="AW112:BG112"/>
    <mergeCell ref="AV103:AV119"/>
    <mergeCell ref="BH102:BH119"/>
    <mergeCell ref="AU98:AU100"/>
    <mergeCell ref="AV99:BG99"/>
    <mergeCell ref="AV100:BG102"/>
    <mergeCell ref="AW103:BG103"/>
    <mergeCell ref="AW104:BG111"/>
    <mergeCell ref="AU108:AU112"/>
    <mergeCell ref="AW113:BG113"/>
    <mergeCell ref="AU114:AU117"/>
    <mergeCell ref="AW114:BG119"/>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041"/>
  <sheetViews>
    <sheetView zoomScale="80" zoomScaleNormal="80" workbookViewId="0">
      <pane ySplit="1" topLeftCell="A128" activePane="bottomLeft" state="frozen"/>
      <selection pane="bottomLeft" activeCell="V160" sqref="V160"/>
    </sheetView>
  </sheetViews>
  <sheetFormatPr defaultColWidth="14.42578125" defaultRowHeight="15" customHeight="1" x14ac:dyDescent="0.2"/>
  <cols>
    <col min="1" max="2" width="15.140625" customWidth="1"/>
    <col min="3" max="3" width="24.42578125" customWidth="1"/>
    <col min="4" max="4" width="28.85546875" customWidth="1"/>
    <col min="5" max="9" width="3.5703125" customWidth="1"/>
    <col min="10" max="10" width="90.85546875" customWidth="1"/>
    <col min="11" max="12" width="7" customWidth="1"/>
    <col min="13" max="14" width="4.140625" customWidth="1"/>
    <col min="15" max="19" width="5.85546875" customWidth="1"/>
    <col min="20" max="20" width="9.140625" customWidth="1"/>
    <col min="21" max="24" width="41.5703125" customWidth="1"/>
    <col min="25" max="25" width="9.42578125" customWidth="1"/>
    <col min="26" max="26" width="9.140625" customWidth="1"/>
  </cols>
  <sheetData>
    <row r="1" spans="1:26" ht="12.75" customHeight="1" x14ac:dyDescent="0.2">
      <c r="A1" s="10" t="s">
        <v>258</v>
      </c>
      <c r="B1" s="10" t="s">
        <v>259</v>
      </c>
      <c r="C1" s="202" t="s">
        <v>260</v>
      </c>
      <c r="D1" s="10" t="s">
        <v>261</v>
      </c>
      <c r="E1" s="202" t="s">
        <v>201</v>
      </c>
      <c r="F1" s="202" t="s">
        <v>205</v>
      </c>
      <c r="G1" s="202" t="s">
        <v>203</v>
      </c>
      <c r="H1" s="202" t="s">
        <v>204</v>
      </c>
      <c r="I1" s="202" t="s">
        <v>202</v>
      </c>
      <c r="J1" s="10" t="s">
        <v>262</v>
      </c>
      <c r="K1" s="202" t="s">
        <v>263</v>
      </c>
      <c r="L1" s="10" t="s">
        <v>30</v>
      </c>
      <c r="M1" s="202" t="s">
        <v>264</v>
      </c>
      <c r="N1" s="202" t="s">
        <v>265</v>
      </c>
      <c r="O1" s="202" t="s">
        <v>196</v>
      </c>
      <c r="P1" s="202" t="s">
        <v>197</v>
      </c>
      <c r="Q1" s="202" t="s">
        <v>198</v>
      </c>
      <c r="R1" s="202" t="s">
        <v>199</v>
      </c>
      <c r="S1" s="202" t="s">
        <v>200</v>
      </c>
      <c r="T1" s="13"/>
      <c r="U1" s="202" t="s">
        <v>266</v>
      </c>
      <c r="V1" s="202" t="s">
        <v>267</v>
      </c>
      <c r="W1" s="202" t="s">
        <v>268</v>
      </c>
      <c r="X1" s="202" t="s">
        <v>269</v>
      </c>
      <c r="Y1" s="202" t="s">
        <v>270</v>
      </c>
      <c r="Z1" s="13"/>
    </row>
    <row r="2" spans="1:26" ht="12.75" customHeight="1" x14ac:dyDescent="0.2">
      <c r="A2" s="8" t="s">
        <v>41</v>
      </c>
      <c r="B2" s="8" t="str">
        <f t="shared" ref="B2:B24" si="0">A2&amp;COUNTIF($A$2:$A2,A2)</f>
        <v>Amazon1</v>
      </c>
      <c r="C2" s="274" t="str">
        <f>""</f>
        <v/>
      </c>
      <c r="D2" s="8" t="str">
        <f t="shared" ref="D2:D245" si="1">A2&amp;C2</f>
        <v>Amazon</v>
      </c>
      <c r="E2" s="197">
        <v>0</v>
      </c>
      <c r="F2" s="197">
        <v>0</v>
      </c>
      <c r="G2" s="197">
        <v>0</v>
      </c>
      <c r="H2" s="197">
        <v>0</v>
      </c>
      <c r="I2" s="197">
        <v>0</v>
      </c>
      <c r="J2" s="8">
        <f>IF(Roster!$K$25="Español",V2,(IF(Roster!$K$25="Deutsch",W2,(IF(Roster!$K$25="Français",X2,U2)))))</f>
        <v>0</v>
      </c>
      <c r="K2" s="216">
        <v>0</v>
      </c>
      <c r="L2" s="7">
        <f t="shared" ref="L2:L78" si="2">K2/1000</f>
        <v>0</v>
      </c>
      <c r="M2" s="216">
        <v>0</v>
      </c>
      <c r="N2" s="216">
        <v>0</v>
      </c>
      <c r="O2" s="216"/>
      <c r="P2" s="216"/>
      <c r="Q2" s="216"/>
      <c r="R2" s="216"/>
      <c r="S2" s="216"/>
      <c r="T2" s="13"/>
      <c r="U2" s="13">
        <v>0</v>
      </c>
      <c r="V2" s="13">
        <v>0</v>
      </c>
      <c r="W2" s="13"/>
      <c r="X2" s="13">
        <v>0</v>
      </c>
      <c r="Y2" s="13">
        <v>0</v>
      </c>
      <c r="Z2" s="13"/>
    </row>
    <row r="3" spans="1:26" ht="12.75" customHeight="1" x14ac:dyDescent="0.2">
      <c r="A3" s="8" t="s">
        <v>41</v>
      </c>
      <c r="B3" s="8" t="str">
        <f t="shared" si="0"/>
        <v>Amazon2</v>
      </c>
      <c r="C3" s="197" t="s">
        <v>271</v>
      </c>
      <c r="D3" s="8" t="str">
        <f t="shared" si="1"/>
        <v>AmazonLinewoman</v>
      </c>
      <c r="E3" s="197">
        <v>6</v>
      </c>
      <c r="F3" s="197">
        <v>3</v>
      </c>
      <c r="G3" s="197">
        <v>3</v>
      </c>
      <c r="H3" s="197">
        <v>4</v>
      </c>
      <c r="I3" s="197">
        <v>8</v>
      </c>
      <c r="J3" s="8" t="str">
        <f>IF(Roster!$K$25="Español",V3,(IF(Roster!$K$25="Deutsch",W3,(IF(Roster!$K$25="Français",X3,U3)))))</f>
        <v>Dodge</v>
      </c>
      <c r="K3" s="216">
        <v>50000</v>
      </c>
      <c r="L3" s="7">
        <f t="shared" si="2"/>
        <v>50</v>
      </c>
      <c r="M3" s="216">
        <v>16</v>
      </c>
      <c r="N3" s="216">
        <v>0</v>
      </c>
      <c r="O3" s="216" t="s">
        <v>199</v>
      </c>
      <c r="P3" s="216" t="s">
        <v>198</v>
      </c>
      <c r="Q3" s="216" t="s">
        <v>198</v>
      </c>
      <c r="R3" s="216">
        <v>0</v>
      </c>
      <c r="S3" s="216">
        <v>0</v>
      </c>
      <c r="T3" s="13" t="str">
        <f t="shared" ref="T3:T7" si="3">IF(AND(R3&lt;&gt;0,S3&lt;&gt;0),"FULL",(IF(AND(R3=0,S3=0),"PM",IF(R3=0,"P",(IF(S3=0,"M"))))))</f>
        <v>PM</v>
      </c>
      <c r="U3" s="13" t="s">
        <v>272</v>
      </c>
      <c r="V3" s="13" t="s">
        <v>273</v>
      </c>
      <c r="W3" s="13" t="s">
        <v>274</v>
      </c>
      <c r="X3" s="13" t="s">
        <v>275</v>
      </c>
      <c r="Y3" s="13"/>
      <c r="Z3" s="13"/>
    </row>
    <row r="4" spans="1:26" ht="12.75" customHeight="1" x14ac:dyDescent="0.2">
      <c r="A4" s="8" t="s">
        <v>41</v>
      </c>
      <c r="B4" s="8" t="str">
        <f t="shared" si="0"/>
        <v>Amazon3</v>
      </c>
      <c r="C4" s="197" t="s">
        <v>276</v>
      </c>
      <c r="D4" s="8" t="str">
        <f t="shared" si="1"/>
        <v>AmazonThrower</v>
      </c>
      <c r="E4" s="197">
        <v>6</v>
      </c>
      <c r="F4" s="197">
        <v>3</v>
      </c>
      <c r="G4" s="197">
        <v>3</v>
      </c>
      <c r="H4" s="197">
        <v>3</v>
      </c>
      <c r="I4" s="197">
        <v>8</v>
      </c>
      <c r="J4" s="8" t="str">
        <f>IF(Roster!$K$25="Español",V4,(IF(Roster!$K$25="Deutsch",W4,(IF(Roster!$K$25="Français",X4,U4)))))</f>
        <v>Dodge, Pass</v>
      </c>
      <c r="K4" s="216">
        <v>75000</v>
      </c>
      <c r="L4" s="7">
        <f t="shared" si="2"/>
        <v>75</v>
      </c>
      <c r="M4" s="216">
        <v>2</v>
      </c>
      <c r="N4" s="216">
        <v>0</v>
      </c>
      <c r="O4" s="216" t="s">
        <v>199</v>
      </c>
      <c r="P4" s="216" t="s">
        <v>198</v>
      </c>
      <c r="Q4" s="216" t="s">
        <v>198</v>
      </c>
      <c r="R4" s="216" t="s">
        <v>199</v>
      </c>
      <c r="S4" s="216">
        <v>0</v>
      </c>
      <c r="T4" s="13" t="str">
        <f t="shared" si="3"/>
        <v>M</v>
      </c>
      <c r="U4" s="13" t="s">
        <v>277</v>
      </c>
      <c r="V4" s="13" t="s">
        <v>278</v>
      </c>
      <c r="W4" s="13" t="s">
        <v>279</v>
      </c>
      <c r="X4" s="13" t="s">
        <v>280</v>
      </c>
      <c r="Y4" s="13"/>
      <c r="Z4" s="13"/>
    </row>
    <row r="5" spans="1:26" ht="12.75" customHeight="1" x14ac:dyDescent="0.2">
      <c r="A5" s="8" t="s">
        <v>41</v>
      </c>
      <c r="B5" s="8" t="str">
        <f t="shared" si="0"/>
        <v>Amazon4</v>
      </c>
      <c r="C5" s="197" t="s">
        <v>281</v>
      </c>
      <c r="D5" s="8" t="str">
        <f t="shared" si="1"/>
        <v>AmazonCatcher</v>
      </c>
      <c r="E5" s="197">
        <v>6</v>
      </c>
      <c r="F5" s="197">
        <v>3</v>
      </c>
      <c r="G5" s="197">
        <v>3</v>
      </c>
      <c r="H5" s="197">
        <v>5</v>
      </c>
      <c r="I5" s="197">
        <v>8</v>
      </c>
      <c r="J5" s="8" t="str">
        <f>IF(Roster!$K$25="Español",V5,(IF(Roster!$K$25="Deutsch",W5,(IF(Roster!$K$25="Français",X5,U5)))))</f>
        <v>Dodge, Catch</v>
      </c>
      <c r="K5" s="216">
        <v>75000</v>
      </c>
      <c r="L5" s="7">
        <f t="shared" si="2"/>
        <v>75</v>
      </c>
      <c r="M5" s="216">
        <v>2</v>
      </c>
      <c r="N5" s="216">
        <v>0</v>
      </c>
      <c r="O5" s="216" t="s">
        <v>199</v>
      </c>
      <c r="P5" s="216" t="s">
        <v>199</v>
      </c>
      <c r="Q5" s="216" t="s">
        <v>198</v>
      </c>
      <c r="R5" s="216">
        <v>0</v>
      </c>
      <c r="S5" s="216">
        <v>0</v>
      </c>
      <c r="T5" s="13" t="str">
        <f t="shared" si="3"/>
        <v>PM</v>
      </c>
      <c r="U5" s="13" t="s">
        <v>282</v>
      </c>
      <c r="V5" s="13" t="s">
        <v>283</v>
      </c>
      <c r="W5" s="13" t="s">
        <v>284</v>
      </c>
      <c r="X5" s="13" t="s">
        <v>285</v>
      </c>
      <c r="Y5" s="13"/>
      <c r="Z5" s="13"/>
    </row>
    <row r="6" spans="1:26" ht="12.75" customHeight="1" x14ac:dyDescent="0.2">
      <c r="A6" s="8" t="s">
        <v>41</v>
      </c>
      <c r="B6" s="8" t="str">
        <f t="shared" si="0"/>
        <v>Amazon5</v>
      </c>
      <c r="C6" s="197" t="s">
        <v>286</v>
      </c>
      <c r="D6" s="8" t="str">
        <f t="shared" si="1"/>
        <v>AmazonBlitzer</v>
      </c>
      <c r="E6" s="197">
        <v>6</v>
      </c>
      <c r="F6" s="197">
        <v>3</v>
      </c>
      <c r="G6" s="197">
        <v>3</v>
      </c>
      <c r="H6" s="197">
        <v>5</v>
      </c>
      <c r="I6" s="197">
        <v>8</v>
      </c>
      <c r="J6" s="8" t="str">
        <f>IF(Roster!$K$25="Español",V6,(IF(Roster!$K$25="Deutsch",W6,(IF(Roster!$K$25="Français",X6,U6)))))</f>
        <v>Dodge, Block</v>
      </c>
      <c r="K6" s="216">
        <v>90000</v>
      </c>
      <c r="L6" s="7">
        <f t="shared" si="2"/>
        <v>90</v>
      </c>
      <c r="M6" s="271">
        <v>4</v>
      </c>
      <c r="N6" s="271">
        <v>0</v>
      </c>
      <c r="O6" s="216" t="s">
        <v>199</v>
      </c>
      <c r="P6" s="216" t="s">
        <v>198</v>
      </c>
      <c r="Q6" s="216" t="s">
        <v>199</v>
      </c>
      <c r="R6" s="216">
        <v>0</v>
      </c>
      <c r="S6" s="216">
        <v>0</v>
      </c>
      <c r="T6" s="13" t="str">
        <f t="shared" si="3"/>
        <v>PM</v>
      </c>
      <c r="U6" s="13" t="s">
        <v>287</v>
      </c>
      <c r="V6" s="13" t="s">
        <v>288</v>
      </c>
      <c r="W6" s="13" t="s">
        <v>289</v>
      </c>
      <c r="X6" s="13" t="s">
        <v>290</v>
      </c>
      <c r="Y6" s="13"/>
      <c r="Z6" s="13"/>
    </row>
    <row r="7" spans="1:26" ht="12.75" customHeight="1" x14ac:dyDescent="0.2">
      <c r="A7" s="8" t="s">
        <v>41</v>
      </c>
      <c r="B7" s="8" t="str">
        <f t="shared" si="0"/>
        <v>Amazon6</v>
      </c>
      <c r="C7" s="197" t="s">
        <v>291</v>
      </c>
      <c r="D7" s="8" t="str">
        <f t="shared" si="1"/>
        <v>AmazonJourney Linewoman</v>
      </c>
      <c r="E7" s="197">
        <v>6</v>
      </c>
      <c r="F7" s="197">
        <v>3</v>
      </c>
      <c r="G7" s="197">
        <v>3</v>
      </c>
      <c r="H7" s="197">
        <v>4</v>
      </c>
      <c r="I7" s="197">
        <v>8</v>
      </c>
      <c r="J7" s="8" t="str">
        <f>IF(Roster!$K$25="Español",V7,(IF(Roster!$K$25="Deutsch",W7,(IF(Roster!$K$25="Français",X7,U7)))))</f>
        <v>Loner (4+), Dodge</v>
      </c>
      <c r="K7" s="216">
        <v>0</v>
      </c>
      <c r="L7" s="7">
        <v>50</v>
      </c>
      <c r="M7" s="197">
        <v>11</v>
      </c>
      <c r="N7" s="197">
        <v>0</v>
      </c>
      <c r="O7" s="216" t="s">
        <v>199</v>
      </c>
      <c r="P7" s="216" t="s">
        <v>199</v>
      </c>
      <c r="Q7" s="216" t="s">
        <v>198</v>
      </c>
      <c r="R7" s="216">
        <v>0</v>
      </c>
      <c r="S7" s="216">
        <v>0</v>
      </c>
      <c r="T7" s="13" t="str">
        <f t="shared" si="3"/>
        <v>PM</v>
      </c>
      <c r="U7" s="13" t="s">
        <v>292</v>
      </c>
      <c r="V7" s="13" t="s">
        <v>293</v>
      </c>
      <c r="W7" s="13" t="s">
        <v>294</v>
      </c>
      <c r="X7" s="13" t="s">
        <v>295</v>
      </c>
      <c r="Y7" s="13"/>
      <c r="Z7" s="13"/>
    </row>
    <row r="8" spans="1:26" ht="12.75" customHeight="1" x14ac:dyDescent="0.2">
      <c r="A8" s="8" t="s">
        <v>1429</v>
      </c>
      <c r="B8" s="8" t="str">
        <f t="shared" si="0"/>
        <v>Amazon GW1</v>
      </c>
      <c r="C8" s="8" t="str">
        <f>""</f>
        <v/>
      </c>
      <c r="D8" s="8" t="str">
        <f t="shared" ref="D8:D13" si="4">A8&amp;C8</f>
        <v>Amazon GW</v>
      </c>
      <c r="E8" s="8">
        <v>0</v>
      </c>
      <c r="F8" s="8">
        <v>0</v>
      </c>
      <c r="G8" s="8">
        <v>0</v>
      </c>
      <c r="H8" s="8">
        <v>0</v>
      </c>
      <c r="I8" s="8">
        <v>0</v>
      </c>
      <c r="J8" s="8">
        <f>IF(Roster!$K$25="Español",V8,(IF(Roster!$K$25="Deutsch",W8,(IF(Roster!$K$25="Français",X8,U8)))))</f>
        <v>0</v>
      </c>
      <c r="K8" s="7">
        <v>0</v>
      </c>
      <c r="L8" s="7">
        <f t="shared" si="2"/>
        <v>0</v>
      </c>
      <c r="M8" s="7">
        <v>0</v>
      </c>
      <c r="N8" s="7">
        <v>0</v>
      </c>
      <c r="O8" s="7"/>
      <c r="P8" s="7"/>
      <c r="Q8" s="7"/>
      <c r="R8" s="7"/>
      <c r="S8" s="7"/>
      <c r="T8" s="13"/>
      <c r="U8" s="13">
        <v>0</v>
      </c>
      <c r="V8" s="13">
        <v>0</v>
      </c>
      <c r="W8" s="13"/>
      <c r="X8" s="13">
        <v>0</v>
      </c>
      <c r="Y8" s="13">
        <v>0</v>
      </c>
      <c r="Z8" s="13"/>
    </row>
    <row r="9" spans="1:26" ht="12.75" customHeight="1" x14ac:dyDescent="0.2">
      <c r="A9" s="8" t="s">
        <v>1429</v>
      </c>
      <c r="B9" s="8" t="str">
        <f t="shared" si="0"/>
        <v>Amazon GW2</v>
      </c>
      <c r="C9" s="8" t="s">
        <v>1433</v>
      </c>
      <c r="D9" s="8" t="str">
        <f t="shared" si="4"/>
        <v>Amazon GWEagle Warrior Linewomen</v>
      </c>
      <c r="E9" s="8">
        <v>6</v>
      </c>
      <c r="F9" s="8">
        <v>3</v>
      </c>
      <c r="G9" s="8">
        <v>3</v>
      </c>
      <c r="H9" s="8">
        <v>4</v>
      </c>
      <c r="I9" s="8">
        <v>8</v>
      </c>
      <c r="J9" s="8" t="str">
        <f>IF(Roster!$K$25="Español",V9,(IF(Roster!$K$25="Deutsch",W9,(IF(Roster!$K$25="Français",X9,U9)))))</f>
        <v>Dodge</v>
      </c>
      <c r="K9" s="7">
        <v>50000</v>
      </c>
      <c r="L9" s="7">
        <f t="shared" si="2"/>
        <v>50</v>
      </c>
      <c r="M9" s="8">
        <v>16</v>
      </c>
      <c r="N9" s="8">
        <v>0</v>
      </c>
      <c r="O9" s="7" t="s">
        <v>199</v>
      </c>
      <c r="P9" s="7" t="s">
        <v>198</v>
      </c>
      <c r="Q9" s="7" t="s">
        <v>198</v>
      </c>
      <c r="R9" s="216">
        <v>0</v>
      </c>
      <c r="S9" s="7">
        <v>0</v>
      </c>
      <c r="T9" s="13" t="s">
        <v>226</v>
      </c>
      <c r="U9" s="13" t="s">
        <v>272</v>
      </c>
      <c r="V9" s="13" t="s">
        <v>273</v>
      </c>
      <c r="W9" s="13" t="s">
        <v>274</v>
      </c>
      <c r="X9" s="13" t="s">
        <v>275</v>
      </c>
      <c r="Y9" s="13"/>
      <c r="Z9" s="13"/>
    </row>
    <row r="10" spans="1:26" ht="12.75" customHeight="1" x14ac:dyDescent="0.2">
      <c r="A10" s="8" t="s">
        <v>1429</v>
      </c>
      <c r="B10" s="8" t="str">
        <f t="shared" si="0"/>
        <v>Amazon GW3</v>
      </c>
      <c r="C10" s="8" t="s">
        <v>1434</v>
      </c>
      <c r="D10" s="8" t="str">
        <f t="shared" si="4"/>
        <v>Amazon GWPython Warrior Throwers</v>
      </c>
      <c r="E10" s="8">
        <v>6</v>
      </c>
      <c r="F10" s="8">
        <v>3</v>
      </c>
      <c r="G10" s="8">
        <v>3</v>
      </c>
      <c r="H10" s="8">
        <v>3</v>
      </c>
      <c r="I10" s="8">
        <v>8</v>
      </c>
      <c r="J10" s="8" t="str">
        <f>IF(Roster!$K$25="Español",V10,(IF(Roster!$K$25="Deutsch",W10,(IF(Roster!$K$25="Français",X10,U10)))))</f>
        <v>Dodge, On the Ball, Pass, Safe Pass</v>
      </c>
      <c r="K10" s="7">
        <v>80000</v>
      </c>
      <c r="L10" s="7">
        <f t="shared" si="2"/>
        <v>80</v>
      </c>
      <c r="M10" s="8">
        <v>2</v>
      </c>
      <c r="N10" s="8">
        <v>0</v>
      </c>
      <c r="O10" s="7" t="s">
        <v>199</v>
      </c>
      <c r="P10" s="7" t="s">
        <v>198</v>
      </c>
      <c r="Q10" s="7" t="s">
        <v>198</v>
      </c>
      <c r="R10" s="216" t="s">
        <v>199</v>
      </c>
      <c r="S10" s="7">
        <v>0</v>
      </c>
      <c r="T10" s="13" t="s">
        <v>200</v>
      </c>
      <c r="U10" s="13" t="s">
        <v>1435</v>
      </c>
      <c r="V10" s="13" t="s">
        <v>1441</v>
      </c>
      <c r="W10" s="13" t="s">
        <v>1442</v>
      </c>
      <c r="X10" s="13" t="s">
        <v>1443</v>
      </c>
      <c r="Y10" s="13"/>
      <c r="Z10" s="13"/>
    </row>
    <row r="11" spans="1:26" ht="12.75" customHeight="1" x14ac:dyDescent="0.2">
      <c r="A11" s="8" t="s">
        <v>1429</v>
      </c>
      <c r="B11" s="8" t="str">
        <f t="shared" si="0"/>
        <v>Amazon GW4</v>
      </c>
      <c r="C11" s="8" t="s">
        <v>1436</v>
      </c>
      <c r="D11" s="8" t="str">
        <f t="shared" si="4"/>
        <v>Amazon GWPiranha Warrior Blitzers</v>
      </c>
      <c r="E11" s="8">
        <v>7</v>
      </c>
      <c r="F11" s="8">
        <v>3</v>
      </c>
      <c r="G11" s="8">
        <v>3</v>
      </c>
      <c r="H11" s="8">
        <v>5</v>
      </c>
      <c r="I11" s="8">
        <v>8</v>
      </c>
      <c r="J11" s="8" t="str">
        <f>IF(Roster!$K$25="Español",V11,(IF(Roster!$K$25="Deutsch",W11,(IF(Roster!$K$25="Français",X11,U11)))))</f>
        <v>Dodge, Hit and Run, Jump Up</v>
      </c>
      <c r="K11" s="7">
        <v>90000</v>
      </c>
      <c r="L11" s="7">
        <f t="shared" si="2"/>
        <v>90</v>
      </c>
      <c r="M11" s="8">
        <v>2</v>
      </c>
      <c r="N11" s="8">
        <v>0</v>
      </c>
      <c r="O11" s="7" t="s">
        <v>199</v>
      </c>
      <c r="P11" s="7" t="s">
        <v>199</v>
      </c>
      <c r="Q11" s="7" t="s">
        <v>198</v>
      </c>
      <c r="R11" s="216">
        <v>0</v>
      </c>
      <c r="S11" s="7">
        <v>0</v>
      </c>
      <c r="T11" s="13" t="s">
        <v>226</v>
      </c>
      <c r="U11" s="13" t="s">
        <v>1437</v>
      </c>
      <c r="V11" s="13" t="s">
        <v>1444</v>
      </c>
      <c r="W11" s="13" t="s">
        <v>1445</v>
      </c>
      <c r="X11" s="13" t="s">
        <v>1446</v>
      </c>
      <c r="Y11" s="13"/>
      <c r="Z11" s="13"/>
    </row>
    <row r="12" spans="1:26" ht="12.75" customHeight="1" x14ac:dyDescent="0.2">
      <c r="A12" s="8" t="s">
        <v>1429</v>
      </c>
      <c r="B12" s="8" t="str">
        <f t="shared" si="0"/>
        <v>Amazon GW5</v>
      </c>
      <c r="C12" s="8" t="s">
        <v>1438</v>
      </c>
      <c r="D12" s="8" t="str">
        <f t="shared" si="4"/>
        <v>Amazon GWJaguar Warrior Blockers</v>
      </c>
      <c r="E12" s="8">
        <v>6</v>
      </c>
      <c r="F12" s="8">
        <v>4</v>
      </c>
      <c r="G12" s="8">
        <v>3</v>
      </c>
      <c r="H12" s="8">
        <v>5</v>
      </c>
      <c r="I12" s="8">
        <v>9</v>
      </c>
      <c r="J12" s="8" t="str">
        <f>IF(Roster!$K$25="Español",V12,(IF(Roster!$K$25="Deutsch",W12,(IF(Roster!$K$25="Français",X12,U12)))))</f>
        <v>Defensive, Dodge</v>
      </c>
      <c r="K12" s="7">
        <v>110000</v>
      </c>
      <c r="L12" s="7">
        <f t="shared" si="2"/>
        <v>110</v>
      </c>
      <c r="M12" s="8">
        <v>2</v>
      </c>
      <c r="N12" s="8">
        <v>0</v>
      </c>
      <c r="O12" s="7" t="s">
        <v>199</v>
      </c>
      <c r="P12" s="7" t="s">
        <v>198</v>
      </c>
      <c r="Q12" s="7" t="s">
        <v>199</v>
      </c>
      <c r="R12" s="216">
        <v>0</v>
      </c>
      <c r="S12" s="7">
        <v>0</v>
      </c>
      <c r="T12" s="13" t="s">
        <v>226</v>
      </c>
      <c r="U12" s="13" t="s">
        <v>1440</v>
      </c>
      <c r="V12" s="13" t="s">
        <v>1447</v>
      </c>
      <c r="W12" s="13" t="s">
        <v>1448</v>
      </c>
      <c r="X12" s="13" t="s">
        <v>1449</v>
      </c>
      <c r="Y12" s="13"/>
      <c r="Z12" s="13"/>
    </row>
    <row r="13" spans="1:26" ht="12.75" customHeight="1" x14ac:dyDescent="0.2">
      <c r="A13" s="8" t="s">
        <v>1429</v>
      </c>
      <c r="B13" s="8" t="str">
        <f t="shared" si="0"/>
        <v>Amazon GW6</v>
      </c>
      <c r="C13" s="8" t="s">
        <v>1439</v>
      </c>
      <c r="D13" s="8" t="str">
        <f t="shared" si="4"/>
        <v>Amazon GWJourney Eagle Warrior Linewomen</v>
      </c>
      <c r="E13" s="8">
        <v>6</v>
      </c>
      <c r="F13" s="8">
        <v>3</v>
      </c>
      <c r="G13" s="8">
        <v>3</v>
      </c>
      <c r="H13" s="8">
        <v>4</v>
      </c>
      <c r="I13" s="8">
        <v>8</v>
      </c>
      <c r="J13" s="8" t="str">
        <f>IF(Roster!$K$25="Español",V13,(IF(Roster!$K$25="Deutsch",W13,(IF(Roster!$K$25="Français",X13,U13)))))</f>
        <v>Loner (4+), Dodge</v>
      </c>
      <c r="K13" s="7">
        <v>0</v>
      </c>
      <c r="L13" s="7">
        <v>50</v>
      </c>
      <c r="M13" s="8">
        <v>16</v>
      </c>
      <c r="N13" s="8">
        <v>0</v>
      </c>
      <c r="O13" s="7" t="s">
        <v>199</v>
      </c>
      <c r="P13" s="7" t="s">
        <v>198</v>
      </c>
      <c r="Q13" s="7" t="s">
        <v>198</v>
      </c>
      <c r="R13" s="216">
        <v>0</v>
      </c>
      <c r="S13" s="7">
        <v>0</v>
      </c>
      <c r="T13" s="13" t="s">
        <v>226</v>
      </c>
      <c r="U13" s="13" t="s">
        <v>292</v>
      </c>
      <c r="V13" s="13" t="s">
        <v>293</v>
      </c>
      <c r="W13" s="13" t="s">
        <v>294</v>
      </c>
      <c r="X13" s="13" t="s">
        <v>295</v>
      </c>
      <c r="Y13" s="13"/>
      <c r="Z13" s="13"/>
    </row>
    <row r="14" spans="1:26" ht="12.75" customHeight="1" x14ac:dyDescent="0.2">
      <c r="A14" s="8" t="s">
        <v>46</v>
      </c>
      <c r="B14" s="8" t="str">
        <f t="shared" si="0"/>
        <v>Black Orc1</v>
      </c>
      <c r="C14" s="197" t="str">
        <f>""</f>
        <v/>
      </c>
      <c r="D14" s="8" t="str">
        <f t="shared" si="1"/>
        <v>Black Orc</v>
      </c>
      <c r="E14" s="197">
        <v>0</v>
      </c>
      <c r="F14" s="197">
        <v>0</v>
      </c>
      <c r="G14" s="197">
        <v>0</v>
      </c>
      <c r="H14" s="197">
        <v>0</v>
      </c>
      <c r="I14" s="197">
        <v>0</v>
      </c>
      <c r="J14" s="8">
        <f>IF(Roster!$K$25="Español",V14,(IF(Roster!$K$25="Deutsch",W14,(IF(Roster!$K$25="Français",X14,U14)))))</f>
        <v>0</v>
      </c>
      <c r="K14" s="216">
        <v>0</v>
      </c>
      <c r="L14" s="7">
        <f t="shared" si="2"/>
        <v>0</v>
      </c>
      <c r="M14" s="216">
        <v>0</v>
      </c>
      <c r="N14" s="216">
        <v>0</v>
      </c>
      <c r="O14" s="216"/>
      <c r="P14" s="216"/>
      <c r="Q14" s="216"/>
      <c r="R14" s="216"/>
      <c r="S14" s="216"/>
      <c r="T14" s="13"/>
      <c r="U14" s="13">
        <v>0</v>
      </c>
      <c r="V14" s="13">
        <v>0</v>
      </c>
      <c r="W14" s="13">
        <v>0</v>
      </c>
      <c r="X14" s="13">
        <v>0</v>
      </c>
      <c r="Y14" s="13">
        <v>0</v>
      </c>
      <c r="Z14" s="13"/>
    </row>
    <row r="15" spans="1:26" ht="12.75" customHeight="1" x14ac:dyDescent="0.2">
      <c r="A15" s="8" t="s">
        <v>46</v>
      </c>
      <c r="B15" s="8" t="str">
        <f t="shared" si="0"/>
        <v>Black Orc2</v>
      </c>
      <c r="C15" s="197" t="s">
        <v>33</v>
      </c>
      <c r="D15" s="8" t="str">
        <f t="shared" si="1"/>
        <v>Black OrcGoblin Bruiser</v>
      </c>
      <c r="E15" s="197">
        <v>6</v>
      </c>
      <c r="F15" s="197">
        <v>2</v>
      </c>
      <c r="G15" s="197">
        <v>3</v>
      </c>
      <c r="H15" s="197">
        <v>4</v>
      </c>
      <c r="I15" s="197">
        <v>8</v>
      </c>
      <c r="J15" s="8" t="str">
        <f>IF(Roster!$K$25="Español",V15,(IF(Roster!$K$25="Deutsch",W15,(IF(Roster!$K$25="Français",X15,U15)))))</f>
        <v>Dodge, Right Stuff, Stunty, Thick Skull</v>
      </c>
      <c r="K15" s="216">
        <v>45000</v>
      </c>
      <c r="L15" s="7">
        <f t="shared" si="2"/>
        <v>45</v>
      </c>
      <c r="M15" s="216">
        <v>12</v>
      </c>
      <c r="N15" s="216">
        <v>0</v>
      </c>
      <c r="O15" s="216" t="s">
        <v>198</v>
      </c>
      <c r="P15" s="216" t="s">
        <v>199</v>
      </c>
      <c r="Q15" s="216" t="s">
        <v>198</v>
      </c>
      <c r="R15" s="216" t="s">
        <v>198</v>
      </c>
      <c r="S15" s="216">
        <v>0</v>
      </c>
      <c r="T15" s="13" t="str">
        <f t="shared" ref="T15:T18" si="5">IF(AND(R15&lt;&gt;0,S15&lt;&gt;0),"FULL",(IF(AND(R15=0,S15=0),"PM",IF(R15=0,"P",(IF(S15=0,"M"))))))</f>
        <v>M</v>
      </c>
      <c r="U15" s="13" t="s">
        <v>296</v>
      </c>
      <c r="V15" s="13" t="s">
        <v>297</v>
      </c>
      <c r="W15" s="13" t="s">
        <v>298</v>
      </c>
      <c r="X15" s="13" t="s">
        <v>299</v>
      </c>
      <c r="Y15" s="13"/>
      <c r="Z15" s="13"/>
    </row>
    <row r="16" spans="1:26" ht="12.75" customHeight="1" x14ac:dyDescent="0.2">
      <c r="A16" s="8" t="s">
        <v>46</v>
      </c>
      <c r="B16" s="8" t="str">
        <f t="shared" si="0"/>
        <v>Black Orc3</v>
      </c>
      <c r="C16" s="197" t="s">
        <v>46</v>
      </c>
      <c r="D16" s="8" t="str">
        <f t="shared" si="1"/>
        <v>Black OrcBlack Orc</v>
      </c>
      <c r="E16" s="197">
        <v>4</v>
      </c>
      <c r="F16" s="197">
        <v>4</v>
      </c>
      <c r="G16" s="197">
        <v>4</v>
      </c>
      <c r="H16" s="197">
        <v>5</v>
      </c>
      <c r="I16" s="197">
        <v>10</v>
      </c>
      <c r="J16" s="8" t="str">
        <f>IF(Roster!$K$25="Español",V16,(IF(Roster!$K$25="Deutsch",W16,(IF(Roster!$K$25="Français",X16,U16)))))</f>
        <v>Brawler, Grab</v>
      </c>
      <c r="K16" s="216">
        <v>90000</v>
      </c>
      <c r="L16" s="7">
        <f t="shared" si="2"/>
        <v>90</v>
      </c>
      <c r="M16" s="216">
        <v>6</v>
      </c>
      <c r="N16" s="216">
        <v>0</v>
      </c>
      <c r="O16" s="216" t="s">
        <v>199</v>
      </c>
      <c r="P16" s="216" t="s">
        <v>198</v>
      </c>
      <c r="Q16" s="216" t="s">
        <v>199</v>
      </c>
      <c r="R16" s="216" t="s">
        <v>198</v>
      </c>
      <c r="S16" s="216">
        <v>0</v>
      </c>
      <c r="T16" s="13" t="str">
        <f t="shared" si="5"/>
        <v>M</v>
      </c>
      <c r="U16" s="13" t="s">
        <v>300</v>
      </c>
      <c r="V16" s="13" t="s">
        <v>301</v>
      </c>
      <c r="W16" s="13" t="s">
        <v>302</v>
      </c>
      <c r="X16" s="13" t="s">
        <v>303</v>
      </c>
      <c r="Y16" s="13"/>
      <c r="Z16" s="13"/>
    </row>
    <row r="17" spans="1:27" ht="12.75" customHeight="1" x14ac:dyDescent="0.2">
      <c r="A17" s="8" t="s">
        <v>46</v>
      </c>
      <c r="B17" s="8" t="str">
        <f t="shared" si="0"/>
        <v>Black Orc4</v>
      </c>
      <c r="C17" s="197" t="s">
        <v>304</v>
      </c>
      <c r="D17" s="8" t="str">
        <f t="shared" si="1"/>
        <v>Black OrcTrained Troll</v>
      </c>
      <c r="E17" s="197">
        <v>4</v>
      </c>
      <c r="F17" s="197">
        <v>5</v>
      </c>
      <c r="G17" s="197">
        <v>5</v>
      </c>
      <c r="H17" s="197">
        <v>5</v>
      </c>
      <c r="I17" s="197">
        <v>10</v>
      </c>
      <c r="J17" s="8" t="str">
        <f>IF(Roster!$K$25="Español",V17,(IF(Roster!$K$25="Deutsch",W17,(IF(Roster!$K$25="Français",X17,U17)))))</f>
        <v>Always Hungry, Loner (3+), Mighty Blow (+1), Projectile Vomit, Really Stupid, Regeneration, Throw Team-mate</v>
      </c>
      <c r="K17" s="216">
        <v>115000</v>
      </c>
      <c r="L17" s="7">
        <f t="shared" si="2"/>
        <v>115</v>
      </c>
      <c r="M17" s="216">
        <v>1</v>
      </c>
      <c r="N17" s="216">
        <v>1</v>
      </c>
      <c r="O17" s="216" t="s">
        <v>198</v>
      </c>
      <c r="P17" s="216" t="s">
        <v>198</v>
      </c>
      <c r="Q17" s="216" t="s">
        <v>199</v>
      </c>
      <c r="R17" s="216" t="s">
        <v>198</v>
      </c>
      <c r="S17" s="216">
        <v>0</v>
      </c>
      <c r="T17" s="13" t="str">
        <f t="shared" si="5"/>
        <v>M</v>
      </c>
      <c r="U17" s="13" t="s">
        <v>305</v>
      </c>
      <c r="V17" s="13" t="s">
        <v>306</v>
      </c>
      <c r="W17" s="13" t="s">
        <v>307</v>
      </c>
      <c r="X17" s="13" t="s">
        <v>308</v>
      </c>
      <c r="Y17" s="13"/>
      <c r="Z17" s="13"/>
    </row>
    <row r="18" spans="1:27" ht="12.75" customHeight="1" x14ac:dyDescent="0.2">
      <c r="A18" s="8" t="s">
        <v>46</v>
      </c>
      <c r="B18" s="8" t="str">
        <f t="shared" si="0"/>
        <v>Black Orc5</v>
      </c>
      <c r="C18" s="197" t="s">
        <v>309</v>
      </c>
      <c r="D18" s="8" t="str">
        <f t="shared" si="1"/>
        <v>Black OrcJourney Goblin</v>
      </c>
      <c r="E18" s="197">
        <v>6</v>
      </c>
      <c r="F18" s="197">
        <v>2</v>
      </c>
      <c r="G18" s="197">
        <v>3</v>
      </c>
      <c r="H18" s="197">
        <v>4</v>
      </c>
      <c r="I18" s="197">
        <v>8</v>
      </c>
      <c r="J18" s="8" t="str">
        <f>IF(Roster!$K$25="Español",V18,(IF(Roster!$K$25="Deutsch",W18,(IF(Roster!$K$25="Français",X18,U18)))))</f>
        <v>Loner (4+), Dodge, Right Stuff, Stunty, Thick Skull</v>
      </c>
      <c r="K18" s="216">
        <v>0</v>
      </c>
      <c r="L18" s="7">
        <v>45</v>
      </c>
      <c r="M18" s="216">
        <v>11</v>
      </c>
      <c r="N18" s="216">
        <v>0</v>
      </c>
      <c r="O18" s="216" t="s">
        <v>198</v>
      </c>
      <c r="P18" s="216" t="s">
        <v>199</v>
      </c>
      <c r="Q18" s="216" t="s">
        <v>198</v>
      </c>
      <c r="R18" s="216" t="s">
        <v>198</v>
      </c>
      <c r="S18" s="216">
        <v>0</v>
      </c>
      <c r="T18" s="13" t="str">
        <f t="shared" si="5"/>
        <v>M</v>
      </c>
      <c r="U18" s="13" t="s">
        <v>310</v>
      </c>
      <c r="V18" s="13" t="s">
        <v>311</v>
      </c>
      <c r="W18" s="13" t="s">
        <v>312</v>
      </c>
      <c r="X18" s="13" t="s">
        <v>313</v>
      </c>
      <c r="Y18" s="13"/>
      <c r="Z18" s="13"/>
    </row>
    <row r="19" spans="1:27" ht="12.75" customHeight="1" x14ac:dyDescent="0.2">
      <c r="A19" s="8" t="s">
        <v>1744</v>
      </c>
      <c r="B19" s="197" t="str">
        <f t="shared" si="0"/>
        <v>Bretonnian1</v>
      </c>
      <c r="C19" s="197" t="str">
        <f>""</f>
        <v/>
      </c>
      <c r="D19" s="197" t="str">
        <f t="shared" si="1"/>
        <v>Bretonnian</v>
      </c>
      <c r="E19" s="197">
        <v>0</v>
      </c>
      <c r="F19" s="197">
        <v>0</v>
      </c>
      <c r="G19" s="197">
        <v>0</v>
      </c>
      <c r="H19" s="197">
        <v>0</v>
      </c>
      <c r="I19" s="197">
        <v>0</v>
      </c>
      <c r="J19" s="8">
        <f>IF(Roster!$K$25="Español",V19,(IF(Roster!$K$25="Deutsch",W19,(IF(Roster!$K$25="Français",X19,U19)))))</f>
        <v>0</v>
      </c>
      <c r="K19" s="216">
        <v>0</v>
      </c>
      <c r="L19" s="216">
        <f t="shared" ref="L19:L22" si="6">K19/1000</f>
        <v>0</v>
      </c>
      <c r="M19" s="216">
        <v>0</v>
      </c>
      <c r="N19" s="216">
        <v>0</v>
      </c>
      <c r="O19" s="216"/>
      <c r="P19" s="216"/>
      <c r="Q19" s="216"/>
      <c r="R19" s="216"/>
      <c r="S19" s="216"/>
      <c r="T19" s="13"/>
      <c r="U19" s="13">
        <v>0</v>
      </c>
      <c r="V19" s="13">
        <v>0</v>
      </c>
      <c r="W19" s="13">
        <v>0</v>
      </c>
      <c r="X19" s="13">
        <v>0</v>
      </c>
      <c r="Y19" s="13">
        <v>0</v>
      </c>
      <c r="Z19" s="13"/>
    </row>
    <row r="20" spans="1:27" ht="12.75" customHeight="1" x14ac:dyDescent="0.2">
      <c r="A20" s="8" t="s">
        <v>1744</v>
      </c>
      <c r="B20" s="197" t="str">
        <f t="shared" si="0"/>
        <v>Bretonnian2</v>
      </c>
      <c r="C20" s="197" t="s">
        <v>1745</v>
      </c>
      <c r="D20" s="197" t="str">
        <f t="shared" si="1"/>
        <v>BretonnianLinemen</v>
      </c>
      <c r="E20" s="197">
        <v>6</v>
      </c>
      <c r="F20" s="197">
        <v>3</v>
      </c>
      <c r="G20" s="197">
        <v>4</v>
      </c>
      <c r="H20" s="197">
        <v>4</v>
      </c>
      <c r="I20" s="197">
        <v>8</v>
      </c>
      <c r="J20" s="8" t="str">
        <f>IF(Roster!$K$25="Español",V20,(IF(Roster!$K$25="Deutsch",W20,(IF(Roster!$K$25="Français",X20,U20)))))</f>
        <v>Fend</v>
      </c>
      <c r="K20" s="216">
        <v>45000</v>
      </c>
      <c r="L20" s="216">
        <f t="shared" si="6"/>
        <v>45</v>
      </c>
      <c r="M20" s="216">
        <v>16</v>
      </c>
      <c r="N20" s="216">
        <v>0</v>
      </c>
      <c r="O20" s="216" t="s">
        <v>199</v>
      </c>
      <c r="P20" s="216" t="s">
        <v>198</v>
      </c>
      <c r="Q20" s="216" t="s">
        <v>198</v>
      </c>
      <c r="R20" s="216">
        <v>0</v>
      </c>
      <c r="S20" s="216">
        <v>0</v>
      </c>
      <c r="T20" s="13" t="s">
        <v>226</v>
      </c>
      <c r="U20" s="13" t="s">
        <v>523</v>
      </c>
      <c r="V20" s="13" t="s">
        <v>524</v>
      </c>
      <c r="W20" s="13" t="s">
        <v>525</v>
      </c>
      <c r="X20" s="13" t="s">
        <v>526</v>
      </c>
      <c r="Y20" s="13"/>
      <c r="Z20" s="13"/>
    </row>
    <row r="21" spans="1:27" ht="12.75" customHeight="1" x14ac:dyDescent="0.2">
      <c r="A21" s="8" t="s">
        <v>1744</v>
      </c>
      <c r="B21" s="197" t="str">
        <f t="shared" si="0"/>
        <v>Bretonnian3</v>
      </c>
      <c r="C21" s="197" t="s">
        <v>1746</v>
      </c>
      <c r="D21" s="197" t="str">
        <f t="shared" si="1"/>
        <v>BretonnianYeomen</v>
      </c>
      <c r="E21" s="197">
        <v>6</v>
      </c>
      <c r="F21" s="197">
        <v>3</v>
      </c>
      <c r="G21" s="197">
        <v>3</v>
      </c>
      <c r="H21" s="197">
        <v>5</v>
      </c>
      <c r="I21" s="197">
        <v>9</v>
      </c>
      <c r="J21" s="8" t="str">
        <f>IF(Roster!$K$25="Español",V21,(IF(Roster!$K$25="Deutsch",W21,(IF(Roster!$K$25="Français",X21,U21)))))</f>
        <v>Wrestle</v>
      </c>
      <c r="K21" s="216">
        <v>70000</v>
      </c>
      <c r="L21" s="216">
        <f t="shared" si="6"/>
        <v>70</v>
      </c>
      <c r="M21" s="216">
        <v>4</v>
      </c>
      <c r="N21" s="216">
        <v>0</v>
      </c>
      <c r="O21" s="216" t="s">
        <v>199</v>
      </c>
      <c r="P21" s="216" t="s">
        <v>198</v>
      </c>
      <c r="Q21" s="216" t="s">
        <v>199</v>
      </c>
      <c r="R21" s="216">
        <v>0</v>
      </c>
      <c r="S21" s="216">
        <v>0</v>
      </c>
      <c r="T21" s="13" t="s">
        <v>226</v>
      </c>
      <c r="U21" s="13" t="s">
        <v>1747</v>
      </c>
      <c r="V21" s="13" t="s">
        <v>1748</v>
      </c>
      <c r="W21" s="13" t="s">
        <v>1749</v>
      </c>
      <c r="X21" s="13" t="s">
        <v>1750</v>
      </c>
      <c r="Y21" s="13"/>
      <c r="Z21" s="13"/>
    </row>
    <row r="22" spans="1:27" ht="12.75" customHeight="1" x14ac:dyDescent="0.2">
      <c r="A22" s="8" t="s">
        <v>1744</v>
      </c>
      <c r="B22" s="197" t="str">
        <f t="shared" si="0"/>
        <v>Bretonnian4</v>
      </c>
      <c r="C22" s="197" t="s">
        <v>1751</v>
      </c>
      <c r="D22" s="197" t="str">
        <f t="shared" si="1"/>
        <v>BretonnianKnights</v>
      </c>
      <c r="E22" s="197">
        <v>7</v>
      </c>
      <c r="F22" s="197">
        <v>3</v>
      </c>
      <c r="G22" s="197">
        <v>3</v>
      </c>
      <c r="H22" s="197">
        <v>3</v>
      </c>
      <c r="I22" s="197">
        <v>9</v>
      </c>
      <c r="J22" s="8" t="str">
        <f>IF(Roster!$K$25="Español",V22,(IF(Roster!$K$25="Deutsch",W22,(IF(Roster!$K$25="Français",X22,U22)))))</f>
        <v>Block, Catch, Dauntless</v>
      </c>
      <c r="K22" s="216">
        <v>100000</v>
      </c>
      <c r="L22" s="216">
        <f t="shared" si="6"/>
        <v>100</v>
      </c>
      <c r="M22" s="216">
        <v>4</v>
      </c>
      <c r="N22" s="216">
        <v>0</v>
      </c>
      <c r="O22" s="216" t="s">
        <v>199</v>
      </c>
      <c r="P22" s="216" t="s">
        <v>199</v>
      </c>
      <c r="Q22" s="216" t="s">
        <v>198</v>
      </c>
      <c r="R22" s="216" t="s">
        <v>199</v>
      </c>
      <c r="S22" s="216">
        <v>0</v>
      </c>
      <c r="T22" s="13" t="s">
        <v>200</v>
      </c>
      <c r="U22" s="13" t="s">
        <v>1752</v>
      </c>
      <c r="V22" s="13" t="s">
        <v>1753</v>
      </c>
      <c r="W22" s="13" t="s">
        <v>1754</v>
      </c>
      <c r="X22" s="13" t="s">
        <v>1755</v>
      </c>
      <c r="Y22" s="13"/>
      <c r="Z22" s="13"/>
      <c r="AA22" s="13"/>
    </row>
    <row r="23" spans="1:27" ht="12.75" customHeight="1" x14ac:dyDescent="0.2">
      <c r="A23" s="8" t="s">
        <v>1744</v>
      </c>
      <c r="B23" s="197" t="str">
        <f t="shared" si="0"/>
        <v>Bretonnian5</v>
      </c>
      <c r="C23" s="197" t="s">
        <v>1756</v>
      </c>
      <c r="D23" s="197" t="str">
        <f t="shared" si="1"/>
        <v>BretonnianJourney Linemen</v>
      </c>
      <c r="E23" s="197">
        <v>6</v>
      </c>
      <c r="F23" s="197">
        <v>3</v>
      </c>
      <c r="G23" s="197">
        <v>4</v>
      </c>
      <c r="H23" s="197">
        <v>4</v>
      </c>
      <c r="I23" s="197">
        <v>8</v>
      </c>
      <c r="J23" s="8" t="str">
        <f>IF(Roster!$K$25="Español",V23,(IF(Roster!$K$25="Deutsch",W23,(IF(Roster!$K$25="Français",X23,U23)))))</f>
        <v>Loner (4+), Fend</v>
      </c>
      <c r="K23" s="216">
        <v>0</v>
      </c>
      <c r="L23" s="216">
        <v>45</v>
      </c>
      <c r="M23" s="216">
        <v>16</v>
      </c>
      <c r="N23" s="216">
        <v>0</v>
      </c>
      <c r="O23" s="216" t="s">
        <v>199</v>
      </c>
      <c r="P23" s="216" t="s">
        <v>198</v>
      </c>
      <c r="Q23" s="216" t="s">
        <v>198</v>
      </c>
      <c r="R23" s="216">
        <v>0</v>
      </c>
      <c r="S23" s="216">
        <v>0</v>
      </c>
      <c r="T23" s="13" t="s">
        <v>226</v>
      </c>
      <c r="U23" s="13" t="s">
        <v>540</v>
      </c>
      <c r="V23" s="13" t="s">
        <v>541</v>
      </c>
      <c r="W23" s="13" t="s">
        <v>542</v>
      </c>
      <c r="X23" s="13" t="s">
        <v>543</v>
      </c>
      <c r="Y23" s="13"/>
      <c r="Z23" s="13"/>
    </row>
    <row r="24" spans="1:27" ht="12.75" customHeight="1" x14ac:dyDescent="0.2">
      <c r="A24" s="8" t="s">
        <v>53</v>
      </c>
      <c r="B24" s="8" t="str">
        <f t="shared" si="0"/>
        <v>Chaos Chosen1</v>
      </c>
      <c r="C24" s="197" t="str">
        <f>""</f>
        <v/>
      </c>
      <c r="D24" s="8" t="str">
        <f t="shared" si="1"/>
        <v>Chaos Chosen</v>
      </c>
      <c r="E24" s="197">
        <v>0</v>
      </c>
      <c r="F24" s="197">
        <v>0</v>
      </c>
      <c r="G24" s="197">
        <v>0</v>
      </c>
      <c r="H24" s="197">
        <v>0</v>
      </c>
      <c r="I24" s="197">
        <v>0</v>
      </c>
      <c r="J24" s="8">
        <f>IF(Roster!$K$25="Español",V24,(IF(Roster!$K$25="Deutsch",W24,(IF(Roster!$K$25="Français",X24,U24)))))</f>
        <v>0</v>
      </c>
      <c r="K24" s="216">
        <v>0</v>
      </c>
      <c r="L24" s="7">
        <f t="shared" si="2"/>
        <v>0</v>
      </c>
      <c r="M24" s="216">
        <v>0</v>
      </c>
      <c r="N24" s="216">
        <v>0</v>
      </c>
      <c r="O24" s="216"/>
      <c r="P24" s="216"/>
      <c r="Q24" s="216"/>
      <c r="R24" s="216"/>
      <c r="S24" s="216"/>
      <c r="T24" s="13"/>
      <c r="U24" s="13"/>
      <c r="V24" s="13"/>
      <c r="W24" s="13"/>
      <c r="X24" s="13"/>
      <c r="Y24" s="13"/>
      <c r="Z24" s="13"/>
    </row>
    <row r="25" spans="1:27" ht="12.75" customHeight="1" x14ac:dyDescent="0.2">
      <c r="A25" s="8" t="s">
        <v>53</v>
      </c>
      <c r="B25" s="8" t="str">
        <f t="shared" ref="B25:B103" si="7">A25&amp;COUNTIF($A$2:$A25,A25)</f>
        <v>Chaos Chosen2</v>
      </c>
      <c r="C25" s="197" t="s">
        <v>314</v>
      </c>
      <c r="D25" s="8" t="str">
        <f t="shared" si="1"/>
        <v>Chaos ChosenBeastman</v>
      </c>
      <c r="E25" s="197">
        <v>6</v>
      </c>
      <c r="F25" s="197">
        <v>3</v>
      </c>
      <c r="G25" s="197">
        <v>3</v>
      </c>
      <c r="H25" s="197">
        <v>4</v>
      </c>
      <c r="I25" s="197">
        <v>9</v>
      </c>
      <c r="J25" s="8" t="str">
        <f>IF(Roster!$K$25="Español",V25,(IF(Roster!$K$25="Deutsch",W25,(IF(Roster!$K$25="Français",X25,U25)))))</f>
        <v>Horns</v>
      </c>
      <c r="K25" s="216">
        <v>60000</v>
      </c>
      <c r="L25" s="7">
        <f t="shared" si="2"/>
        <v>60</v>
      </c>
      <c r="M25" s="197">
        <v>16</v>
      </c>
      <c r="N25" s="197">
        <v>0</v>
      </c>
      <c r="O25" s="216" t="s">
        <v>199</v>
      </c>
      <c r="P25" s="216" t="s">
        <v>198</v>
      </c>
      <c r="Q25" s="216" t="s">
        <v>199</v>
      </c>
      <c r="R25" s="216" t="s">
        <v>198</v>
      </c>
      <c r="S25" s="216" t="s">
        <v>199</v>
      </c>
      <c r="T25" s="13" t="str">
        <f t="shared" ref="T25:T30" si="8">IF(AND(R25&lt;&gt;0,S25&lt;&gt;0),"FULL",(IF(AND(R25=0,S25=0),"PM",IF(R25=0,"P",(IF(S25=0,"M"))))))</f>
        <v>FULL</v>
      </c>
      <c r="U25" s="13" t="s">
        <v>315</v>
      </c>
      <c r="V25" s="13" t="s">
        <v>316</v>
      </c>
      <c r="W25" s="13" t="s">
        <v>317</v>
      </c>
      <c r="X25" s="13" t="s">
        <v>318</v>
      </c>
      <c r="Y25" s="13"/>
      <c r="Z25" s="13"/>
    </row>
    <row r="26" spans="1:27" ht="12.75" customHeight="1" x14ac:dyDescent="0.2">
      <c r="A26" s="8" t="s">
        <v>53</v>
      </c>
      <c r="B26" s="8" t="str">
        <f t="shared" si="7"/>
        <v>Chaos Chosen3</v>
      </c>
      <c r="C26" s="197" t="s">
        <v>319</v>
      </c>
      <c r="D26" s="8" t="str">
        <f t="shared" si="1"/>
        <v>Chaos ChosenChaos Warrior</v>
      </c>
      <c r="E26" s="197">
        <v>5</v>
      </c>
      <c r="F26" s="197">
        <v>4</v>
      </c>
      <c r="G26" s="197">
        <v>3</v>
      </c>
      <c r="H26" s="197">
        <v>5</v>
      </c>
      <c r="I26" s="197">
        <v>10</v>
      </c>
      <c r="J26" s="8" t="str">
        <f>IF(Roster!$K$25="Español",V26,(IF(Roster!$K$25="Deutsch",W26,(IF(Roster!$K$25="Français",X26,U26)))))</f>
        <v/>
      </c>
      <c r="K26" s="216">
        <v>100000</v>
      </c>
      <c r="L26" s="7">
        <f t="shared" si="2"/>
        <v>100</v>
      </c>
      <c r="M26" s="197">
        <v>4</v>
      </c>
      <c r="N26" s="197">
        <v>0</v>
      </c>
      <c r="O26" s="216" t="s">
        <v>199</v>
      </c>
      <c r="P26" s="216" t="s">
        <v>198</v>
      </c>
      <c r="Q26" s="216" t="s">
        <v>199</v>
      </c>
      <c r="R26" s="216">
        <v>0</v>
      </c>
      <c r="S26" s="216" t="s">
        <v>199</v>
      </c>
      <c r="T26" s="13" t="str">
        <f t="shared" si="8"/>
        <v>P</v>
      </c>
      <c r="U26" s="13" t="str">
        <f t="shared" ref="U26:Y26" si="9">""</f>
        <v/>
      </c>
      <c r="V26" s="13" t="str">
        <f t="shared" si="9"/>
        <v/>
      </c>
      <c r="W26" s="13" t="str">
        <f t="shared" si="9"/>
        <v/>
      </c>
      <c r="X26" s="13" t="str">
        <f t="shared" si="9"/>
        <v/>
      </c>
      <c r="Y26" s="13" t="str">
        <f t="shared" si="9"/>
        <v/>
      </c>
      <c r="Z26" s="13"/>
    </row>
    <row r="27" spans="1:27" ht="12.75" customHeight="1" x14ac:dyDescent="0.2">
      <c r="A27" s="8" t="s">
        <v>53</v>
      </c>
      <c r="B27" s="8" t="str">
        <f t="shared" si="7"/>
        <v>Chaos Chosen4</v>
      </c>
      <c r="C27" s="197" t="s">
        <v>320</v>
      </c>
      <c r="D27" s="8" t="str">
        <f t="shared" si="1"/>
        <v>Chaos ChosenChaos Troll</v>
      </c>
      <c r="E27" s="197">
        <v>4</v>
      </c>
      <c r="F27" s="197">
        <v>5</v>
      </c>
      <c r="G27" s="197">
        <v>5</v>
      </c>
      <c r="H27" s="197">
        <v>5</v>
      </c>
      <c r="I27" s="197">
        <v>10</v>
      </c>
      <c r="J27" s="8" t="str">
        <f>IF(Roster!$K$25="Español",V27,(IF(Roster!$K$25="Deutsch",W27,(IF(Roster!$K$25="Français",X27,U27)))))</f>
        <v>Always Hungry, Loner (4+), Mighty Blow (+1), Projectile Vomit, Really Stupid, Regeneration, Throw Team-mate</v>
      </c>
      <c r="K27" s="216">
        <v>115000</v>
      </c>
      <c r="L27" s="7">
        <f t="shared" si="2"/>
        <v>115</v>
      </c>
      <c r="M27" s="197">
        <v>1</v>
      </c>
      <c r="N27" s="197">
        <v>1</v>
      </c>
      <c r="O27" s="216" t="s">
        <v>198</v>
      </c>
      <c r="P27" s="216" t="s">
        <v>198</v>
      </c>
      <c r="Q27" s="216" t="s">
        <v>199</v>
      </c>
      <c r="R27" s="216">
        <v>0</v>
      </c>
      <c r="S27" s="216" t="s">
        <v>199</v>
      </c>
      <c r="T27" s="13" t="str">
        <f t="shared" si="8"/>
        <v>P</v>
      </c>
      <c r="U27" s="13" t="s">
        <v>321</v>
      </c>
      <c r="V27" s="13" t="s">
        <v>322</v>
      </c>
      <c r="W27" s="13" t="s">
        <v>323</v>
      </c>
      <c r="X27" s="13" t="s">
        <v>324</v>
      </c>
      <c r="Y27" s="13"/>
      <c r="Z27" s="13"/>
    </row>
    <row r="28" spans="1:27" ht="12.75" customHeight="1" x14ac:dyDescent="0.2">
      <c r="A28" s="8" t="s">
        <v>53</v>
      </c>
      <c r="B28" s="8" t="str">
        <f t="shared" si="7"/>
        <v>Chaos Chosen5</v>
      </c>
      <c r="C28" s="197" t="s">
        <v>325</v>
      </c>
      <c r="D28" s="8" t="str">
        <f t="shared" si="1"/>
        <v>Chaos ChosenChaos Ogre</v>
      </c>
      <c r="E28" s="197">
        <v>5</v>
      </c>
      <c r="F28" s="197">
        <v>5</v>
      </c>
      <c r="G28" s="197">
        <v>4</v>
      </c>
      <c r="H28" s="197">
        <v>5</v>
      </c>
      <c r="I28" s="197">
        <v>10</v>
      </c>
      <c r="J28" s="8" t="str">
        <f>IF(Roster!$K$25="Español",V28,(IF(Roster!$K$25="Deutsch",W28,(IF(Roster!$K$25="Français",X28,U28)))))</f>
        <v>Bone Head, Loner (4+), Mighty Blow (+1), Thick Skull, Throw Team-mate</v>
      </c>
      <c r="K28" s="216">
        <v>140000</v>
      </c>
      <c r="L28" s="7">
        <f t="shared" si="2"/>
        <v>140</v>
      </c>
      <c r="M28" s="197">
        <v>1</v>
      </c>
      <c r="N28" s="197">
        <v>1</v>
      </c>
      <c r="O28" s="216" t="s">
        <v>198</v>
      </c>
      <c r="P28" s="216" t="s">
        <v>198</v>
      </c>
      <c r="Q28" s="216" t="s">
        <v>199</v>
      </c>
      <c r="R28" s="216">
        <v>0</v>
      </c>
      <c r="S28" s="216" t="s">
        <v>199</v>
      </c>
      <c r="T28" s="13" t="str">
        <f t="shared" si="8"/>
        <v>P</v>
      </c>
      <c r="U28" s="13" t="s">
        <v>326</v>
      </c>
      <c r="V28" s="13" t="s">
        <v>327</v>
      </c>
      <c r="W28" s="13" t="s">
        <v>328</v>
      </c>
      <c r="X28" s="13" t="s">
        <v>329</v>
      </c>
      <c r="Y28" s="13"/>
      <c r="Z28" s="13"/>
    </row>
    <row r="29" spans="1:27" ht="12.75" customHeight="1" x14ac:dyDescent="0.2">
      <c r="A29" s="8" t="s">
        <v>53</v>
      </c>
      <c r="B29" s="8" t="str">
        <f t="shared" si="7"/>
        <v>Chaos Chosen6</v>
      </c>
      <c r="C29" s="197" t="s">
        <v>330</v>
      </c>
      <c r="D29" s="8" t="str">
        <f t="shared" si="1"/>
        <v>Chaos ChosenMinotaur</v>
      </c>
      <c r="E29" s="197">
        <v>5</v>
      </c>
      <c r="F29" s="197">
        <v>5</v>
      </c>
      <c r="G29" s="197">
        <v>4</v>
      </c>
      <c r="H29" s="197">
        <v>0</v>
      </c>
      <c r="I29" s="197">
        <v>9</v>
      </c>
      <c r="J29" s="8" t="str">
        <f>IF(Roster!$K$25="Español",V29,(IF(Roster!$K$25="Deutsch",W29,(IF(Roster!$K$25="Français",X29,U29)))))</f>
        <v>Loner (4+), Frenzy, Horns, Mighty Blow (+1), Thick Skull, Unchannelled Fury</v>
      </c>
      <c r="K29" s="216">
        <v>150000</v>
      </c>
      <c r="L29" s="7">
        <f t="shared" si="2"/>
        <v>150</v>
      </c>
      <c r="M29" s="216">
        <v>1</v>
      </c>
      <c r="N29" s="216">
        <v>1</v>
      </c>
      <c r="O29" s="216" t="s">
        <v>198</v>
      </c>
      <c r="P29" s="216" t="s">
        <v>198</v>
      </c>
      <c r="Q29" s="216" t="s">
        <v>199</v>
      </c>
      <c r="R29" s="226">
        <v>0</v>
      </c>
      <c r="S29" s="216" t="s">
        <v>199</v>
      </c>
      <c r="T29" s="13" t="str">
        <f t="shared" si="8"/>
        <v>P</v>
      </c>
      <c r="U29" s="13" t="s">
        <v>331</v>
      </c>
      <c r="V29" s="13" t="s">
        <v>332</v>
      </c>
      <c r="W29" s="13" t="s">
        <v>333</v>
      </c>
      <c r="X29" s="13" t="s">
        <v>334</v>
      </c>
      <c r="Y29" s="13"/>
      <c r="Z29" s="13"/>
    </row>
    <row r="30" spans="1:27" ht="12.75" customHeight="1" x14ac:dyDescent="0.2">
      <c r="A30" s="8" t="s">
        <v>53</v>
      </c>
      <c r="B30" s="8" t="str">
        <f t="shared" si="7"/>
        <v>Chaos Chosen7</v>
      </c>
      <c r="C30" s="197" t="s">
        <v>335</v>
      </c>
      <c r="D30" s="8" t="str">
        <f t="shared" si="1"/>
        <v>Chaos ChosenJourney Beastman</v>
      </c>
      <c r="E30" s="197">
        <v>6</v>
      </c>
      <c r="F30" s="197">
        <v>3</v>
      </c>
      <c r="G30" s="197">
        <v>3</v>
      </c>
      <c r="H30" s="197">
        <v>4</v>
      </c>
      <c r="I30" s="197">
        <v>9</v>
      </c>
      <c r="J30" s="8" t="str">
        <f>IF(Roster!$K$25="Español",V30,(IF(Roster!$K$25="Deutsch",W30,(IF(Roster!$K$25="Français",X30,U30)))))</f>
        <v>Loner (4+), Horns</v>
      </c>
      <c r="K30" s="216">
        <v>0</v>
      </c>
      <c r="L30" s="7">
        <v>60</v>
      </c>
      <c r="M30" s="216">
        <v>11</v>
      </c>
      <c r="N30" s="216">
        <v>0</v>
      </c>
      <c r="O30" s="216" t="s">
        <v>199</v>
      </c>
      <c r="P30" s="216" t="s">
        <v>198</v>
      </c>
      <c r="Q30" s="216" t="s">
        <v>199</v>
      </c>
      <c r="R30" s="216" t="s">
        <v>198</v>
      </c>
      <c r="S30" s="216" t="s">
        <v>199</v>
      </c>
      <c r="T30" s="13" t="str">
        <f t="shared" si="8"/>
        <v>FULL</v>
      </c>
      <c r="U30" s="13" t="s">
        <v>336</v>
      </c>
      <c r="V30" s="13" t="s">
        <v>337</v>
      </c>
      <c r="W30" s="13" t="s">
        <v>338</v>
      </c>
      <c r="X30" s="13" t="s">
        <v>339</v>
      </c>
      <c r="Y30" s="13"/>
      <c r="Z30" s="13"/>
    </row>
    <row r="31" spans="1:27" ht="12.75" customHeight="1" x14ac:dyDescent="0.2">
      <c r="A31" s="8" t="s">
        <v>59</v>
      </c>
      <c r="B31" s="8" t="str">
        <f t="shared" si="7"/>
        <v>Chaos Dwarf1</v>
      </c>
      <c r="C31" s="197" t="str">
        <f>""</f>
        <v/>
      </c>
      <c r="D31" s="8" t="str">
        <f t="shared" si="1"/>
        <v>Chaos Dwarf</v>
      </c>
      <c r="E31" s="197">
        <v>0</v>
      </c>
      <c r="F31" s="197">
        <v>0</v>
      </c>
      <c r="G31" s="197">
        <v>0</v>
      </c>
      <c r="H31" s="197">
        <v>0</v>
      </c>
      <c r="I31" s="197">
        <v>0</v>
      </c>
      <c r="J31" s="8">
        <f>IF(Roster!$K$25="Español",V31,(IF(Roster!$K$25="Deutsch",W31,(IF(Roster!$K$25="Français",X31,U31)))))</f>
        <v>0</v>
      </c>
      <c r="K31" s="216">
        <v>0</v>
      </c>
      <c r="L31" s="7">
        <f t="shared" si="2"/>
        <v>0</v>
      </c>
      <c r="M31" s="216">
        <v>0</v>
      </c>
      <c r="N31" s="216">
        <v>0</v>
      </c>
      <c r="O31" s="216"/>
      <c r="P31" s="216"/>
      <c r="Q31" s="216"/>
      <c r="R31" s="216"/>
      <c r="S31" s="216"/>
      <c r="T31" s="13"/>
      <c r="U31" s="13">
        <v>0</v>
      </c>
      <c r="V31" s="13">
        <v>0</v>
      </c>
      <c r="W31" s="13">
        <v>0</v>
      </c>
      <c r="X31" s="13">
        <v>0</v>
      </c>
      <c r="Y31" s="13">
        <v>0</v>
      </c>
      <c r="Z31" s="13"/>
    </row>
    <row r="32" spans="1:27" ht="12.75" customHeight="1" x14ac:dyDescent="0.2">
      <c r="A32" s="8" t="s">
        <v>59</v>
      </c>
      <c r="B32" s="8" t="str">
        <f t="shared" si="7"/>
        <v>Chaos Dwarf2</v>
      </c>
      <c r="C32" s="197" t="s">
        <v>340</v>
      </c>
      <c r="D32" s="8" t="str">
        <f t="shared" si="1"/>
        <v>Chaos DwarfHobgoblin</v>
      </c>
      <c r="E32" s="197">
        <v>6</v>
      </c>
      <c r="F32" s="197">
        <v>3</v>
      </c>
      <c r="G32" s="197">
        <v>3</v>
      </c>
      <c r="H32" s="197">
        <v>4</v>
      </c>
      <c r="I32" s="197">
        <v>8</v>
      </c>
      <c r="J32" s="8" t="str">
        <f>IF(Roster!$K$25="Español",V32,(IF(Roster!$K$25="Deutsch",W32,(IF(Roster!$K$25="Français",X32,U32)))))</f>
        <v/>
      </c>
      <c r="K32" s="216">
        <v>40000</v>
      </c>
      <c r="L32" s="7">
        <f t="shared" si="2"/>
        <v>40</v>
      </c>
      <c r="M32" s="271">
        <v>16</v>
      </c>
      <c r="N32" s="271">
        <v>0</v>
      </c>
      <c r="O32" s="216" t="s">
        <v>199</v>
      </c>
      <c r="P32" s="216" t="s">
        <v>198</v>
      </c>
      <c r="Q32" s="216" t="s">
        <v>198</v>
      </c>
      <c r="R32" s="216">
        <v>0</v>
      </c>
      <c r="S32" s="216">
        <v>0</v>
      </c>
      <c r="T32" s="13" t="str">
        <f t="shared" ref="T32:T36" si="10">IF(AND(R32&lt;&gt;0,S32&lt;&gt;0),"FULL",(IF(AND(R32=0,S32=0),"PM",IF(R32=0,"P",(IF(S32=0,"M"))))))</f>
        <v>PM</v>
      </c>
      <c r="U32" s="13" t="str">
        <f t="shared" ref="U32:X32" si="11">""</f>
        <v/>
      </c>
      <c r="V32" s="13" t="str">
        <f t="shared" si="11"/>
        <v/>
      </c>
      <c r="W32" s="13" t="str">
        <f t="shared" si="11"/>
        <v/>
      </c>
      <c r="X32" s="13" t="str">
        <f t="shared" si="11"/>
        <v/>
      </c>
      <c r="Y32" s="13"/>
      <c r="Z32" s="13"/>
    </row>
    <row r="33" spans="1:26" ht="12.75" customHeight="1" x14ac:dyDescent="0.2">
      <c r="A33" s="8" t="s">
        <v>59</v>
      </c>
      <c r="B33" s="8" t="str">
        <f t="shared" si="7"/>
        <v>Chaos Dwarf3</v>
      </c>
      <c r="C33" s="197" t="s">
        <v>341</v>
      </c>
      <c r="D33" s="8" t="str">
        <f t="shared" si="1"/>
        <v>Chaos DwarfBlocker</v>
      </c>
      <c r="E33" s="197">
        <v>4</v>
      </c>
      <c r="F33" s="197">
        <v>3</v>
      </c>
      <c r="G33" s="197">
        <v>4</v>
      </c>
      <c r="H33" s="197">
        <v>6</v>
      </c>
      <c r="I33" s="197">
        <v>10</v>
      </c>
      <c r="J33" s="8" t="str">
        <f>IF(Roster!$K$25="Español",V33,(IF(Roster!$K$25="Deutsch",W33,(IF(Roster!$K$25="Français",X33,U33)))))</f>
        <v>Block, Tackle, Thick Skull</v>
      </c>
      <c r="K33" s="216">
        <v>70000</v>
      </c>
      <c r="L33" s="7">
        <f t="shared" si="2"/>
        <v>70</v>
      </c>
      <c r="M33" s="197">
        <v>6</v>
      </c>
      <c r="N33" s="197">
        <v>0</v>
      </c>
      <c r="O33" s="216" t="s">
        <v>199</v>
      </c>
      <c r="P33" s="216" t="s">
        <v>198</v>
      </c>
      <c r="Q33" s="216" t="s">
        <v>199</v>
      </c>
      <c r="R33" s="216">
        <v>0</v>
      </c>
      <c r="S33" s="216" t="s">
        <v>198</v>
      </c>
      <c r="T33" s="13" t="str">
        <f t="shared" si="10"/>
        <v>P</v>
      </c>
      <c r="U33" s="13" t="s">
        <v>342</v>
      </c>
      <c r="V33" s="13" t="s">
        <v>343</v>
      </c>
      <c r="W33" s="13" t="s">
        <v>344</v>
      </c>
      <c r="X33" s="13" t="s">
        <v>345</v>
      </c>
      <c r="Y33" s="13"/>
      <c r="Z33" s="13"/>
    </row>
    <row r="34" spans="1:26" ht="12.75" customHeight="1" x14ac:dyDescent="0.2">
      <c r="A34" s="8" t="s">
        <v>59</v>
      </c>
      <c r="B34" s="8" t="str">
        <f t="shared" si="7"/>
        <v>Chaos Dwarf4</v>
      </c>
      <c r="C34" s="197" t="s">
        <v>346</v>
      </c>
      <c r="D34" s="8" t="str">
        <f t="shared" si="1"/>
        <v>Chaos DwarfBull Centaur</v>
      </c>
      <c r="E34" s="197">
        <v>6</v>
      </c>
      <c r="F34" s="197">
        <v>4</v>
      </c>
      <c r="G34" s="197">
        <v>4</v>
      </c>
      <c r="H34" s="197">
        <v>6</v>
      </c>
      <c r="I34" s="197">
        <v>10</v>
      </c>
      <c r="J34" s="8" t="str">
        <f>IF(Roster!$K$25="Español",V34,(IF(Roster!$K$25="Deutsch",W34,(IF(Roster!$K$25="Français",X34,U34)))))</f>
        <v>Sprint, Sure Feet, Thick Skull</v>
      </c>
      <c r="K34" s="216">
        <v>130000</v>
      </c>
      <c r="L34" s="7">
        <f t="shared" si="2"/>
        <v>130</v>
      </c>
      <c r="M34" s="197">
        <v>2</v>
      </c>
      <c r="N34" s="197">
        <v>0</v>
      </c>
      <c r="O34" s="216" t="s">
        <v>199</v>
      </c>
      <c r="P34" s="216" t="s">
        <v>198</v>
      </c>
      <c r="Q34" s="216" t="s">
        <v>199</v>
      </c>
      <c r="R34" s="216">
        <v>0</v>
      </c>
      <c r="S34" s="216">
        <v>0</v>
      </c>
      <c r="T34" s="13" t="str">
        <f t="shared" si="10"/>
        <v>PM</v>
      </c>
      <c r="U34" s="13" t="s">
        <v>347</v>
      </c>
      <c r="V34" s="13" t="s">
        <v>348</v>
      </c>
      <c r="W34" s="13" t="s">
        <v>349</v>
      </c>
      <c r="X34" s="13" t="s">
        <v>350</v>
      </c>
      <c r="Y34" s="13"/>
      <c r="Z34" s="13"/>
    </row>
    <row r="35" spans="1:26" ht="12.75" customHeight="1" x14ac:dyDescent="0.2">
      <c r="A35" s="8" t="s">
        <v>59</v>
      </c>
      <c r="B35" s="8" t="str">
        <f t="shared" si="7"/>
        <v>Chaos Dwarf5</v>
      </c>
      <c r="C35" s="197" t="s">
        <v>351</v>
      </c>
      <c r="D35" s="8" t="str">
        <f t="shared" si="1"/>
        <v>Chaos DwarfEnlasved Minotaur</v>
      </c>
      <c r="E35" s="197">
        <v>5</v>
      </c>
      <c r="F35" s="197">
        <v>5</v>
      </c>
      <c r="G35" s="197">
        <v>4</v>
      </c>
      <c r="H35" s="197">
        <v>0</v>
      </c>
      <c r="I35" s="197">
        <v>9</v>
      </c>
      <c r="J35" s="8" t="str">
        <f>IF(Roster!$K$25="Español",V35,(IF(Roster!$K$25="Deutsch",W35,(IF(Roster!$K$25="Français",X35,U35)))))</f>
        <v>Loner (4+), Frenzy, Horns, Mighty Blow (+1), Thick Skull, Animal Savagery</v>
      </c>
      <c r="K35" s="216">
        <v>150000</v>
      </c>
      <c r="L35" s="7">
        <f t="shared" si="2"/>
        <v>150</v>
      </c>
      <c r="M35" s="216">
        <v>1</v>
      </c>
      <c r="N35" s="216">
        <v>1</v>
      </c>
      <c r="O35" s="216" t="s">
        <v>198</v>
      </c>
      <c r="P35" s="216" t="s">
        <v>198</v>
      </c>
      <c r="Q35" s="216" t="s">
        <v>199</v>
      </c>
      <c r="R35" s="226">
        <v>0</v>
      </c>
      <c r="S35" s="216" t="s">
        <v>198</v>
      </c>
      <c r="T35" s="13" t="str">
        <f t="shared" si="10"/>
        <v>P</v>
      </c>
      <c r="U35" s="13" t="s">
        <v>352</v>
      </c>
      <c r="V35" s="13" t="s">
        <v>353</v>
      </c>
      <c r="W35" s="13" t="s">
        <v>354</v>
      </c>
      <c r="X35" s="13" t="s">
        <v>355</v>
      </c>
      <c r="Y35" s="13"/>
      <c r="Z35" s="13"/>
    </row>
    <row r="36" spans="1:26" ht="12.75" customHeight="1" x14ac:dyDescent="0.2">
      <c r="A36" s="8" t="s">
        <v>59</v>
      </c>
      <c r="B36" s="8" t="str">
        <f t="shared" si="7"/>
        <v>Chaos Dwarf6</v>
      </c>
      <c r="C36" s="197" t="s">
        <v>356</v>
      </c>
      <c r="D36" s="8" t="str">
        <f t="shared" si="1"/>
        <v>Chaos DwarfJourney Hobgoblin</v>
      </c>
      <c r="E36" s="197">
        <v>6</v>
      </c>
      <c r="F36" s="197">
        <v>3</v>
      </c>
      <c r="G36" s="197">
        <v>3</v>
      </c>
      <c r="H36" s="197">
        <v>4</v>
      </c>
      <c r="I36" s="197">
        <v>8</v>
      </c>
      <c r="J36" s="8" t="str">
        <f>IF(Roster!$K$25="Español",V36,(IF(Roster!$K$25="Deutsch",W36,(IF(Roster!$K$25="Français",X36,U36)))))</f>
        <v>Loner (4+)</v>
      </c>
      <c r="K36" s="216">
        <v>0</v>
      </c>
      <c r="L36" s="7">
        <v>40</v>
      </c>
      <c r="M36" s="197">
        <v>11</v>
      </c>
      <c r="N36" s="197">
        <v>0</v>
      </c>
      <c r="O36" s="216" t="s">
        <v>199</v>
      </c>
      <c r="P36" s="216" t="s">
        <v>198</v>
      </c>
      <c r="Q36" s="216" t="s">
        <v>198</v>
      </c>
      <c r="R36" s="216">
        <v>0</v>
      </c>
      <c r="S36" s="216" t="s">
        <v>198</v>
      </c>
      <c r="T36" s="13" t="str">
        <f t="shared" si="10"/>
        <v>P</v>
      </c>
      <c r="U36" s="13" t="s">
        <v>357</v>
      </c>
      <c r="V36" s="13" t="s">
        <v>358</v>
      </c>
      <c r="W36" s="13" t="s">
        <v>359</v>
      </c>
      <c r="X36" s="13" t="s">
        <v>360</v>
      </c>
      <c r="Y36" s="13"/>
      <c r="Z36" s="13"/>
    </row>
    <row r="37" spans="1:26" ht="12.75" customHeight="1" x14ac:dyDescent="0.2">
      <c r="A37" s="8" t="s">
        <v>1765</v>
      </c>
      <c r="B37" s="8" t="str">
        <f t="shared" si="7"/>
        <v>Chaos Dwarf GW1</v>
      </c>
      <c r="C37" s="197"/>
      <c r="D37" s="8" t="s">
        <v>1765</v>
      </c>
      <c r="E37" s="197">
        <v>0</v>
      </c>
      <c r="F37" s="197">
        <v>0</v>
      </c>
      <c r="G37" s="197">
        <v>0</v>
      </c>
      <c r="H37" s="197">
        <v>0</v>
      </c>
      <c r="I37" s="197">
        <v>0</v>
      </c>
      <c r="J37" s="8">
        <f>IF(Roster!$K$25="Español",V37,(IF(Roster!$K$25="Deutsch",W37,(IF(Roster!$K$25="Français",X37,U37)))))</f>
        <v>0</v>
      </c>
      <c r="K37" s="216">
        <v>0</v>
      </c>
      <c r="L37" s="7">
        <f t="shared" si="2"/>
        <v>0</v>
      </c>
      <c r="M37" s="197">
        <v>0</v>
      </c>
      <c r="N37" s="197">
        <v>0</v>
      </c>
      <c r="O37" s="216"/>
      <c r="P37" s="216"/>
      <c r="Q37" s="216"/>
      <c r="R37" s="216"/>
      <c r="S37" s="216"/>
      <c r="T37" s="13"/>
      <c r="U37" s="13">
        <v>0</v>
      </c>
      <c r="V37" s="13">
        <v>0</v>
      </c>
      <c r="W37" s="13">
        <v>0</v>
      </c>
      <c r="X37" s="13">
        <v>0</v>
      </c>
      <c r="Y37" s="13">
        <v>0</v>
      </c>
      <c r="Z37" s="13"/>
    </row>
    <row r="38" spans="1:26" ht="12.75" customHeight="1" x14ac:dyDescent="0.2">
      <c r="A38" s="8" t="s">
        <v>1765</v>
      </c>
      <c r="B38" s="8" t="str">
        <f t="shared" si="7"/>
        <v>Chaos Dwarf GW2</v>
      </c>
      <c r="C38" s="197" t="s">
        <v>1766</v>
      </c>
      <c r="D38" s="8" t="s">
        <v>1767</v>
      </c>
      <c r="E38" s="197">
        <v>6</v>
      </c>
      <c r="F38" s="197">
        <v>3</v>
      </c>
      <c r="G38" s="197">
        <v>3</v>
      </c>
      <c r="H38" s="197">
        <v>4</v>
      </c>
      <c r="I38" s="197">
        <v>8</v>
      </c>
      <c r="J38" s="8" t="str">
        <f>IF(Roster!$K$25="Español",V38,(IF(Roster!$K$25="Deutsch",W38,(IF(Roster!$K$25="Français",X38,U38)))))</f>
        <v xml:space="preserve"> </v>
      </c>
      <c r="K38" s="216">
        <v>40000</v>
      </c>
      <c r="L38" s="7">
        <f t="shared" si="2"/>
        <v>40</v>
      </c>
      <c r="M38" s="197">
        <v>16</v>
      </c>
      <c r="N38" s="197">
        <v>0</v>
      </c>
      <c r="O38" s="216" t="s">
        <v>199</v>
      </c>
      <c r="P38" s="216" t="s">
        <v>198</v>
      </c>
      <c r="Q38" s="216" t="s">
        <v>198</v>
      </c>
      <c r="R38" s="216">
        <v>0</v>
      </c>
      <c r="S38" s="216">
        <v>0</v>
      </c>
      <c r="T38" s="13" t="s">
        <v>226</v>
      </c>
      <c r="U38" s="13" t="s">
        <v>245</v>
      </c>
      <c r="V38" s="13"/>
      <c r="W38" s="13"/>
      <c r="X38" s="13"/>
      <c r="Y38" s="13"/>
      <c r="Z38" s="13"/>
    </row>
    <row r="39" spans="1:26" ht="12.75" customHeight="1" x14ac:dyDescent="0.2">
      <c r="A39" s="8" t="s">
        <v>1765</v>
      </c>
      <c r="B39" s="8" t="str">
        <f t="shared" si="7"/>
        <v>Chaos Dwarf GW3</v>
      </c>
      <c r="C39" s="197" t="s">
        <v>1768</v>
      </c>
      <c r="D39" s="8" t="s">
        <v>1769</v>
      </c>
      <c r="E39" s="197">
        <v>6</v>
      </c>
      <c r="F39" s="197">
        <v>3</v>
      </c>
      <c r="G39" s="197">
        <v>3</v>
      </c>
      <c r="H39" s="197">
        <v>5</v>
      </c>
      <c r="I39" s="197">
        <v>8</v>
      </c>
      <c r="J39" s="8" t="str">
        <f>IF(Roster!$K$25="Español",V39,(IF(Roster!$K$25="Deutsch",W39,(IF(Roster!$K$25="Français",X39,U39)))))</f>
        <v>Shadowing, Stab</v>
      </c>
      <c r="K39" s="216">
        <v>70000</v>
      </c>
      <c r="L39" s="7">
        <f t="shared" si="2"/>
        <v>70</v>
      </c>
      <c r="M39" s="197">
        <v>2</v>
      </c>
      <c r="N39" s="197">
        <v>0</v>
      </c>
      <c r="O39" s="216" t="s">
        <v>199</v>
      </c>
      <c r="P39" s="216" t="s">
        <v>198</v>
      </c>
      <c r="Q39" s="216" t="s">
        <v>198</v>
      </c>
      <c r="R39" s="216">
        <v>0</v>
      </c>
      <c r="S39" s="216">
        <v>0</v>
      </c>
      <c r="T39" s="13" t="s">
        <v>226</v>
      </c>
      <c r="U39" s="13" t="s">
        <v>403</v>
      </c>
      <c r="V39" s="13" t="s">
        <v>404</v>
      </c>
      <c r="W39" s="13" t="s">
        <v>405</v>
      </c>
      <c r="X39" s="13" t="s">
        <v>406</v>
      </c>
      <c r="Y39" s="13"/>
      <c r="Z39" s="13"/>
    </row>
    <row r="40" spans="1:26" ht="12.75" customHeight="1" x14ac:dyDescent="0.2">
      <c r="A40" s="8" t="s">
        <v>1765</v>
      </c>
      <c r="B40" s="8" t="str">
        <f t="shared" si="7"/>
        <v>Chaos Dwarf GW4</v>
      </c>
      <c r="C40" s="197" t="s">
        <v>1770</v>
      </c>
      <c r="D40" s="8" t="s">
        <v>1771</v>
      </c>
      <c r="E40" s="197">
        <v>4</v>
      </c>
      <c r="F40" s="197">
        <v>3</v>
      </c>
      <c r="G40" s="197">
        <v>4</v>
      </c>
      <c r="H40" s="197">
        <v>6</v>
      </c>
      <c r="I40" s="197">
        <v>10</v>
      </c>
      <c r="J40" s="8" t="str">
        <f>IF(Roster!$K$25="Español",V40,(IF(Roster!$K$25="Deutsch",W40,(IF(Roster!$K$25="Français",X40,U40)))))</f>
        <v>Block, Iron Hard Skin, Thick Skull</v>
      </c>
      <c r="K40" s="216">
        <v>70000</v>
      </c>
      <c r="L40" s="7">
        <f t="shared" si="2"/>
        <v>70</v>
      </c>
      <c r="M40" s="197">
        <v>4</v>
      </c>
      <c r="N40" s="197">
        <v>0</v>
      </c>
      <c r="O40" s="216" t="s">
        <v>199</v>
      </c>
      <c r="P40" s="216" t="s">
        <v>198</v>
      </c>
      <c r="Q40" s="216" t="s">
        <v>199</v>
      </c>
      <c r="R40" s="216">
        <v>0</v>
      </c>
      <c r="S40" s="216" t="s">
        <v>198</v>
      </c>
      <c r="T40" s="13" t="s">
        <v>199</v>
      </c>
      <c r="U40" s="13" t="s">
        <v>1772</v>
      </c>
      <c r="V40" s="13" t="s">
        <v>1773</v>
      </c>
      <c r="W40" s="13" t="s">
        <v>1774</v>
      </c>
      <c r="X40" s="13" t="s">
        <v>1775</v>
      </c>
      <c r="Y40" s="13"/>
      <c r="Z40" s="13"/>
    </row>
    <row r="41" spans="1:26" ht="12.75" customHeight="1" x14ac:dyDescent="0.2">
      <c r="A41" s="8" t="s">
        <v>1765</v>
      </c>
      <c r="B41" s="8" t="str">
        <f t="shared" si="7"/>
        <v>Chaos Dwarf GW5</v>
      </c>
      <c r="C41" s="197" t="s">
        <v>1776</v>
      </c>
      <c r="D41" s="8" t="s">
        <v>1777</v>
      </c>
      <c r="E41" s="197">
        <v>5</v>
      </c>
      <c r="F41" s="197">
        <v>3</v>
      </c>
      <c r="G41" s="197">
        <v>4</v>
      </c>
      <c r="H41" s="197">
        <v>6</v>
      </c>
      <c r="I41" s="197">
        <v>10</v>
      </c>
      <c r="J41" s="8" t="str">
        <f>IF(Roster!$K$25="Español",V41,(IF(Roster!$K$25="Deutsch",W41,(IF(Roster!$K$25="Français",X41,U41)))))</f>
        <v>Brawler, Breathe Fire, Disturbing Presence, Thick Skull</v>
      </c>
      <c r="K41" s="216">
        <v>80000</v>
      </c>
      <c r="L41" s="7">
        <f t="shared" si="2"/>
        <v>80</v>
      </c>
      <c r="M41" s="197">
        <v>2</v>
      </c>
      <c r="N41" s="197">
        <v>0</v>
      </c>
      <c r="O41" s="216" t="s">
        <v>199</v>
      </c>
      <c r="P41" s="216" t="s">
        <v>198</v>
      </c>
      <c r="Q41" s="216" t="s">
        <v>199</v>
      </c>
      <c r="R41" s="216">
        <v>0</v>
      </c>
      <c r="S41" s="216" t="s">
        <v>198</v>
      </c>
      <c r="T41" s="13" t="s">
        <v>199</v>
      </c>
      <c r="U41" s="13" t="s">
        <v>1778</v>
      </c>
      <c r="V41" s="13" t="s">
        <v>1779</v>
      </c>
      <c r="W41" s="13" t="s">
        <v>1780</v>
      </c>
      <c r="X41" s="13" t="s">
        <v>1781</v>
      </c>
      <c r="Y41" s="13"/>
      <c r="Z41" s="13"/>
    </row>
    <row r="42" spans="1:26" ht="12.75" customHeight="1" x14ac:dyDescent="0.2">
      <c r="A42" s="8" t="s">
        <v>1765</v>
      </c>
      <c r="B42" s="8" t="str">
        <f t="shared" si="7"/>
        <v>Chaos Dwarf GW6</v>
      </c>
      <c r="C42" s="197" t="s">
        <v>1782</v>
      </c>
      <c r="D42" s="8" t="s">
        <v>1783</v>
      </c>
      <c r="E42" s="197">
        <v>6</v>
      </c>
      <c r="F42" s="197">
        <v>4</v>
      </c>
      <c r="G42" s="197">
        <v>4</v>
      </c>
      <c r="H42" s="197">
        <v>6</v>
      </c>
      <c r="I42" s="197">
        <v>10</v>
      </c>
      <c r="J42" s="8" t="str">
        <f>IF(Roster!$K$25="Español",V42,(IF(Roster!$K$25="Deutsch",W42,(IF(Roster!$K$25="Français",X42,U42)))))</f>
        <v>Sprint, Sure Feet, Thick Skull</v>
      </c>
      <c r="K42" s="216">
        <v>130000</v>
      </c>
      <c r="L42" s="7">
        <f t="shared" si="2"/>
        <v>130</v>
      </c>
      <c r="M42" s="197">
        <v>2</v>
      </c>
      <c r="N42" s="197">
        <v>0</v>
      </c>
      <c r="O42" s="216" t="s">
        <v>199</v>
      </c>
      <c r="P42" s="216" t="s">
        <v>198</v>
      </c>
      <c r="Q42" s="216" t="s">
        <v>199</v>
      </c>
      <c r="R42" s="216">
        <v>0</v>
      </c>
      <c r="S42" s="216" t="s">
        <v>198</v>
      </c>
      <c r="T42" s="13" t="s">
        <v>199</v>
      </c>
      <c r="U42" s="13" t="s">
        <v>347</v>
      </c>
      <c r="V42" s="13" t="s">
        <v>348</v>
      </c>
      <c r="W42" s="13" t="s">
        <v>349</v>
      </c>
      <c r="X42" s="13" t="s">
        <v>350</v>
      </c>
      <c r="Y42" s="13"/>
      <c r="Z42" s="13"/>
    </row>
    <row r="43" spans="1:26" ht="12.75" customHeight="1" x14ac:dyDescent="0.2">
      <c r="A43" s="8" t="s">
        <v>1765</v>
      </c>
      <c r="B43" s="8" t="str">
        <f t="shared" si="7"/>
        <v>Chaos Dwarf GW7</v>
      </c>
      <c r="C43" s="197" t="s">
        <v>330</v>
      </c>
      <c r="D43" s="8" t="s">
        <v>1784</v>
      </c>
      <c r="E43" s="197">
        <v>5</v>
      </c>
      <c r="F43" s="197">
        <v>5</v>
      </c>
      <c r="G43" s="197">
        <v>4</v>
      </c>
      <c r="H43" s="197">
        <v>0</v>
      </c>
      <c r="I43" s="197">
        <v>9</v>
      </c>
      <c r="J43" s="8" t="str">
        <f>IF(Roster!$K$25="Español",V43,(IF(Roster!$K$25="Deutsch",W43,(IF(Roster!$K$25="Français",X43,U43)))))</f>
        <v>Frenzy, Horns, Mighty Blow (+1), Thick Skull, Unchannelled Fury</v>
      </c>
      <c r="K43" s="216">
        <v>150000</v>
      </c>
      <c r="L43" s="7">
        <f t="shared" si="2"/>
        <v>150</v>
      </c>
      <c r="M43" s="197">
        <v>1</v>
      </c>
      <c r="N43" s="197">
        <v>1</v>
      </c>
      <c r="O43" s="216" t="s">
        <v>198</v>
      </c>
      <c r="P43" s="216" t="s">
        <v>198</v>
      </c>
      <c r="Q43" s="216" t="s">
        <v>198</v>
      </c>
      <c r="R43" s="216">
        <v>0</v>
      </c>
      <c r="S43" s="216" t="s">
        <v>198</v>
      </c>
      <c r="T43" s="13" t="s">
        <v>198</v>
      </c>
      <c r="U43" s="13" t="s">
        <v>1785</v>
      </c>
      <c r="V43" s="13" t="s">
        <v>332</v>
      </c>
      <c r="W43" s="13" t="s">
        <v>354</v>
      </c>
      <c r="X43" s="13" t="s">
        <v>334</v>
      </c>
      <c r="Y43" s="13"/>
      <c r="Z43" s="13"/>
    </row>
    <row r="44" spans="1:26" ht="12.75" customHeight="1" x14ac:dyDescent="0.2">
      <c r="A44" s="8" t="s">
        <v>1765</v>
      </c>
      <c r="B44" s="8" t="str">
        <f t="shared" si="7"/>
        <v>Chaos Dwarf GW8</v>
      </c>
      <c r="C44" s="197" t="s">
        <v>1786</v>
      </c>
      <c r="D44" s="8" t="s">
        <v>1787</v>
      </c>
      <c r="E44" s="197">
        <v>6</v>
      </c>
      <c r="F44" s="197">
        <v>3</v>
      </c>
      <c r="G44" s="197">
        <v>3</v>
      </c>
      <c r="H44" s="197">
        <v>4</v>
      </c>
      <c r="I44" s="197">
        <v>8</v>
      </c>
      <c r="J44" s="8" t="str">
        <f>IF(Roster!$K$25="Español",V44,(IF(Roster!$K$25="Deutsch",W44,(IF(Roster!$K$25="Français",X44,U44)))))</f>
        <v>Loner (4+)</v>
      </c>
      <c r="K44" s="216">
        <v>0</v>
      </c>
      <c r="L44" s="7">
        <v>40</v>
      </c>
      <c r="M44" s="197">
        <v>16</v>
      </c>
      <c r="N44" s="197">
        <v>0</v>
      </c>
      <c r="O44" s="216" t="s">
        <v>199</v>
      </c>
      <c r="P44" s="216" t="s">
        <v>198</v>
      </c>
      <c r="Q44" s="216" t="s">
        <v>198</v>
      </c>
      <c r="R44" s="216">
        <v>0</v>
      </c>
      <c r="S44" s="216">
        <v>0</v>
      </c>
      <c r="T44" s="13" t="s">
        <v>226</v>
      </c>
      <c r="U44" s="13" t="s">
        <v>357</v>
      </c>
      <c r="V44" s="13" t="s">
        <v>358</v>
      </c>
      <c r="W44" s="13" t="s">
        <v>359</v>
      </c>
      <c r="X44" s="13" t="s">
        <v>360</v>
      </c>
      <c r="Y44" s="13"/>
      <c r="Z44" s="13"/>
    </row>
    <row r="45" spans="1:26" ht="12.75" customHeight="1" x14ac:dyDescent="0.2">
      <c r="A45" s="8" t="s">
        <v>65</v>
      </c>
      <c r="B45" s="8" t="str">
        <f t="shared" si="7"/>
        <v>Chaos Renegades1</v>
      </c>
      <c r="C45" s="197" t="str">
        <f>""</f>
        <v/>
      </c>
      <c r="D45" s="8" t="str">
        <f t="shared" si="1"/>
        <v>Chaos Renegades</v>
      </c>
      <c r="E45" s="197">
        <v>0</v>
      </c>
      <c r="F45" s="197">
        <v>0</v>
      </c>
      <c r="G45" s="197">
        <v>0</v>
      </c>
      <c r="H45" s="197">
        <v>0</v>
      </c>
      <c r="I45" s="197">
        <v>0</v>
      </c>
      <c r="J45" s="8">
        <f>IF(Roster!$K$25="Español",V45,(IF(Roster!$K$25="Deutsch",W45,(IF(Roster!$K$25="Français",X45,U45)))))</f>
        <v>0</v>
      </c>
      <c r="K45" s="216">
        <v>0</v>
      </c>
      <c r="L45" s="7">
        <f t="shared" si="2"/>
        <v>0</v>
      </c>
      <c r="M45" s="216">
        <v>0</v>
      </c>
      <c r="N45" s="216">
        <v>0</v>
      </c>
      <c r="O45" s="216"/>
      <c r="P45" s="216"/>
      <c r="Q45" s="216"/>
      <c r="R45" s="216"/>
      <c r="S45" s="216"/>
      <c r="T45" s="13"/>
      <c r="U45" s="13">
        <v>0</v>
      </c>
      <c r="V45" s="13">
        <v>0</v>
      </c>
      <c r="W45" s="13">
        <v>0</v>
      </c>
      <c r="X45" s="13">
        <v>0</v>
      </c>
      <c r="Y45" s="13">
        <v>0</v>
      </c>
      <c r="Z45" s="13"/>
    </row>
    <row r="46" spans="1:26" ht="12.75" customHeight="1" x14ac:dyDescent="0.2">
      <c r="A46" s="8" t="s">
        <v>65</v>
      </c>
      <c r="B46" s="8" t="str">
        <f t="shared" si="7"/>
        <v>Chaos Renegades2</v>
      </c>
      <c r="C46" s="197" t="s">
        <v>361</v>
      </c>
      <c r="D46" s="8" t="str">
        <f t="shared" si="1"/>
        <v>Chaos RenegadesLinemen Renegade</v>
      </c>
      <c r="E46" s="197">
        <v>6</v>
      </c>
      <c r="F46" s="197">
        <v>3</v>
      </c>
      <c r="G46" s="197">
        <v>3</v>
      </c>
      <c r="H46" s="197">
        <v>4</v>
      </c>
      <c r="I46" s="197">
        <v>9</v>
      </c>
      <c r="J46" s="8" t="str">
        <f>IF(Roster!$K$25="Español",V46,(IF(Roster!$K$25="Deutsch",W46,(IF(Roster!$K$25="Français",X46,U46)))))</f>
        <v/>
      </c>
      <c r="K46" s="216">
        <v>50000</v>
      </c>
      <c r="L46" s="7">
        <f t="shared" si="2"/>
        <v>50</v>
      </c>
      <c r="M46" s="197">
        <v>12</v>
      </c>
      <c r="N46" s="197">
        <v>0</v>
      </c>
      <c r="O46" s="216" t="s">
        <v>199</v>
      </c>
      <c r="P46" s="216" t="s">
        <v>198</v>
      </c>
      <c r="Q46" s="216" t="s">
        <v>198</v>
      </c>
      <c r="R46" s="216">
        <v>0</v>
      </c>
      <c r="S46" s="216" t="s">
        <v>199</v>
      </c>
      <c r="T46" s="13" t="str">
        <f t="shared" ref="T46:T56" si="12">IF(AND(R46&lt;&gt;0,S46&lt;&gt;0),"FULL",(IF(AND(R46=0,S46=0),"PM",IF(R46=0,"P",(IF(S46=0,"M"))))))</f>
        <v>P</v>
      </c>
      <c r="U46" s="13" t="str">
        <f t="shared" ref="U46:Y46" si="13">""</f>
        <v/>
      </c>
      <c r="V46" s="13" t="str">
        <f t="shared" si="13"/>
        <v/>
      </c>
      <c r="W46" s="13" t="str">
        <f t="shared" si="13"/>
        <v/>
      </c>
      <c r="X46" s="13" t="str">
        <f t="shared" si="13"/>
        <v/>
      </c>
      <c r="Y46" s="13" t="str">
        <f t="shared" si="13"/>
        <v/>
      </c>
      <c r="Z46" s="13"/>
    </row>
    <row r="47" spans="1:26" ht="12.75" customHeight="1" x14ac:dyDescent="0.2">
      <c r="A47" s="8" t="s">
        <v>65</v>
      </c>
      <c r="B47" s="8" t="str">
        <f t="shared" si="7"/>
        <v>Chaos Renegades3</v>
      </c>
      <c r="C47" s="197" t="s">
        <v>362</v>
      </c>
      <c r="D47" s="8" t="str">
        <f t="shared" si="1"/>
        <v>Chaos RenegadesThrower Renegade</v>
      </c>
      <c r="E47" s="197">
        <v>6</v>
      </c>
      <c r="F47" s="197">
        <v>3</v>
      </c>
      <c r="G47" s="197">
        <v>3</v>
      </c>
      <c r="H47" s="197">
        <v>3</v>
      </c>
      <c r="I47" s="197">
        <v>9</v>
      </c>
      <c r="J47" s="8" t="str">
        <f>IF(Roster!$K$25="Español",V47,(IF(Roster!$K$25="Deutsch",W47,(IF(Roster!$K$25="Français",X47,U47)))))</f>
        <v>Animosity (all team-mates), Pass, Safe Pair of Hands</v>
      </c>
      <c r="K47" s="216">
        <v>75000</v>
      </c>
      <c r="L47" s="7">
        <f t="shared" si="2"/>
        <v>75</v>
      </c>
      <c r="M47" s="197">
        <v>1</v>
      </c>
      <c r="N47" s="197">
        <v>0</v>
      </c>
      <c r="O47" s="216" t="s">
        <v>199</v>
      </c>
      <c r="P47" s="216" t="s">
        <v>198</v>
      </c>
      <c r="Q47" s="216" t="s">
        <v>198</v>
      </c>
      <c r="R47" s="216" t="s">
        <v>199</v>
      </c>
      <c r="S47" s="216" t="s">
        <v>199</v>
      </c>
      <c r="T47" s="13" t="str">
        <f t="shared" si="12"/>
        <v>FULL</v>
      </c>
      <c r="U47" s="13" t="s">
        <v>363</v>
      </c>
      <c r="V47" s="13" t="s">
        <v>364</v>
      </c>
      <c r="W47" s="13" t="s">
        <v>365</v>
      </c>
      <c r="X47" s="13" t="s">
        <v>366</v>
      </c>
      <c r="Y47" s="13"/>
      <c r="Z47" s="13"/>
    </row>
    <row r="48" spans="1:26" ht="12.75" customHeight="1" x14ac:dyDescent="0.2">
      <c r="A48" s="8" t="s">
        <v>65</v>
      </c>
      <c r="B48" s="8" t="str">
        <f t="shared" si="7"/>
        <v>Chaos Renegades4</v>
      </c>
      <c r="C48" s="197" t="s">
        <v>367</v>
      </c>
      <c r="D48" s="8" t="str">
        <f t="shared" si="1"/>
        <v>Chaos RenegadesGoblin Renegade</v>
      </c>
      <c r="E48" s="197">
        <v>6</v>
      </c>
      <c r="F48" s="197">
        <v>2</v>
      </c>
      <c r="G48" s="197">
        <v>3</v>
      </c>
      <c r="H48" s="197">
        <v>4</v>
      </c>
      <c r="I48" s="197">
        <v>8</v>
      </c>
      <c r="J48" s="8" t="str">
        <f>IF(Roster!$K$25="Español",V48,(IF(Roster!$K$25="Deutsch",W48,(IF(Roster!$K$25="Français",X48,U48)))))</f>
        <v>Animosity (all team-mates), Dodge, Right Stuff, Stunty</v>
      </c>
      <c r="K48" s="216">
        <v>40000</v>
      </c>
      <c r="L48" s="7">
        <f t="shared" si="2"/>
        <v>40</v>
      </c>
      <c r="M48" s="216">
        <v>1</v>
      </c>
      <c r="N48" s="216">
        <v>0</v>
      </c>
      <c r="O48" s="216" t="s">
        <v>198</v>
      </c>
      <c r="P48" s="216" t="s">
        <v>199</v>
      </c>
      <c r="Q48" s="216" t="s">
        <v>198</v>
      </c>
      <c r="R48" s="216" t="s">
        <v>198</v>
      </c>
      <c r="S48" s="216" t="s">
        <v>199</v>
      </c>
      <c r="T48" s="13" t="str">
        <f t="shared" si="12"/>
        <v>FULL</v>
      </c>
      <c r="U48" s="13" t="s">
        <v>368</v>
      </c>
      <c r="V48" s="13" t="s">
        <v>369</v>
      </c>
      <c r="W48" s="13" t="s">
        <v>370</v>
      </c>
      <c r="X48" s="13" t="s">
        <v>371</v>
      </c>
      <c r="Y48" s="13"/>
      <c r="Z48" s="13"/>
    </row>
    <row r="49" spans="1:26" ht="12.75" customHeight="1" x14ac:dyDescent="0.2">
      <c r="A49" s="8" t="s">
        <v>65</v>
      </c>
      <c r="B49" s="8" t="str">
        <f t="shared" si="7"/>
        <v>Chaos Renegades5</v>
      </c>
      <c r="C49" s="197" t="s">
        <v>372</v>
      </c>
      <c r="D49" s="8" t="str">
        <f t="shared" si="1"/>
        <v>Chaos RenegadesSkaven Renegade</v>
      </c>
      <c r="E49" s="197">
        <v>7</v>
      </c>
      <c r="F49" s="197">
        <v>3</v>
      </c>
      <c r="G49" s="197">
        <v>3</v>
      </c>
      <c r="H49" s="197">
        <v>4</v>
      </c>
      <c r="I49" s="197">
        <v>8</v>
      </c>
      <c r="J49" s="8" t="str">
        <f>IF(Roster!$K$25="Español",V49,(IF(Roster!$K$25="Deutsch",W49,(IF(Roster!$K$25="Français",X49,U49)))))</f>
        <v>Animosity (all team-mates)</v>
      </c>
      <c r="K49" s="216">
        <v>50000</v>
      </c>
      <c r="L49" s="7">
        <f t="shared" si="2"/>
        <v>50</v>
      </c>
      <c r="M49" s="216">
        <v>1</v>
      </c>
      <c r="N49" s="216">
        <v>0</v>
      </c>
      <c r="O49" s="216" t="s">
        <v>199</v>
      </c>
      <c r="P49" s="216" t="s">
        <v>198</v>
      </c>
      <c r="Q49" s="216" t="s">
        <v>198</v>
      </c>
      <c r="R49" s="216">
        <v>0</v>
      </c>
      <c r="S49" s="216" t="s">
        <v>199</v>
      </c>
      <c r="T49" s="13" t="str">
        <f t="shared" si="12"/>
        <v>P</v>
      </c>
      <c r="U49" s="13" t="s">
        <v>373</v>
      </c>
      <c r="V49" s="13" t="s">
        <v>374</v>
      </c>
      <c r="W49" s="13" t="s">
        <v>375</v>
      </c>
      <c r="X49" s="13" t="s">
        <v>376</v>
      </c>
      <c r="Y49" s="13"/>
      <c r="Z49" s="13"/>
    </row>
    <row r="50" spans="1:26" ht="12.75" customHeight="1" x14ac:dyDescent="0.2">
      <c r="A50" s="8" t="s">
        <v>65</v>
      </c>
      <c r="B50" s="8" t="str">
        <f t="shared" si="7"/>
        <v>Chaos Renegades6</v>
      </c>
      <c r="C50" s="197" t="s">
        <v>377</v>
      </c>
      <c r="D50" s="8" t="str">
        <f t="shared" si="1"/>
        <v>Chaos RenegadesOrc Renegade</v>
      </c>
      <c r="E50" s="197">
        <v>5</v>
      </c>
      <c r="F50" s="197">
        <v>3</v>
      </c>
      <c r="G50" s="197">
        <v>3</v>
      </c>
      <c r="H50" s="197">
        <v>5</v>
      </c>
      <c r="I50" s="197">
        <v>10</v>
      </c>
      <c r="J50" s="8" t="str">
        <f>IF(Roster!$K$25="Español",V50,(IF(Roster!$K$25="Deutsch",W50,(IF(Roster!$K$25="Français",X50,U50)))))</f>
        <v>Animosity (all team-mates)</v>
      </c>
      <c r="K50" s="216">
        <v>50000</v>
      </c>
      <c r="L50" s="7">
        <f t="shared" si="2"/>
        <v>50</v>
      </c>
      <c r="M50" s="216">
        <v>1</v>
      </c>
      <c r="N50" s="216">
        <v>0</v>
      </c>
      <c r="O50" s="216" t="s">
        <v>199</v>
      </c>
      <c r="P50" s="216" t="s">
        <v>198</v>
      </c>
      <c r="Q50" s="216" t="s">
        <v>198</v>
      </c>
      <c r="R50" s="216">
        <v>0</v>
      </c>
      <c r="S50" s="216" t="s">
        <v>199</v>
      </c>
      <c r="T50" s="13" t="str">
        <f t="shared" si="12"/>
        <v>P</v>
      </c>
      <c r="U50" s="13" t="s">
        <v>373</v>
      </c>
      <c r="V50" s="13" t="s">
        <v>374</v>
      </c>
      <c r="W50" s="13" t="s">
        <v>375</v>
      </c>
      <c r="X50" s="13" t="s">
        <v>376</v>
      </c>
      <c r="Y50" s="13"/>
      <c r="Z50" s="13"/>
    </row>
    <row r="51" spans="1:26" ht="12.75" customHeight="1" x14ac:dyDescent="0.2">
      <c r="A51" s="8" t="s">
        <v>65</v>
      </c>
      <c r="B51" s="8" t="str">
        <f t="shared" si="7"/>
        <v>Chaos Renegades7</v>
      </c>
      <c r="C51" s="197" t="s">
        <v>378</v>
      </c>
      <c r="D51" s="8" t="str">
        <f t="shared" si="1"/>
        <v>Chaos RenegadesDark Elf Renegade</v>
      </c>
      <c r="E51" s="197">
        <v>6</v>
      </c>
      <c r="F51" s="197">
        <v>3</v>
      </c>
      <c r="G51" s="197">
        <v>2</v>
      </c>
      <c r="H51" s="197">
        <v>3</v>
      </c>
      <c r="I51" s="197">
        <v>9</v>
      </c>
      <c r="J51" s="8" t="str">
        <f>IF(Roster!$K$25="Español",V51,(IF(Roster!$K$25="Deutsch",W51,(IF(Roster!$K$25="Français",X51,U51)))))</f>
        <v>Animosity (all team-mates)</v>
      </c>
      <c r="K51" s="216">
        <v>75000</v>
      </c>
      <c r="L51" s="7">
        <f t="shared" si="2"/>
        <v>75</v>
      </c>
      <c r="M51" s="216">
        <v>1</v>
      </c>
      <c r="N51" s="216">
        <v>0</v>
      </c>
      <c r="O51" s="216" t="s">
        <v>199</v>
      </c>
      <c r="P51" s="216" t="s">
        <v>199</v>
      </c>
      <c r="Q51" s="216" t="s">
        <v>198</v>
      </c>
      <c r="R51" s="216" t="s">
        <v>198</v>
      </c>
      <c r="S51" s="216" t="s">
        <v>199</v>
      </c>
      <c r="T51" s="13" t="str">
        <f t="shared" si="12"/>
        <v>FULL</v>
      </c>
      <c r="U51" s="13" t="s">
        <v>373</v>
      </c>
      <c r="V51" s="13" t="s">
        <v>374</v>
      </c>
      <c r="W51" s="13" t="s">
        <v>375</v>
      </c>
      <c r="X51" s="13" t="s">
        <v>376</v>
      </c>
      <c r="Y51" s="13"/>
      <c r="Z51" s="13"/>
    </row>
    <row r="52" spans="1:26" ht="12.75" customHeight="1" x14ac:dyDescent="0.2">
      <c r="A52" s="8" t="s">
        <v>65</v>
      </c>
      <c r="B52" s="8" t="str">
        <f t="shared" si="7"/>
        <v>Chaos Renegades8</v>
      </c>
      <c r="C52" s="197" t="s">
        <v>379</v>
      </c>
      <c r="D52" s="8" t="str">
        <f t="shared" si="1"/>
        <v>Chaos RenegadesTroll Renegade</v>
      </c>
      <c r="E52" s="197">
        <v>4</v>
      </c>
      <c r="F52" s="197">
        <v>5</v>
      </c>
      <c r="G52" s="197">
        <v>5</v>
      </c>
      <c r="H52" s="197">
        <v>5</v>
      </c>
      <c r="I52" s="197">
        <v>10</v>
      </c>
      <c r="J52" s="8" t="str">
        <f>IF(Roster!$K$25="Español",V52,(IF(Roster!$K$25="Deutsch",W52,(IF(Roster!$K$25="Français",X52,U52)))))</f>
        <v>Always Hungry, Loner (4+), Mighty Blow (+1), Projectile Vomit, Really Stupid, Regeneration, Throw Team-mate</v>
      </c>
      <c r="K52" s="216">
        <v>115000</v>
      </c>
      <c r="L52" s="7">
        <f t="shared" si="2"/>
        <v>115</v>
      </c>
      <c r="M52" s="216">
        <v>1</v>
      </c>
      <c r="N52" s="216">
        <v>1</v>
      </c>
      <c r="O52" s="216" t="s">
        <v>198</v>
      </c>
      <c r="P52" s="216" t="s">
        <v>198</v>
      </c>
      <c r="Q52" s="216" t="s">
        <v>199</v>
      </c>
      <c r="R52" s="216">
        <v>0</v>
      </c>
      <c r="S52" s="216" t="s">
        <v>198</v>
      </c>
      <c r="T52" s="13" t="str">
        <f t="shared" si="12"/>
        <v>P</v>
      </c>
      <c r="U52" s="13" t="s">
        <v>321</v>
      </c>
      <c r="V52" s="13" t="s">
        <v>322</v>
      </c>
      <c r="W52" s="13" t="s">
        <v>323</v>
      </c>
      <c r="X52" s="13" t="s">
        <v>324</v>
      </c>
      <c r="Y52" s="13"/>
      <c r="Z52" s="13"/>
    </row>
    <row r="53" spans="1:26" ht="12.75" customHeight="1" x14ac:dyDescent="0.2">
      <c r="A53" s="8" t="s">
        <v>65</v>
      </c>
      <c r="B53" s="8" t="str">
        <f t="shared" si="7"/>
        <v>Chaos Renegades9</v>
      </c>
      <c r="C53" s="197" t="s">
        <v>380</v>
      </c>
      <c r="D53" s="8" t="str">
        <f t="shared" si="1"/>
        <v>Chaos RenegadesOgre Renegade</v>
      </c>
      <c r="E53" s="197">
        <v>5</v>
      </c>
      <c r="F53" s="197">
        <v>5</v>
      </c>
      <c r="G53" s="197">
        <v>4</v>
      </c>
      <c r="H53" s="197">
        <v>5</v>
      </c>
      <c r="I53" s="197">
        <v>10</v>
      </c>
      <c r="J53" s="8" t="str">
        <f>IF(Roster!$K$25="Español",V53,(IF(Roster!$K$25="Deutsch",W53,(IF(Roster!$K$25="Français",X53,U53)))))</f>
        <v>Bone Head, Loner (4+), Mighty Blow (+1), Thick Skull, Throw Team-mate</v>
      </c>
      <c r="K53" s="216">
        <v>140000</v>
      </c>
      <c r="L53" s="7">
        <f t="shared" si="2"/>
        <v>140</v>
      </c>
      <c r="M53" s="216">
        <v>1</v>
      </c>
      <c r="N53" s="216">
        <v>1</v>
      </c>
      <c r="O53" s="216" t="s">
        <v>198</v>
      </c>
      <c r="P53" s="216" t="s">
        <v>198</v>
      </c>
      <c r="Q53" s="216" t="s">
        <v>199</v>
      </c>
      <c r="R53" s="216">
        <v>0</v>
      </c>
      <c r="S53" s="216" t="s">
        <v>198</v>
      </c>
      <c r="T53" s="13" t="str">
        <f t="shared" si="12"/>
        <v>P</v>
      </c>
      <c r="U53" s="13" t="s">
        <v>326</v>
      </c>
      <c r="V53" s="13" t="s">
        <v>327</v>
      </c>
      <c r="W53" s="13" t="s">
        <v>328</v>
      </c>
      <c r="X53" s="13" t="s">
        <v>329</v>
      </c>
      <c r="Y53" s="13"/>
      <c r="Z53" s="13"/>
    </row>
    <row r="54" spans="1:26" ht="12.75" customHeight="1" x14ac:dyDescent="0.2">
      <c r="A54" s="8" t="s">
        <v>65</v>
      </c>
      <c r="B54" s="8" t="str">
        <f t="shared" si="7"/>
        <v>Chaos Renegades10</v>
      </c>
      <c r="C54" s="197" t="s">
        <v>381</v>
      </c>
      <c r="D54" s="8" t="str">
        <f t="shared" si="1"/>
        <v>Chaos RenegadesMinotaur Renegade</v>
      </c>
      <c r="E54" s="197">
        <v>5</v>
      </c>
      <c r="F54" s="197">
        <v>5</v>
      </c>
      <c r="G54" s="197">
        <v>4</v>
      </c>
      <c r="H54" s="197">
        <v>0</v>
      </c>
      <c r="I54" s="197">
        <v>9</v>
      </c>
      <c r="J54" s="8" t="str">
        <f>IF(Roster!$K$25="Español",V54,(IF(Roster!$K$25="Deutsch",W54,(IF(Roster!$K$25="Français",X54,U54)))))</f>
        <v>Loner (4+), Frenzy, Horns, Mighty Blow (+1), Thick Skull, Unchannelled Fury</v>
      </c>
      <c r="K54" s="216">
        <v>150000</v>
      </c>
      <c r="L54" s="7">
        <f t="shared" si="2"/>
        <v>150</v>
      </c>
      <c r="M54" s="216">
        <v>1</v>
      </c>
      <c r="N54" s="216">
        <v>1</v>
      </c>
      <c r="O54" s="216" t="s">
        <v>198</v>
      </c>
      <c r="P54" s="216" t="s">
        <v>198</v>
      </c>
      <c r="Q54" s="216" t="s">
        <v>199</v>
      </c>
      <c r="R54" s="226">
        <v>0</v>
      </c>
      <c r="S54" s="216" t="s">
        <v>198</v>
      </c>
      <c r="T54" s="13" t="str">
        <f>IF(AND(R54&lt;&gt;0,S54&lt;&gt;0),"FULL",(IF(AND(R54=0,S54=0),"PM",IF(R54=0,"P",(IF(S54=0,"M"))))))</f>
        <v>P</v>
      </c>
      <c r="U54" s="13" t="s">
        <v>331</v>
      </c>
      <c r="V54" s="13" t="s">
        <v>332</v>
      </c>
      <c r="W54" s="13" t="s">
        <v>333</v>
      </c>
      <c r="X54" s="13" t="s">
        <v>334</v>
      </c>
      <c r="Y54" s="13"/>
      <c r="Z54" s="13"/>
    </row>
    <row r="55" spans="1:26" ht="12.75" customHeight="1" x14ac:dyDescent="0.2">
      <c r="A55" s="8" t="s">
        <v>65</v>
      </c>
      <c r="B55" s="8" t="str">
        <f t="shared" si="7"/>
        <v>Chaos Renegades11</v>
      </c>
      <c r="C55" s="197" t="s">
        <v>382</v>
      </c>
      <c r="D55" s="8" t="str">
        <f t="shared" si="1"/>
        <v>Chaos RenegadesRat Ogre Renegade</v>
      </c>
      <c r="E55" s="197">
        <v>6</v>
      </c>
      <c r="F55" s="197">
        <v>5</v>
      </c>
      <c r="G55" s="197">
        <v>4</v>
      </c>
      <c r="H55" s="197">
        <v>0</v>
      </c>
      <c r="I55" s="197">
        <v>9</v>
      </c>
      <c r="J55" s="8" t="str">
        <f>IF(Roster!$K$25="Español",V55,(IF(Roster!$K$25="Deutsch",W55,(IF(Roster!$K$25="Français",X55,U55)))))</f>
        <v>Animal Savagery, Frenzy, Loner (4+), Mighty Blow (+1), Prehensile Tail</v>
      </c>
      <c r="K55" s="216">
        <v>150000</v>
      </c>
      <c r="L55" s="7">
        <f t="shared" si="2"/>
        <v>150</v>
      </c>
      <c r="M55" s="216">
        <v>1</v>
      </c>
      <c r="N55" s="216">
        <v>1</v>
      </c>
      <c r="O55" s="216" t="s">
        <v>198</v>
      </c>
      <c r="P55" s="216" t="s">
        <v>198</v>
      </c>
      <c r="Q55" s="216" t="s">
        <v>199</v>
      </c>
      <c r="R55" s="226">
        <v>0</v>
      </c>
      <c r="S55" s="216" t="s">
        <v>198</v>
      </c>
      <c r="T55" s="13" t="str">
        <f t="shared" si="12"/>
        <v>P</v>
      </c>
      <c r="U55" s="13" t="s">
        <v>383</v>
      </c>
      <c r="V55" s="13" t="s">
        <v>384</v>
      </c>
      <c r="W55" s="13" t="s">
        <v>385</v>
      </c>
      <c r="X55" s="13" t="s">
        <v>386</v>
      </c>
      <c r="Y55" s="13"/>
      <c r="Z55" s="13"/>
    </row>
    <row r="56" spans="1:26" ht="12.75" customHeight="1" x14ac:dyDescent="0.2">
      <c r="A56" s="8" t="s">
        <v>65</v>
      </c>
      <c r="B56" s="8" t="str">
        <f t="shared" si="7"/>
        <v>Chaos Renegades12</v>
      </c>
      <c r="C56" s="197" t="s">
        <v>387</v>
      </c>
      <c r="D56" s="8" t="str">
        <f t="shared" si="1"/>
        <v>Chaos RenegadesJourney Lineman</v>
      </c>
      <c r="E56" s="197">
        <v>6</v>
      </c>
      <c r="F56" s="197">
        <v>3</v>
      </c>
      <c r="G56" s="197">
        <v>3</v>
      </c>
      <c r="H56" s="197">
        <v>4</v>
      </c>
      <c r="I56" s="197">
        <v>9</v>
      </c>
      <c r="J56" s="8" t="str">
        <f>IF(Roster!$K$25="Español",V56,(IF(Roster!$K$25="Deutsch",W56,(IF(Roster!$K$25="Français",X56,U56)))))</f>
        <v>Loner (4+)</v>
      </c>
      <c r="K56" s="216">
        <v>0</v>
      </c>
      <c r="L56" s="7">
        <v>50</v>
      </c>
      <c r="M56" s="197">
        <v>11</v>
      </c>
      <c r="N56" s="197">
        <v>0</v>
      </c>
      <c r="O56" s="216" t="s">
        <v>199</v>
      </c>
      <c r="P56" s="216" t="s">
        <v>198</v>
      </c>
      <c r="Q56" s="216" t="s">
        <v>199</v>
      </c>
      <c r="R56" s="216">
        <v>0</v>
      </c>
      <c r="S56" s="216" t="s">
        <v>199</v>
      </c>
      <c r="T56" s="13" t="str">
        <f t="shared" si="12"/>
        <v>P</v>
      </c>
      <c r="U56" s="13" t="s">
        <v>357</v>
      </c>
      <c r="V56" s="13" t="s">
        <v>358</v>
      </c>
      <c r="W56" s="13" t="s">
        <v>359</v>
      </c>
      <c r="X56" s="13" t="s">
        <v>360</v>
      </c>
      <c r="Y56" s="13"/>
      <c r="Z56" s="13"/>
    </row>
    <row r="57" spans="1:26" ht="12.75" customHeight="1" x14ac:dyDescent="0.2">
      <c r="A57" s="8" t="s">
        <v>70</v>
      </c>
      <c r="B57" s="8" t="str">
        <f t="shared" si="7"/>
        <v>Dark Elf1</v>
      </c>
      <c r="C57" s="197" t="str">
        <f>""</f>
        <v/>
      </c>
      <c r="D57" s="8" t="str">
        <f t="shared" si="1"/>
        <v>Dark Elf</v>
      </c>
      <c r="E57" s="197">
        <v>0</v>
      </c>
      <c r="F57" s="197">
        <v>0</v>
      </c>
      <c r="G57" s="197">
        <v>0</v>
      </c>
      <c r="H57" s="197">
        <v>0</v>
      </c>
      <c r="I57" s="197">
        <v>0</v>
      </c>
      <c r="J57" s="8">
        <f>IF(Roster!$K$25="Español",V57,(IF(Roster!$K$25="Deutsch",W57,(IF(Roster!$K$25="Français",X57,U57)))))</f>
        <v>0</v>
      </c>
      <c r="K57" s="216">
        <v>0</v>
      </c>
      <c r="L57" s="7">
        <f t="shared" si="2"/>
        <v>0</v>
      </c>
      <c r="M57" s="216">
        <v>0</v>
      </c>
      <c r="N57" s="216">
        <v>0</v>
      </c>
      <c r="O57" s="216"/>
      <c r="P57" s="216"/>
      <c r="Q57" s="216"/>
      <c r="R57" s="216"/>
      <c r="S57" s="216"/>
      <c r="T57" s="13"/>
      <c r="U57" s="13">
        <v>0</v>
      </c>
      <c r="V57" s="13">
        <v>0</v>
      </c>
      <c r="W57" s="13">
        <v>0</v>
      </c>
      <c r="X57" s="13">
        <v>0</v>
      </c>
      <c r="Y57" s="13">
        <v>0</v>
      </c>
      <c r="Z57" s="13"/>
    </row>
    <row r="58" spans="1:26" ht="12.75" customHeight="1" x14ac:dyDescent="0.2">
      <c r="A58" s="8" t="s">
        <v>70</v>
      </c>
      <c r="B58" s="8" t="str">
        <f t="shared" si="7"/>
        <v>Dark Elf2</v>
      </c>
      <c r="C58" s="197" t="s">
        <v>396</v>
      </c>
      <c r="D58" s="8" t="str">
        <f t="shared" si="1"/>
        <v>Dark ElfLineman</v>
      </c>
      <c r="E58" s="197">
        <v>6</v>
      </c>
      <c r="F58" s="197">
        <v>3</v>
      </c>
      <c r="G58" s="197">
        <v>2</v>
      </c>
      <c r="H58" s="197">
        <v>4</v>
      </c>
      <c r="I58" s="197">
        <v>9</v>
      </c>
      <c r="J58" s="8" t="str">
        <f>IF(Roster!$K$25="Español",V58,(IF(Roster!$K$25="Deutsch",W58,(IF(Roster!$K$25="Français",X58,U58)))))</f>
        <v/>
      </c>
      <c r="K58" s="216">
        <v>70000</v>
      </c>
      <c r="L58" s="7">
        <f t="shared" si="2"/>
        <v>70</v>
      </c>
      <c r="M58" s="216">
        <v>16</v>
      </c>
      <c r="N58" s="216">
        <v>0</v>
      </c>
      <c r="O58" s="216" t="s">
        <v>199</v>
      </c>
      <c r="P58" s="216" t="s">
        <v>199</v>
      </c>
      <c r="Q58" s="216" t="s">
        <v>198</v>
      </c>
      <c r="R58" s="216">
        <v>0</v>
      </c>
      <c r="S58" s="216">
        <v>0</v>
      </c>
      <c r="T58" s="13" t="str">
        <f t="shared" ref="T58:T63" si="14">IF(AND(R58&lt;&gt;0,S58&lt;&gt;0),"FULL",(IF(AND(R58=0,S58=0),"PM",IF(R58=0,"P",(IF(S58=0,"M"))))))</f>
        <v>PM</v>
      </c>
      <c r="U58" s="13" t="str">
        <f t="shared" ref="U58:Y58" si="15">""</f>
        <v/>
      </c>
      <c r="V58" s="13" t="str">
        <f t="shared" si="15"/>
        <v/>
      </c>
      <c r="W58" s="13" t="str">
        <f t="shared" si="15"/>
        <v/>
      </c>
      <c r="X58" s="13" t="str">
        <f t="shared" si="15"/>
        <v/>
      </c>
      <c r="Y58" s="13" t="str">
        <f t="shared" si="15"/>
        <v/>
      </c>
      <c r="Z58" s="13"/>
    </row>
    <row r="59" spans="1:26" ht="12.75" customHeight="1" x14ac:dyDescent="0.2">
      <c r="A59" s="8" t="s">
        <v>70</v>
      </c>
      <c r="B59" s="8" t="str">
        <f t="shared" si="7"/>
        <v>Dark Elf3</v>
      </c>
      <c r="C59" s="197" t="s">
        <v>397</v>
      </c>
      <c r="D59" s="8" t="str">
        <f t="shared" si="1"/>
        <v>Dark ElfRunner</v>
      </c>
      <c r="E59" s="197">
        <v>7</v>
      </c>
      <c r="F59" s="197">
        <v>3</v>
      </c>
      <c r="G59" s="197">
        <v>2</v>
      </c>
      <c r="H59" s="197">
        <v>3</v>
      </c>
      <c r="I59" s="197">
        <v>8</v>
      </c>
      <c r="J59" s="8" t="str">
        <f>IF(Roster!$K$25="Español",V59,(IF(Roster!$K$25="Deutsch",W59,(IF(Roster!$K$25="Français",X59,U59)))))</f>
        <v>Dump Off</v>
      </c>
      <c r="K59" s="216">
        <v>80000</v>
      </c>
      <c r="L59" s="7">
        <f t="shared" si="2"/>
        <v>80</v>
      </c>
      <c r="M59" s="216">
        <v>2</v>
      </c>
      <c r="N59" s="216">
        <v>0</v>
      </c>
      <c r="O59" s="216" t="s">
        <v>199</v>
      </c>
      <c r="P59" s="216" t="s">
        <v>199</v>
      </c>
      <c r="Q59" s="216" t="s">
        <v>198</v>
      </c>
      <c r="R59" s="216" t="s">
        <v>199</v>
      </c>
      <c r="S59" s="216">
        <v>0</v>
      </c>
      <c r="T59" s="13" t="str">
        <f t="shared" si="14"/>
        <v>M</v>
      </c>
      <c r="U59" s="13" t="s">
        <v>398</v>
      </c>
      <c r="V59" s="13" t="s">
        <v>399</v>
      </c>
      <c r="W59" s="13" t="s">
        <v>400</v>
      </c>
      <c r="X59" s="13" t="s">
        <v>401</v>
      </c>
      <c r="Y59" s="13"/>
      <c r="Z59" s="13"/>
    </row>
    <row r="60" spans="1:26" ht="12.75" customHeight="1" x14ac:dyDescent="0.2">
      <c r="A60" s="8" t="s">
        <v>70</v>
      </c>
      <c r="B60" s="8" t="str">
        <f t="shared" si="7"/>
        <v>Dark Elf4</v>
      </c>
      <c r="C60" s="197" t="s">
        <v>402</v>
      </c>
      <c r="D60" s="8" t="str">
        <f t="shared" si="1"/>
        <v>Dark ElfAssassin</v>
      </c>
      <c r="E60" s="197">
        <v>7</v>
      </c>
      <c r="F60" s="197">
        <v>3</v>
      </c>
      <c r="G60" s="197">
        <v>2</v>
      </c>
      <c r="H60" s="197">
        <v>5</v>
      </c>
      <c r="I60" s="197">
        <v>8</v>
      </c>
      <c r="J60" s="8" t="str">
        <f>IF(Roster!$K$25="Español",V60,(IF(Roster!$K$25="Deutsch",W60,(IF(Roster!$K$25="Français",X60,U60)))))</f>
        <v>Shadowing, Stab</v>
      </c>
      <c r="K60" s="216">
        <v>85000</v>
      </c>
      <c r="L60" s="7">
        <f t="shared" si="2"/>
        <v>85</v>
      </c>
      <c r="M60" s="216">
        <v>2</v>
      </c>
      <c r="N60" s="216">
        <v>0</v>
      </c>
      <c r="O60" s="216" t="s">
        <v>199</v>
      </c>
      <c r="P60" s="216" t="s">
        <v>199</v>
      </c>
      <c r="Q60" s="216" t="s">
        <v>198</v>
      </c>
      <c r="R60" s="216" t="s">
        <v>198</v>
      </c>
      <c r="S60" s="216">
        <v>0</v>
      </c>
      <c r="T60" s="13" t="str">
        <f t="shared" si="14"/>
        <v>M</v>
      </c>
      <c r="U60" s="13" t="s">
        <v>403</v>
      </c>
      <c r="V60" s="13" t="s">
        <v>404</v>
      </c>
      <c r="W60" s="13" t="s">
        <v>405</v>
      </c>
      <c r="X60" s="13" t="s">
        <v>406</v>
      </c>
      <c r="Y60" s="13"/>
      <c r="Z60" s="13"/>
    </row>
    <row r="61" spans="1:26" ht="12.75" customHeight="1" x14ac:dyDescent="0.2">
      <c r="A61" s="8" t="s">
        <v>70</v>
      </c>
      <c r="B61" s="8" t="str">
        <f t="shared" si="7"/>
        <v>Dark Elf5</v>
      </c>
      <c r="C61" s="197" t="s">
        <v>286</v>
      </c>
      <c r="D61" s="8" t="str">
        <f t="shared" si="1"/>
        <v>Dark ElfBlitzer</v>
      </c>
      <c r="E61" s="197">
        <v>7</v>
      </c>
      <c r="F61" s="197">
        <v>3</v>
      </c>
      <c r="G61" s="197">
        <v>2</v>
      </c>
      <c r="H61" s="197">
        <v>4</v>
      </c>
      <c r="I61" s="197">
        <v>9</v>
      </c>
      <c r="J61" s="8" t="str">
        <f>IF(Roster!$K$25="Español",V61,(IF(Roster!$K$25="Deutsch",W61,(IF(Roster!$K$25="Français",X61,U61)))))</f>
        <v>Block</v>
      </c>
      <c r="K61" s="216">
        <v>100000</v>
      </c>
      <c r="L61" s="7">
        <f t="shared" si="2"/>
        <v>100</v>
      </c>
      <c r="M61" s="271">
        <v>4</v>
      </c>
      <c r="N61" s="271">
        <v>0</v>
      </c>
      <c r="O61" s="216" t="s">
        <v>199</v>
      </c>
      <c r="P61" s="216" t="s">
        <v>199</v>
      </c>
      <c r="Q61" s="216" t="s">
        <v>198</v>
      </c>
      <c r="R61" s="216" t="s">
        <v>198</v>
      </c>
      <c r="S61" s="216">
        <v>0</v>
      </c>
      <c r="T61" s="13" t="str">
        <f t="shared" si="14"/>
        <v>M</v>
      </c>
      <c r="U61" s="13" t="s">
        <v>407</v>
      </c>
      <c r="V61" s="13" t="s">
        <v>408</v>
      </c>
      <c r="W61" s="13" t="s">
        <v>407</v>
      </c>
      <c r="X61" s="13" t="s">
        <v>409</v>
      </c>
      <c r="Y61" s="13"/>
      <c r="Z61" s="13"/>
    </row>
    <row r="62" spans="1:26" ht="12.75" customHeight="1" x14ac:dyDescent="0.2">
      <c r="A62" s="8" t="s">
        <v>70</v>
      </c>
      <c r="B62" s="8" t="str">
        <f t="shared" si="7"/>
        <v>Dark Elf6</v>
      </c>
      <c r="C62" s="197" t="s">
        <v>410</v>
      </c>
      <c r="D62" s="8" t="str">
        <f t="shared" si="1"/>
        <v>Dark ElfWitch Elf</v>
      </c>
      <c r="E62" s="197">
        <v>7</v>
      </c>
      <c r="F62" s="197">
        <v>3</v>
      </c>
      <c r="G62" s="197">
        <v>2</v>
      </c>
      <c r="H62" s="197">
        <v>5</v>
      </c>
      <c r="I62" s="197">
        <v>8</v>
      </c>
      <c r="J62" s="8" t="str">
        <f>IF(Roster!$K$25="Español",V62,(IF(Roster!$K$25="Deutsch",W62,(IF(Roster!$K$25="Français",X62,U62)))))</f>
        <v>Dodge, Frenzy, Jump Up</v>
      </c>
      <c r="K62" s="216">
        <v>110000</v>
      </c>
      <c r="L62" s="7">
        <f t="shared" si="2"/>
        <v>110</v>
      </c>
      <c r="M62" s="197">
        <v>2</v>
      </c>
      <c r="N62" s="197">
        <v>0</v>
      </c>
      <c r="O62" s="216" t="s">
        <v>199</v>
      </c>
      <c r="P62" s="216" t="s">
        <v>199</v>
      </c>
      <c r="Q62" s="216" t="s">
        <v>198</v>
      </c>
      <c r="R62" s="216" t="s">
        <v>198</v>
      </c>
      <c r="S62" s="216">
        <v>0</v>
      </c>
      <c r="T62" s="13" t="str">
        <f t="shared" si="14"/>
        <v>M</v>
      </c>
      <c r="U62" s="13" t="s">
        <v>411</v>
      </c>
      <c r="V62" s="13" t="s">
        <v>412</v>
      </c>
      <c r="W62" s="13" t="s">
        <v>413</v>
      </c>
      <c r="X62" s="13" t="s">
        <v>414</v>
      </c>
      <c r="Y62" s="13"/>
      <c r="Z62" s="13"/>
    </row>
    <row r="63" spans="1:26" ht="12.75" customHeight="1" x14ac:dyDescent="0.2">
      <c r="A63" s="8" t="s">
        <v>70</v>
      </c>
      <c r="B63" s="8" t="str">
        <f t="shared" si="7"/>
        <v>Dark Elf7</v>
      </c>
      <c r="C63" s="197" t="s">
        <v>415</v>
      </c>
      <c r="D63" s="8" t="str">
        <f t="shared" si="1"/>
        <v>Dark ElfJourney Elf</v>
      </c>
      <c r="E63" s="197">
        <v>6</v>
      </c>
      <c r="F63" s="197">
        <v>3</v>
      </c>
      <c r="G63" s="197">
        <v>2</v>
      </c>
      <c r="H63" s="197">
        <v>4</v>
      </c>
      <c r="I63" s="197">
        <v>9</v>
      </c>
      <c r="J63" s="8" t="str">
        <f>IF(Roster!$K$25="Español",V63,(IF(Roster!$K$25="Deutsch",W63,(IF(Roster!$K$25="Français",X63,U63)))))</f>
        <v>Loner (4+)</v>
      </c>
      <c r="K63" s="216">
        <v>0</v>
      </c>
      <c r="L63" s="7">
        <v>70</v>
      </c>
      <c r="M63" s="197">
        <v>11</v>
      </c>
      <c r="N63" s="197">
        <v>0</v>
      </c>
      <c r="O63" s="216" t="s">
        <v>199</v>
      </c>
      <c r="P63" s="216" t="s">
        <v>199</v>
      </c>
      <c r="Q63" s="216" t="s">
        <v>198</v>
      </c>
      <c r="R63" s="216">
        <v>0</v>
      </c>
      <c r="S63" s="216">
        <v>0</v>
      </c>
      <c r="T63" s="13" t="str">
        <f t="shared" si="14"/>
        <v>PM</v>
      </c>
      <c r="U63" s="13" t="s">
        <v>357</v>
      </c>
      <c r="V63" s="13" t="s">
        <v>358</v>
      </c>
      <c r="W63" s="13" t="s">
        <v>359</v>
      </c>
      <c r="X63" s="13" t="s">
        <v>360</v>
      </c>
      <c r="Y63" s="13"/>
      <c r="Z63" s="13"/>
    </row>
    <row r="64" spans="1:26" ht="12.75" customHeight="1" x14ac:dyDescent="0.2">
      <c r="A64" s="8" t="s">
        <v>76</v>
      </c>
      <c r="B64" s="8" t="str">
        <f t="shared" si="7"/>
        <v>Dwarf1</v>
      </c>
      <c r="C64" s="197" t="str">
        <f>""</f>
        <v/>
      </c>
      <c r="D64" s="8" t="str">
        <f t="shared" si="1"/>
        <v>Dwarf</v>
      </c>
      <c r="E64" s="197">
        <v>0</v>
      </c>
      <c r="F64" s="197">
        <v>0</v>
      </c>
      <c r="G64" s="197">
        <v>0</v>
      </c>
      <c r="H64" s="197">
        <v>0</v>
      </c>
      <c r="I64" s="197">
        <v>0</v>
      </c>
      <c r="J64" s="8">
        <f>IF(Roster!$K$25="Español",V64,(IF(Roster!$K$25="Deutsch",W64,(IF(Roster!$K$25="Français",X64,U64)))))</f>
        <v>0</v>
      </c>
      <c r="K64" s="216">
        <v>0</v>
      </c>
      <c r="L64" s="7">
        <f t="shared" si="2"/>
        <v>0</v>
      </c>
      <c r="M64" s="216">
        <v>0</v>
      </c>
      <c r="N64" s="216">
        <v>0</v>
      </c>
      <c r="O64" s="216"/>
      <c r="P64" s="216"/>
      <c r="Q64" s="216"/>
      <c r="R64" s="216"/>
      <c r="S64" s="216"/>
      <c r="T64" s="13"/>
      <c r="U64" s="13">
        <v>0</v>
      </c>
      <c r="V64" s="13">
        <v>0</v>
      </c>
      <c r="W64" s="13">
        <v>0</v>
      </c>
      <c r="X64" s="13">
        <v>0</v>
      </c>
      <c r="Y64" s="13">
        <v>0</v>
      </c>
      <c r="Z64" s="13"/>
    </row>
    <row r="65" spans="1:26" ht="12.75" customHeight="1" x14ac:dyDescent="0.2">
      <c r="A65" s="8" t="s">
        <v>76</v>
      </c>
      <c r="B65" s="8" t="str">
        <f t="shared" si="7"/>
        <v>Dwarf2</v>
      </c>
      <c r="C65" s="197" t="s">
        <v>341</v>
      </c>
      <c r="D65" s="8" t="str">
        <f t="shared" si="1"/>
        <v>DwarfBlocker</v>
      </c>
      <c r="E65" s="197">
        <v>4</v>
      </c>
      <c r="F65" s="197">
        <v>3</v>
      </c>
      <c r="G65" s="197">
        <v>4</v>
      </c>
      <c r="H65" s="197">
        <v>5</v>
      </c>
      <c r="I65" s="197">
        <v>10</v>
      </c>
      <c r="J65" s="8" t="str">
        <f>IF(Roster!$K$25="Español",V65,(IF(Roster!$K$25="Deutsch",W65,(IF(Roster!$K$25="Français",X65,U65)))))</f>
        <v>Block, Tackle, Thick Skull</v>
      </c>
      <c r="K65" s="216">
        <v>70000</v>
      </c>
      <c r="L65" s="7">
        <f t="shared" si="2"/>
        <v>70</v>
      </c>
      <c r="M65" s="271">
        <v>16</v>
      </c>
      <c r="N65" s="271">
        <v>0</v>
      </c>
      <c r="O65" s="216" t="s">
        <v>199</v>
      </c>
      <c r="P65" s="216" t="s">
        <v>198</v>
      </c>
      <c r="Q65" s="216" t="s">
        <v>199</v>
      </c>
      <c r="R65" s="216">
        <v>0</v>
      </c>
      <c r="S65" s="216">
        <v>0</v>
      </c>
      <c r="T65" s="13" t="str">
        <f t="shared" ref="T65:T70" si="16">IF(AND(R65&lt;&gt;0,S65&lt;&gt;0),"FULL",(IF(AND(R65=0,S65=0),"PM",IF(R65=0,"P",(IF(S65=0,"M"))))))</f>
        <v>PM</v>
      </c>
      <c r="U65" s="13" t="s">
        <v>342</v>
      </c>
      <c r="V65" s="197" t="s">
        <v>343</v>
      </c>
      <c r="W65" s="13" t="s">
        <v>344</v>
      </c>
      <c r="X65" s="13" t="s">
        <v>345</v>
      </c>
      <c r="Y65" s="13"/>
      <c r="Z65" s="13"/>
    </row>
    <row r="66" spans="1:26" ht="12.75" customHeight="1" x14ac:dyDescent="0.2">
      <c r="A66" s="8" t="s">
        <v>76</v>
      </c>
      <c r="B66" s="8" t="str">
        <f t="shared" si="7"/>
        <v>Dwarf3</v>
      </c>
      <c r="C66" s="197" t="s">
        <v>397</v>
      </c>
      <c r="D66" s="8" t="str">
        <f t="shared" si="1"/>
        <v>DwarfRunner</v>
      </c>
      <c r="E66" s="197">
        <v>6</v>
      </c>
      <c r="F66" s="197">
        <v>3</v>
      </c>
      <c r="G66" s="197">
        <v>3</v>
      </c>
      <c r="H66" s="197">
        <v>4</v>
      </c>
      <c r="I66" s="197">
        <v>9</v>
      </c>
      <c r="J66" s="8" t="str">
        <f>IF(Roster!$K$25="Español",V66,(IF(Roster!$K$25="Deutsch",W66,(IF(Roster!$K$25="Français",X66,U66)))))</f>
        <v>Sure Hands, Thick Skull</v>
      </c>
      <c r="K66" s="216">
        <v>85000</v>
      </c>
      <c r="L66" s="7">
        <f t="shared" si="2"/>
        <v>85</v>
      </c>
      <c r="M66" s="216">
        <v>2</v>
      </c>
      <c r="N66" s="216">
        <v>0</v>
      </c>
      <c r="O66" s="216" t="s">
        <v>199</v>
      </c>
      <c r="P66" s="216" t="s">
        <v>198</v>
      </c>
      <c r="Q66" s="216" t="s">
        <v>198</v>
      </c>
      <c r="R66" s="216" t="s">
        <v>199</v>
      </c>
      <c r="S66" s="216">
        <v>0</v>
      </c>
      <c r="T66" s="13" t="str">
        <f t="shared" si="16"/>
        <v>M</v>
      </c>
      <c r="U66" s="13" t="s">
        <v>416</v>
      </c>
      <c r="V66" s="197" t="s">
        <v>417</v>
      </c>
      <c r="W66" s="13" t="s">
        <v>418</v>
      </c>
      <c r="X66" s="13" t="s">
        <v>419</v>
      </c>
      <c r="Y66" s="13"/>
      <c r="Z66" s="13"/>
    </row>
    <row r="67" spans="1:26" ht="12.75" customHeight="1" x14ac:dyDescent="0.2">
      <c r="A67" s="8" t="s">
        <v>76</v>
      </c>
      <c r="B67" s="8" t="str">
        <f t="shared" si="7"/>
        <v>Dwarf4</v>
      </c>
      <c r="C67" s="197" t="s">
        <v>286</v>
      </c>
      <c r="D67" s="8" t="str">
        <f t="shared" si="1"/>
        <v>DwarfBlitzer</v>
      </c>
      <c r="E67" s="197">
        <v>5</v>
      </c>
      <c r="F67" s="197">
        <v>3</v>
      </c>
      <c r="G67" s="197">
        <v>3</v>
      </c>
      <c r="H67" s="197">
        <v>4</v>
      </c>
      <c r="I67" s="197">
        <v>10</v>
      </c>
      <c r="J67" s="8" t="str">
        <f>IF(Roster!$K$25="Español",V67,(IF(Roster!$K$25="Deutsch",W67,(IF(Roster!$K$25="Français",X67,U67)))))</f>
        <v>Block, Thick Skull</v>
      </c>
      <c r="K67" s="216">
        <v>80000</v>
      </c>
      <c r="L67" s="7">
        <f t="shared" si="2"/>
        <v>80</v>
      </c>
      <c r="M67" s="216">
        <v>2</v>
      </c>
      <c r="N67" s="216">
        <v>0</v>
      </c>
      <c r="O67" s="216" t="s">
        <v>199</v>
      </c>
      <c r="P67" s="216" t="s">
        <v>198</v>
      </c>
      <c r="Q67" s="216" t="s">
        <v>199</v>
      </c>
      <c r="R67" s="216" t="s">
        <v>198</v>
      </c>
      <c r="S67" s="216">
        <v>0</v>
      </c>
      <c r="T67" s="13" t="str">
        <f t="shared" si="16"/>
        <v>M</v>
      </c>
      <c r="U67" s="13" t="s">
        <v>420</v>
      </c>
      <c r="V67" s="13" t="s">
        <v>421</v>
      </c>
      <c r="W67" s="13" t="s">
        <v>422</v>
      </c>
      <c r="X67" s="13" t="s">
        <v>423</v>
      </c>
      <c r="Y67" s="13"/>
      <c r="Z67" s="13"/>
    </row>
    <row r="68" spans="1:26" ht="12.75" customHeight="1" x14ac:dyDescent="0.2">
      <c r="A68" s="8" t="s">
        <v>76</v>
      </c>
      <c r="B68" s="8" t="str">
        <f t="shared" si="7"/>
        <v>Dwarf5</v>
      </c>
      <c r="C68" s="197" t="s">
        <v>424</v>
      </c>
      <c r="D68" s="8" t="str">
        <f t="shared" si="1"/>
        <v>DwarfTroll Slayer</v>
      </c>
      <c r="E68" s="197">
        <v>5</v>
      </c>
      <c r="F68" s="197">
        <v>3</v>
      </c>
      <c r="G68" s="197">
        <v>4</v>
      </c>
      <c r="H68" s="197">
        <v>0</v>
      </c>
      <c r="I68" s="197">
        <v>9</v>
      </c>
      <c r="J68" s="8" t="str">
        <f>IF(Roster!$K$25="Español",V68,(IF(Roster!$K$25="Deutsch",W68,(IF(Roster!$K$25="Français",X68,U68)))))</f>
        <v>Block, Frenzy, Dauntless, Thick Skull</v>
      </c>
      <c r="K68" s="216">
        <v>95000</v>
      </c>
      <c r="L68" s="7">
        <f t="shared" si="2"/>
        <v>95</v>
      </c>
      <c r="M68" s="216">
        <v>2</v>
      </c>
      <c r="N68" s="216">
        <v>0</v>
      </c>
      <c r="O68" s="216" t="s">
        <v>199</v>
      </c>
      <c r="P68" s="216" t="s">
        <v>198</v>
      </c>
      <c r="Q68" s="216" t="s">
        <v>199</v>
      </c>
      <c r="R68" s="226">
        <v>0</v>
      </c>
      <c r="S68" s="216">
        <v>0</v>
      </c>
      <c r="T68" s="13" t="str">
        <f t="shared" si="16"/>
        <v>PM</v>
      </c>
      <c r="U68" s="13" t="s">
        <v>425</v>
      </c>
      <c r="V68" s="13" t="s">
        <v>426</v>
      </c>
      <c r="W68" s="13" t="s">
        <v>427</v>
      </c>
      <c r="X68" s="13" t="s">
        <v>428</v>
      </c>
      <c r="Y68" s="13"/>
      <c r="Z68" s="13"/>
    </row>
    <row r="69" spans="1:26" ht="12.75" customHeight="1" x14ac:dyDescent="0.2">
      <c r="A69" s="8" t="s">
        <v>76</v>
      </c>
      <c r="B69" s="8" t="str">
        <f t="shared" si="7"/>
        <v>Dwarf6</v>
      </c>
      <c r="C69" s="197" t="s">
        <v>429</v>
      </c>
      <c r="D69" s="8" t="str">
        <f t="shared" si="1"/>
        <v>DwarfDeathroller</v>
      </c>
      <c r="E69" s="197">
        <v>4</v>
      </c>
      <c r="F69" s="197">
        <v>7</v>
      </c>
      <c r="G69" s="197">
        <v>5</v>
      </c>
      <c r="H69" s="197">
        <v>0</v>
      </c>
      <c r="I69" s="197">
        <v>11</v>
      </c>
      <c r="J69" s="8" t="str">
        <f>IF(Roster!$K$25="Español",V69,(IF(Roster!$K$25="Deutsch",W69,(IF(Roster!$K$25="Français",X69,U69)))))</f>
        <v>Break Tackle, Dirty Player (+2), Juggernaut, Loner (5+), Mighty Blow (+1), No Hands, Secret Weapon, Stand Firm</v>
      </c>
      <c r="K69" s="216">
        <v>170000</v>
      </c>
      <c r="L69" s="7">
        <f t="shared" si="2"/>
        <v>170</v>
      </c>
      <c r="M69" s="197">
        <v>1</v>
      </c>
      <c r="N69" s="197">
        <v>1</v>
      </c>
      <c r="O69" s="216" t="s">
        <v>198</v>
      </c>
      <c r="P69" s="216" t="s">
        <v>198</v>
      </c>
      <c r="Q69" s="216" t="s">
        <v>199</v>
      </c>
      <c r="R69" s="216">
        <v>0</v>
      </c>
      <c r="S69" s="216">
        <v>0</v>
      </c>
      <c r="T69" s="13" t="str">
        <f t="shared" si="16"/>
        <v>PM</v>
      </c>
      <c r="U69" s="13" t="s">
        <v>430</v>
      </c>
      <c r="V69" s="13" t="s">
        <v>431</v>
      </c>
      <c r="W69" s="13" t="s">
        <v>432</v>
      </c>
      <c r="X69" s="13" t="s">
        <v>433</v>
      </c>
      <c r="Y69" s="13"/>
      <c r="Z69" s="13"/>
    </row>
    <row r="70" spans="1:26" ht="12.75" customHeight="1" x14ac:dyDescent="0.2">
      <c r="A70" s="8" t="s">
        <v>76</v>
      </c>
      <c r="B70" s="8" t="str">
        <f t="shared" si="7"/>
        <v>Dwarf7</v>
      </c>
      <c r="C70" s="197" t="s">
        <v>434</v>
      </c>
      <c r="D70" s="8" t="str">
        <f t="shared" si="1"/>
        <v>DwarfJourney Dwarf</v>
      </c>
      <c r="E70" s="197">
        <v>4</v>
      </c>
      <c r="F70" s="197">
        <v>3</v>
      </c>
      <c r="G70" s="197">
        <v>4</v>
      </c>
      <c r="H70" s="197">
        <v>5</v>
      </c>
      <c r="I70" s="197">
        <v>10</v>
      </c>
      <c r="J70" s="8" t="str">
        <f>IF(Roster!$K$25="Español",V70,(IF(Roster!$K$25="Deutsch",W70,(IF(Roster!$K$25="Français",X70,U70)))))</f>
        <v>Loner (4+), Block, Tackle, Thick Skull</v>
      </c>
      <c r="K70" s="216">
        <v>0</v>
      </c>
      <c r="L70" s="7">
        <v>70</v>
      </c>
      <c r="M70" s="197">
        <v>11</v>
      </c>
      <c r="N70" s="197">
        <v>0</v>
      </c>
      <c r="O70" s="216" t="s">
        <v>199</v>
      </c>
      <c r="P70" s="216" t="s">
        <v>198</v>
      </c>
      <c r="Q70" s="216" t="s">
        <v>199</v>
      </c>
      <c r="R70" s="216">
        <v>0</v>
      </c>
      <c r="S70" s="216">
        <v>0</v>
      </c>
      <c r="T70" s="13" t="str">
        <f t="shared" si="16"/>
        <v>PM</v>
      </c>
      <c r="U70" s="13" t="s">
        <v>435</v>
      </c>
      <c r="V70" s="13" t="s">
        <v>436</v>
      </c>
      <c r="W70" s="13" t="s">
        <v>437</v>
      </c>
      <c r="X70" s="13" t="s">
        <v>438</v>
      </c>
      <c r="Y70" s="13"/>
      <c r="Z70" s="13"/>
    </row>
    <row r="71" spans="1:26" ht="12.75" customHeight="1" x14ac:dyDescent="0.2">
      <c r="A71" s="8" t="s">
        <v>81</v>
      </c>
      <c r="B71" s="8" t="str">
        <f t="shared" si="7"/>
        <v>Elven Union1</v>
      </c>
      <c r="C71" s="197" t="str">
        <f>""</f>
        <v/>
      </c>
      <c r="D71" s="8" t="str">
        <f t="shared" si="1"/>
        <v>Elven Union</v>
      </c>
      <c r="E71" s="197">
        <v>0</v>
      </c>
      <c r="F71" s="197">
        <v>0</v>
      </c>
      <c r="G71" s="197">
        <v>0</v>
      </c>
      <c r="H71" s="197">
        <v>0</v>
      </c>
      <c r="I71" s="197">
        <v>0</v>
      </c>
      <c r="J71" s="8">
        <f>IF(Roster!$K$25="Español",V71,(IF(Roster!$K$25="Deutsch",W71,(IF(Roster!$K$25="Français",X71,U71)))))</f>
        <v>0</v>
      </c>
      <c r="K71" s="216">
        <v>0</v>
      </c>
      <c r="L71" s="7">
        <f t="shared" si="2"/>
        <v>0</v>
      </c>
      <c r="M71" s="216">
        <v>0</v>
      </c>
      <c r="N71" s="216">
        <v>0</v>
      </c>
      <c r="O71" s="216"/>
      <c r="P71" s="216"/>
      <c r="Q71" s="216"/>
      <c r="R71" s="216"/>
      <c r="S71" s="216"/>
      <c r="T71" s="13"/>
      <c r="U71" s="13">
        <v>0</v>
      </c>
      <c r="V71" s="13">
        <v>0</v>
      </c>
      <c r="W71" s="13">
        <v>0</v>
      </c>
      <c r="X71" s="13">
        <v>0</v>
      </c>
      <c r="Y71" s="13">
        <v>0</v>
      </c>
      <c r="Z71" s="13"/>
    </row>
    <row r="72" spans="1:26" ht="12.75" customHeight="1" x14ac:dyDescent="0.2">
      <c r="A72" s="8" t="s">
        <v>81</v>
      </c>
      <c r="B72" s="8" t="str">
        <f t="shared" si="7"/>
        <v>Elven Union2</v>
      </c>
      <c r="C72" s="197" t="s">
        <v>396</v>
      </c>
      <c r="D72" s="8" t="str">
        <f t="shared" si="1"/>
        <v>Elven UnionLineman</v>
      </c>
      <c r="E72" s="197">
        <v>6</v>
      </c>
      <c r="F72" s="197">
        <v>3</v>
      </c>
      <c r="G72" s="197">
        <v>2</v>
      </c>
      <c r="H72" s="197">
        <v>4</v>
      </c>
      <c r="I72" s="197">
        <v>8</v>
      </c>
      <c r="J72" s="8" t="str">
        <f>IF(Roster!$K$25="Español",V72,(IF(Roster!$K$25="Deutsch",W72,(IF(Roster!$K$25="Français",X72,U72)))))</f>
        <v/>
      </c>
      <c r="K72" s="216">
        <v>60000</v>
      </c>
      <c r="L72" s="7">
        <f t="shared" si="2"/>
        <v>60</v>
      </c>
      <c r="M72" s="216">
        <v>16</v>
      </c>
      <c r="N72" s="216">
        <v>0</v>
      </c>
      <c r="O72" s="216" t="s">
        <v>199</v>
      </c>
      <c r="P72" s="216" t="s">
        <v>199</v>
      </c>
      <c r="Q72" s="216" t="s">
        <v>198</v>
      </c>
      <c r="R72" s="216">
        <v>0</v>
      </c>
      <c r="S72" s="216">
        <v>0</v>
      </c>
      <c r="T72" s="13" t="str">
        <f t="shared" ref="T72:T76" si="17">IF(AND(R72&lt;&gt;0,S72&lt;&gt;0),"FULL",(IF(AND(R72=0,S72=0),"PM",IF(R72=0,"P",(IF(S72=0,"M"))))))</f>
        <v>PM</v>
      </c>
      <c r="U72" s="13" t="str">
        <f t="shared" ref="U72:Y72" si="18">""</f>
        <v/>
      </c>
      <c r="V72" s="13" t="str">
        <f t="shared" si="18"/>
        <v/>
      </c>
      <c r="W72" s="13" t="str">
        <f t="shared" si="18"/>
        <v/>
      </c>
      <c r="X72" s="13" t="str">
        <f t="shared" si="18"/>
        <v/>
      </c>
      <c r="Y72" s="13" t="str">
        <f t="shared" si="18"/>
        <v/>
      </c>
      <c r="Z72" s="13"/>
    </row>
    <row r="73" spans="1:26" ht="12.75" customHeight="1" x14ac:dyDescent="0.2">
      <c r="A73" s="8" t="s">
        <v>81</v>
      </c>
      <c r="B73" s="8" t="str">
        <f t="shared" si="7"/>
        <v>Elven Union3</v>
      </c>
      <c r="C73" s="197" t="s">
        <v>276</v>
      </c>
      <c r="D73" s="8" t="str">
        <f t="shared" si="1"/>
        <v>Elven UnionThrower</v>
      </c>
      <c r="E73" s="197">
        <v>6</v>
      </c>
      <c r="F73" s="197">
        <v>3</v>
      </c>
      <c r="G73" s="197">
        <v>2</v>
      </c>
      <c r="H73" s="197">
        <v>2</v>
      </c>
      <c r="I73" s="197">
        <v>8</v>
      </c>
      <c r="J73" s="8" t="str">
        <f>IF(Roster!$K$25="Español",V73,(IF(Roster!$K$25="Deutsch",W73,(IF(Roster!$K$25="Français",X73,U73)))))</f>
        <v>Pass</v>
      </c>
      <c r="K73" s="216">
        <v>75000</v>
      </c>
      <c r="L73" s="7">
        <f t="shared" si="2"/>
        <v>75</v>
      </c>
      <c r="M73" s="271">
        <v>2</v>
      </c>
      <c r="N73" s="271">
        <v>0</v>
      </c>
      <c r="O73" s="216" t="s">
        <v>199</v>
      </c>
      <c r="P73" s="216" t="s">
        <v>199</v>
      </c>
      <c r="Q73" s="216" t="s">
        <v>198</v>
      </c>
      <c r="R73" s="216" t="s">
        <v>199</v>
      </c>
      <c r="S73" s="216">
        <v>0</v>
      </c>
      <c r="T73" s="13" t="str">
        <f t="shared" si="17"/>
        <v>M</v>
      </c>
      <c r="U73" s="13" t="s">
        <v>439</v>
      </c>
      <c r="V73" s="13" t="s">
        <v>440</v>
      </c>
      <c r="W73" s="13" t="s">
        <v>441</v>
      </c>
      <c r="X73" s="13" t="s">
        <v>442</v>
      </c>
      <c r="Y73" s="13"/>
      <c r="Z73" s="13"/>
    </row>
    <row r="74" spans="1:26" ht="12.75" customHeight="1" x14ac:dyDescent="0.2">
      <c r="A74" s="8" t="s">
        <v>81</v>
      </c>
      <c r="B74" s="8" t="str">
        <f t="shared" si="7"/>
        <v>Elven Union4</v>
      </c>
      <c r="C74" s="197" t="s">
        <v>281</v>
      </c>
      <c r="D74" s="8" t="str">
        <f t="shared" si="1"/>
        <v>Elven UnionCatcher</v>
      </c>
      <c r="E74" s="197">
        <v>8</v>
      </c>
      <c r="F74" s="197">
        <v>3</v>
      </c>
      <c r="G74" s="197">
        <v>2</v>
      </c>
      <c r="H74" s="197">
        <v>4</v>
      </c>
      <c r="I74" s="197">
        <v>8</v>
      </c>
      <c r="J74" s="8" t="str">
        <f>IF(Roster!$K$25="Español",V74,(IF(Roster!$K$25="Deutsch",W74,(IF(Roster!$K$25="Français",X74,U74)))))</f>
        <v>Catch, Nerves of Steel</v>
      </c>
      <c r="K74" s="216">
        <v>100000</v>
      </c>
      <c r="L74" s="7">
        <f t="shared" si="2"/>
        <v>100</v>
      </c>
      <c r="M74" s="197">
        <v>4</v>
      </c>
      <c r="N74" s="197">
        <v>0</v>
      </c>
      <c r="O74" s="216" t="s">
        <v>199</v>
      </c>
      <c r="P74" s="216" t="s">
        <v>199</v>
      </c>
      <c r="Q74" s="216" t="s">
        <v>198</v>
      </c>
      <c r="R74" s="216">
        <v>0</v>
      </c>
      <c r="S74" s="216">
        <v>0</v>
      </c>
      <c r="T74" s="13" t="str">
        <f t="shared" si="17"/>
        <v>PM</v>
      </c>
      <c r="U74" s="13" t="s">
        <v>443</v>
      </c>
      <c r="V74" s="13" t="s">
        <v>444</v>
      </c>
      <c r="W74" s="13" t="s">
        <v>445</v>
      </c>
      <c r="X74" s="13" t="s">
        <v>446</v>
      </c>
      <c r="Y74" s="13"/>
      <c r="Z74" s="13"/>
    </row>
    <row r="75" spans="1:26" ht="12.75" customHeight="1" x14ac:dyDescent="0.2">
      <c r="A75" s="8" t="s">
        <v>81</v>
      </c>
      <c r="B75" s="8" t="str">
        <f t="shared" si="7"/>
        <v>Elven Union5</v>
      </c>
      <c r="C75" s="197" t="s">
        <v>286</v>
      </c>
      <c r="D75" s="8" t="str">
        <f t="shared" si="1"/>
        <v>Elven UnionBlitzer</v>
      </c>
      <c r="E75" s="197">
        <v>7</v>
      </c>
      <c r="F75" s="197">
        <v>3</v>
      </c>
      <c r="G75" s="197">
        <v>2</v>
      </c>
      <c r="H75" s="197">
        <v>3</v>
      </c>
      <c r="I75" s="197">
        <v>9</v>
      </c>
      <c r="J75" s="8" t="str">
        <f>IF(Roster!$K$25="Español",V75,(IF(Roster!$K$25="Deutsch",W75,(IF(Roster!$K$25="Français",X75,U75)))))</f>
        <v>Block, Side Step</v>
      </c>
      <c r="K75" s="216">
        <v>115000</v>
      </c>
      <c r="L75" s="7">
        <f t="shared" si="2"/>
        <v>115</v>
      </c>
      <c r="M75" s="197">
        <v>2</v>
      </c>
      <c r="N75" s="197">
        <v>0</v>
      </c>
      <c r="O75" s="216" t="s">
        <v>199</v>
      </c>
      <c r="P75" s="216" t="s">
        <v>199</v>
      </c>
      <c r="Q75" s="216" t="s">
        <v>198</v>
      </c>
      <c r="R75" s="216" t="s">
        <v>198</v>
      </c>
      <c r="S75" s="216">
        <v>0</v>
      </c>
      <c r="T75" s="13" t="str">
        <f t="shared" si="17"/>
        <v>M</v>
      </c>
      <c r="U75" s="13" t="s">
        <v>447</v>
      </c>
      <c r="V75" s="13" t="s">
        <v>448</v>
      </c>
      <c r="W75" s="13" t="s">
        <v>449</v>
      </c>
      <c r="X75" s="13" t="s">
        <v>450</v>
      </c>
      <c r="Y75" s="13"/>
      <c r="Z75" s="13"/>
    </row>
    <row r="76" spans="1:26" ht="12.75" customHeight="1" x14ac:dyDescent="0.2">
      <c r="A76" s="8" t="s">
        <v>81</v>
      </c>
      <c r="B76" s="8" t="str">
        <f t="shared" si="7"/>
        <v>Elven Union6</v>
      </c>
      <c r="C76" s="197" t="s">
        <v>415</v>
      </c>
      <c r="D76" s="8" t="str">
        <f t="shared" si="1"/>
        <v>Elven UnionJourney Elf</v>
      </c>
      <c r="E76" s="197">
        <v>6</v>
      </c>
      <c r="F76" s="197">
        <v>3</v>
      </c>
      <c r="G76" s="197">
        <v>2</v>
      </c>
      <c r="H76" s="197">
        <v>4</v>
      </c>
      <c r="I76" s="197">
        <v>8</v>
      </c>
      <c r="J76" s="8" t="str">
        <f>IF(Roster!$K$25="Español",V76,(IF(Roster!$K$25="Deutsch",W76,(IF(Roster!$K$25="Français",X76,U76)))))</f>
        <v>Loner (4+)</v>
      </c>
      <c r="K76" s="216">
        <v>0</v>
      </c>
      <c r="L76" s="7">
        <v>60</v>
      </c>
      <c r="M76" s="197">
        <v>11</v>
      </c>
      <c r="N76" s="197">
        <v>0</v>
      </c>
      <c r="O76" s="216" t="s">
        <v>199</v>
      </c>
      <c r="P76" s="216" t="s">
        <v>199</v>
      </c>
      <c r="Q76" s="216" t="s">
        <v>198</v>
      </c>
      <c r="R76" s="216">
        <v>0</v>
      </c>
      <c r="S76" s="216">
        <v>0</v>
      </c>
      <c r="T76" s="13" t="str">
        <f t="shared" si="17"/>
        <v>PM</v>
      </c>
      <c r="U76" s="13" t="s">
        <v>357</v>
      </c>
      <c r="V76" s="13" t="s">
        <v>358</v>
      </c>
      <c r="W76" s="13" t="s">
        <v>359</v>
      </c>
      <c r="X76" s="13" t="s">
        <v>360</v>
      </c>
      <c r="Y76" s="13"/>
      <c r="Z76" s="13"/>
    </row>
    <row r="77" spans="1:26" ht="12.75" customHeight="1" x14ac:dyDescent="0.2">
      <c r="A77" s="8" t="s">
        <v>86</v>
      </c>
      <c r="B77" s="8" t="str">
        <f t="shared" si="7"/>
        <v>Goblin1</v>
      </c>
      <c r="C77" s="197" t="str">
        <f>""</f>
        <v/>
      </c>
      <c r="D77" s="8" t="str">
        <f t="shared" si="1"/>
        <v>Goblin</v>
      </c>
      <c r="E77" s="197">
        <v>0</v>
      </c>
      <c r="F77" s="197">
        <v>0</v>
      </c>
      <c r="G77" s="197">
        <v>0</v>
      </c>
      <c r="H77" s="197">
        <v>0</v>
      </c>
      <c r="I77" s="197">
        <v>0</v>
      </c>
      <c r="J77" s="8">
        <f>IF(Roster!$K$25="Español",V77,(IF(Roster!$K$25="Deutsch",W77,(IF(Roster!$K$25="Français",X77,U77)))))</f>
        <v>0</v>
      </c>
      <c r="K77" s="216">
        <v>0</v>
      </c>
      <c r="L77" s="7">
        <f t="shared" si="2"/>
        <v>0</v>
      </c>
      <c r="M77" s="216">
        <v>0</v>
      </c>
      <c r="N77" s="216">
        <v>0</v>
      </c>
      <c r="O77" s="216"/>
      <c r="P77" s="216"/>
      <c r="Q77" s="216"/>
      <c r="R77" s="216"/>
      <c r="S77" s="216"/>
      <c r="T77" s="13"/>
      <c r="U77" s="13">
        <v>0</v>
      </c>
      <c r="V77" s="13">
        <v>0</v>
      </c>
      <c r="W77" s="13">
        <v>0</v>
      </c>
      <c r="X77" s="13">
        <v>0</v>
      </c>
      <c r="Y77" s="13">
        <v>0</v>
      </c>
      <c r="Z77" s="13"/>
    </row>
    <row r="78" spans="1:26" ht="12.75" customHeight="1" x14ac:dyDescent="0.2">
      <c r="A78" s="8" t="s">
        <v>86</v>
      </c>
      <c r="B78" s="8" t="str">
        <f t="shared" si="7"/>
        <v>Goblin2</v>
      </c>
      <c r="C78" s="197" t="s">
        <v>86</v>
      </c>
      <c r="D78" s="8" t="str">
        <f t="shared" si="1"/>
        <v>GoblinGoblin</v>
      </c>
      <c r="E78" s="197">
        <v>6</v>
      </c>
      <c r="F78" s="197">
        <v>2</v>
      </c>
      <c r="G78" s="197">
        <v>3</v>
      </c>
      <c r="H78" s="197">
        <v>4</v>
      </c>
      <c r="I78" s="197">
        <v>8</v>
      </c>
      <c r="J78" s="8" t="str">
        <f>IF(Roster!$K$25="Español",V78,(IF(Roster!$K$25="Deutsch",W78,(IF(Roster!$K$25="Français",X78,U78)))))</f>
        <v>Dodge, Right Stuff, Stunty</v>
      </c>
      <c r="K78" s="216">
        <v>40000</v>
      </c>
      <c r="L78" s="7">
        <f t="shared" si="2"/>
        <v>40</v>
      </c>
      <c r="M78" s="216">
        <v>16</v>
      </c>
      <c r="N78" s="216">
        <v>0</v>
      </c>
      <c r="O78" s="216" t="s">
        <v>198</v>
      </c>
      <c r="P78" s="216" t="s">
        <v>199</v>
      </c>
      <c r="Q78" s="216" t="s">
        <v>198</v>
      </c>
      <c r="R78" s="216" t="s">
        <v>198</v>
      </c>
      <c r="S78" s="216">
        <v>0</v>
      </c>
      <c r="T78" s="13" t="str">
        <f t="shared" ref="T78:T86" si="19">IF(AND(R78&lt;&gt;0,S78&lt;&gt;0),"FULL",(IF(AND(R78=0,S78=0),"PM",IF(R78=0,"P",(IF(S78=0,"M"))))))</f>
        <v>M</v>
      </c>
      <c r="U78" s="13" t="s">
        <v>451</v>
      </c>
      <c r="V78" s="13" t="s">
        <v>452</v>
      </c>
      <c r="W78" s="13" t="s">
        <v>453</v>
      </c>
      <c r="X78" s="13" t="s">
        <v>454</v>
      </c>
      <c r="Y78" s="13"/>
      <c r="Z78" s="13"/>
    </row>
    <row r="79" spans="1:26" ht="12.75" customHeight="1" x14ac:dyDescent="0.2">
      <c r="A79" s="8" t="s">
        <v>86</v>
      </c>
      <c r="B79" s="8" t="str">
        <f t="shared" si="7"/>
        <v>Goblin3</v>
      </c>
      <c r="C79" s="197" t="s">
        <v>455</v>
      </c>
      <c r="D79" s="8" t="str">
        <f t="shared" si="1"/>
        <v>GoblinBombardier</v>
      </c>
      <c r="E79" s="197">
        <v>6</v>
      </c>
      <c r="F79" s="197">
        <v>2</v>
      </c>
      <c r="G79" s="197">
        <v>3</v>
      </c>
      <c r="H79" s="197">
        <v>4</v>
      </c>
      <c r="I79" s="197">
        <v>8</v>
      </c>
      <c r="J79" s="8" t="str">
        <f>IF(Roster!$K$25="Español",V79,(IF(Roster!$K$25="Deutsch",W79,(IF(Roster!$K$25="Français",X79,U79)))))</f>
        <v>Bombardier, Dodge, Secret Weapon, Stunty</v>
      </c>
      <c r="K79" s="216">
        <v>45000</v>
      </c>
      <c r="L79" s="7">
        <f t="shared" ref="L79:L149" si="20">K79/1000</f>
        <v>45</v>
      </c>
      <c r="M79" s="216">
        <v>1</v>
      </c>
      <c r="N79" s="216">
        <v>0</v>
      </c>
      <c r="O79" s="216" t="s">
        <v>198</v>
      </c>
      <c r="P79" s="216" t="s">
        <v>199</v>
      </c>
      <c r="Q79" s="216" t="s">
        <v>198</v>
      </c>
      <c r="R79" s="216" t="s">
        <v>198</v>
      </c>
      <c r="S79" s="216">
        <v>0</v>
      </c>
      <c r="T79" s="13" t="str">
        <f t="shared" si="19"/>
        <v>M</v>
      </c>
      <c r="U79" s="13" t="s">
        <v>456</v>
      </c>
      <c r="V79" s="13" t="s">
        <v>457</v>
      </c>
      <c r="W79" s="13" t="s">
        <v>458</v>
      </c>
      <c r="X79" s="13" t="s">
        <v>459</v>
      </c>
      <c r="Y79" s="13"/>
      <c r="Z79" s="13"/>
    </row>
    <row r="80" spans="1:26" ht="12.75" customHeight="1" x14ac:dyDescent="0.2">
      <c r="A80" s="8" t="s">
        <v>86</v>
      </c>
      <c r="B80" s="8" t="str">
        <f t="shared" si="7"/>
        <v>Goblin4</v>
      </c>
      <c r="C80" s="197" t="s">
        <v>460</v>
      </c>
      <c r="D80" s="8" t="str">
        <f t="shared" si="1"/>
        <v>GoblinLooney</v>
      </c>
      <c r="E80" s="197">
        <v>6</v>
      </c>
      <c r="F80" s="197">
        <v>2</v>
      </c>
      <c r="G80" s="197">
        <v>3</v>
      </c>
      <c r="H80" s="197">
        <v>0</v>
      </c>
      <c r="I80" s="197">
        <v>8</v>
      </c>
      <c r="J80" s="8" t="str">
        <f>IF(Roster!$K$25="Español",V80,(IF(Roster!$K$25="Deutsch",W80,(IF(Roster!$K$25="Français",X80,U80)))))</f>
        <v>Chainsaw, Secret Weapon, Stunty</v>
      </c>
      <c r="K80" s="216">
        <v>40000</v>
      </c>
      <c r="L80" s="7">
        <f t="shared" si="20"/>
        <v>40</v>
      </c>
      <c r="M80" s="216">
        <v>1</v>
      </c>
      <c r="N80" s="216">
        <v>0</v>
      </c>
      <c r="O80" s="216" t="s">
        <v>198</v>
      </c>
      <c r="P80" s="216" t="s">
        <v>199</v>
      </c>
      <c r="Q80" s="216" t="s">
        <v>198</v>
      </c>
      <c r="R80" s="226">
        <v>0</v>
      </c>
      <c r="S80" s="216">
        <v>0</v>
      </c>
      <c r="T80" s="13" t="str">
        <f t="shared" si="19"/>
        <v>PM</v>
      </c>
      <c r="U80" s="13" t="s">
        <v>461</v>
      </c>
      <c r="V80" s="13" t="s">
        <v>462</v>
      </c>
      <c r="W80" s="13" t="s">
        <v>463</v>
      </c>
      <c r="X80" s="13" t="s">
        <v>464</v>
      </c>
      <c r="Y80" s="13"/>
      <c r="Z80" s="13"/>
    </row>
    <row r="81" spans="1:26" ht="12.75" customHeight="1" x14ac:dyDescent="0.2">
      <c r="A81" s="8" t="s">
        <v>86</v>
      </c>
      <c r="B81" s="8" t="str">
        <f t="shared" si="7"/>
        <v>Goblin5</v>
      </c>
      <c r="C81" s="197" t="s">
        <v>465</v>
      </c>
      <c r="D81" s="8" t="str">
        <f t="shared" si="1"/>
        <v>GoblinDoom Diver</v>
      </c>
      <c r="E81" s="197">
        <v>6</v>
      </c>
      <c r="F81" s="197">
        <v>2</v>
      </c>
      <c r="G81" s="197">
        <v>3</v>
      </c>
      <c r="H81" s="197">
        <v>6</v>
      </c>
      <c r="I81" s="197">
        <v>8</v>
      </c>
      <c r="J81" s="8" t="str">
        <f>IF(Roster!$K$25="Español",V81,(IF(Roster!$K$25="Deutsch",W81,(IF(Roster!$K$25="Français",X81,U81)))))</f>
        <v>Right Stuff, Stunty, Swoop</v>
      </c>
      <c r="K81" s="216">
        <v>60000</v>
      </c>
      <c r="L81" s="7">
        <f t="shared" si="20"/>
        <v>60</v>
      </c>
      <c r="M81" s="271">
        <v>1</v>
      </c>
      <c r="N81" s="271">
        <v>0</v>
      </c>
      <c r="O81" s="216" t="s">
        <v>198</v>
      </c>
      <c r="P81" s="216" t="s">
        <v>199</v>
      </c>
      <c r="Q81" s="216" t="s">
        <v>198</v>
      </c>
      <c r="R81" s="216">
        <v>0</v>
      </c>
      <c r="S81" s="216">
        <v>0</v>
      </c>
      <c r="T81" s="13" t="str">
        <f t="shared" si="19"/>
        <v>PM</v>
      </c>
      <c r="U81" s="13" t="s">
        <v>466</v>
      </c>
      <c r="V81" s="13" t="s">
        <v>467</v>
      </c>
      <c r="W81" s="13" t="s">
        <v>468</v>
      </c>
      <c r="X81" s="13" t="s">
        <v>469</v>
      </c>
      <c r="Y81" s="13"/>
      <c r="Z81" s="13"/>
    </row>
    <row r="82" spans="1:26" ht="12.75" customHeight="1" x14ac:dyDescent="0.2">
      <c r="A82" s="8" t="s">
        <v>86</v>
      </c>
      <c r="B82" s="8" t="str">
        <f t="shared" si="7"/>
        <v>Goblin6</v>
      </c>
      <c r="C82" s="197" t="s">
        <v>470</v>
      </c>
      <c r="D82" s="8" t="str">
        <f t="shared" si="1"/>
        <v>GoblinOoligan</v>
      </c>
      <c r="E82" s="197">
        <v>6</v>
      </c>
      <c r="F82" s="197">
        <v>2</v>
      </c>
      <c r="G82" s="197">
        <v>3</v>
      </c>
      <c r="H82" s="197">
        <v>6</v>
      </c>
      <c r="I82" s="197">
        <v>8</v>
      </c>
      <c r="J82" s="8" t="str">
        <f>IF(Roster!$K$25="Español",V82,(IF(Roster!$K$25="Deutsch",W82,(IF(Roster!$K$25="Français",X82,U82)))))</f>
        <v>Dirty Player (+1), Disturbing Presence, Dodge, Right Stuff, Stunty</v>
      </c>
      <c r="K82" s="216">
        <v>65000</v>
      </c>
      <c r="L82" s="7">
        <f t="shared" si="20"/>
        <v>65</v>
      </c>
      <c r="M82" s="197">
        <v>1</v>
      </c>
      <c r="N82" s="197">
        <v>0</v>
      </c>
      <c r="O82" s="216" t="s">
        <v>198</v>
      </c>
      <c r="P82" s="216" t="s">
        <v>199</v>
      </c>
      <c r="Q82" s="216" t="s">
        <v>198</v>
      </c>
      <c r="R82" s="216" t="s">
        <v>198</v>
      </c>
      <c r="S82" s="216">
        <v>0</v>
      </c>
      <c r="T82" s="13" t="str">
        <f t="shared" si="19"/>
        <v>M</v>
      </c>
      <c r="U82" s="13" t="s">
        <v>471</v>
      </c>
      <c r="V82" s="13" t="s">
        <v>472</v>
      </c>
      <c r="W82" s="13" t="s">
        <v>473</v>
      </c>
      <c r="X82" s="13" t="s">
        <v>474</v>
      </c>
      <c r="Y82" s="13"/>
      <c r="Z82" s="13"/>
    </row>
    <row r="83" spans="1:26" ht="12.75" customHeight="1" x14ac:dyDescent="0.2">
      <c r="A83" s="8" t="s">
        <v>86</v>
      </c>
      <c r="B83" s="8" t="str">
        <f t="shared" si="7"/>
        <v>Goblin7</v>
      </c>
      <c r="C83" s="197" t="s">
        <v>475</v>
      </c>
      <c r="D83" s="8" t="str">
        <f t="shared" si="1"/>
        <v xml:space="preserve">GoblinFanatic </v>
      </c>
      <c r="E83" s="197">
        <v>3</v>
      </c>
      <c r="F83" s="197">
        <v>7</v>
      </c>
      <c r="G83" s="197">
        <v>3</v>
      </c>
      <c r="H83" s="197">
        <v>0</v>
      </c>
      <c r="I83" s="197">
        <v>8</v>
      </c>
      <c r="J83" s="8" t="str">
        <f>IF(Roster!$K$25="Español",V83,(IF(Roster!$K$25="Deutsch",W83,(IF(Roster!$K$25="Français",X83,U83)))))</f>
        <v>Ball &amp; Chain, No Hands, Secret Weapon, Stunty</v>
      </c>
      <c r="K83" s="216">
        <v>70000</v>
      </c>
      <c r="L83" s="7">
        <f t="shared" si="20"/>
        <v>70</v>
      </c>
      <c r="M83" s="197">
        <v>1</v>
      </c>
      <c r="N83" s="197">
        <v>0</v>
      </c>
      <c r="O83" s="216" t="s">
        <v>198</v>
      </c>
      <c r="P83" s="216" t="s">
        <v>198</v>
      </c>
      <c r="Q83" s="216" t="s">
        <v>199</v>
      </c>
      <c r="R83" s="226">
        <v>0</v>
      </c>
      <c r="S83" s="216">
        <v>0</v>
      </c>
      <c r="T83" s="13" t="str">
        <f t="shared" si="19"/>
        <v>PM</v>
      </c>
      <c r="U83" s="13" t="s">
        <v>476</v>
      </c>
      <c r="V83" s="13" t="s">
        <v>477</v>
      </c>
      <c r="W83" s="13" t="s">
        <v>478</v>
      </c>
      <c r="X83" s="13" t="s">
        <v>479</v>
      </c>
      <c r="Y83" s="13"/>
      <c r="Z83" s="13"/>
    </row>
    <row r="84" spans="1:26" ht="12.75" customHeight="1" x14ac:dyDescent="0.2">
      <c r="A84" s="8" t="s">
        <v>86</v>
      </c>
      <c r="B84" s="8" t="str">
        <f t="shared" si="7"/>
        <v>Goblin8</v>
      </c>
      <c r="C84" s="197" t="s">
        <v>480</v>
      </c>
      <c r="D84" s="8" t="str">
        <f t="shared" si="1"/>
        <v>GoblinPogoer</v>
      </c>
      <c r="E84" s="197">
        <v>7</v>
      </c>
      <c r="F84" s="197">
        <v>2</v>
      </c>
      <c r="G84" s="197">
        <v>3</v>
      </c>
      <c r="H84" s="197">
        <v>5</v>
      </c>
      <c r="I84" s="197">
        <v>8</v>
      </c>
      <c r="J84" s="8" t="str">
        <f>IF(Roster!$K$25="Español",V84,(IF(Roster!$K$25="Deutsch",W84,(IF(Roster!$K$25="Français",X84,U84)))))</f>
        <v>Dodge, Pogo Stick, Stunty</v>
      </c>
      <c r="K84" s="216">
        <v>75000</v>
      </c>
      <c r="L84" s="7">
        <f t="shared" si="20"/>
        <v>75</v>
      </c>
      <c r="M84" s="197">
        <v>1</v>
      </c>
      <c r="N84" s="197">
        <v>0</v>
      </c>
      <c r="O84" s="216" t="s">
        <v>198</v>
      </c>
      <c r="P84" s="216" t="s">
        <v>199</v>
      </c>
      <c r="Q84" s="216" t="s">
        <v>198</v>
      </c>
      <c r="R84" s="216" t="s">
        <v>198</v>
      </c>
      <c r="S84" s="216">
        <v>0</v>
      </c>
      <c r="T84" s="13" t="str">
        <f t="shared" si="19"/>
        <v>M</v>
      </c>
      <c r="U84" s="13" t="s">
        <v>481</v>
      </c>
      <c r="V84" s="13" t="s">
        <v>482</v>
      </c>
      <c r="W84" s="13" t="s">
        <v>483</v>
      </c>
      <c r="X84" s="13" t="s">
        <v>484</v>
      </c>
      <c r="Y84" s="13"/>
      <c r="Z84" s="13"/>
    </row>
    <row r="85" spans="1:26" ht="12.75" customHeight="1" x14ac:dyDescent="0.2">
      <c r="A85" s="8" t="s">
        <v>86</v>
      </c>
      <c r="B85" s="8" t="str">
        <f t="shared" si="7"/>
        <v>Goblin9</v>
      </c>
      <c r="C85" s="197" t="s">
        <v>485</v>
      </c>
      <c r="D85" s="8" t="str">
        <f t="shared" si="1"/>
        <v xml:space="preserve">GoblinTroll </v>
      </c>
      <c r="E85" s="197">
        <v>4</v>
      </c>
      <c r="F85" s="197">
        <v>5</v>
      </c>
      <c r="G85" s="197">
        <v>5</v>
      </c>
      <c r="H85" s="197">
        <v>5</v>
      </c>
      <c r="I85" s="197">
        <v>10</v>
      </c>
      <c r="J85" s="8" t="str">
        <f>IF(Roster!$K$25="Español",V85,(IF(Roster!$K$25="Deutsch",W85,(IF(Roster!$K$25="Français",X85,U85)))))</f>
        <v>Always Hungry, Loner (3+), Mighty Blow (+1), Projectile Vomit, Really Stupid, Regeneration, Throw Team-mate</v>
      </c>
      <c r="K85" s="216">
        <v>115000</v>
      </c>
      <c r="L85" s="7">
        <f t="shared" si="20"/>
        <v>115</v>
      </c>
      <c r="M85" s="197">
        <v>2</v>
      </c>
      <c r="N85" s="197">
        <v>1</v>
      </c>
      <c r="O85" s="216" t="s">
        <v>198</v>
      </c>
      <c r="P85" s="216" t="s">
        <v>198</v>
      </c>
      <c r="Q85" s="216" t="s">
        <v>199</v>
      </c>
      <c r="R85" s="216" t="s">
        <v>198</v>
      </c>
      <c r="S85" s="216">
        <v>0</v>
      </c>
      <c r="T85" s="13" t="str">
        <f t="shared" si="19"/>
        <v>M</v>
      </c>
      <c r="U85" s="13" t="s">
        <v>305</v>
      </c>
      <c r="V85" s="13" t="s">
        <v>306</v>
      </c>
      <c r="W85" s="13" t="s">
        <v>307</v>
      </c>
      <c r="X85" s="13" t="s">
        <v>308</v>
      </c>
      <c r="Y85" s="13"/>
      <c r="Z85" s="13"/>
    </row>
    <row r="86" spans="1:26" ht="12.75" customHeight="1" x14ac:dyDescent="0.2">
      <c r="A86" s="8" t="s">
        <v>86</v>
      </c>
      <c r="B86" s="8" t="str">
        <f t="shared" si="7"/>
        <v>Goblin10</v>
      </c>
      <c r="C86" s="197" t="s">
        <v>309</v>
      </c>
      <c r="D86" s="8" t="str">
        <f t="shared" si="1"/>
        <v>GoblinJourney Goblin</v>
      </c>
      <c r="E86" s="197">
        <v>6</v>
      </c>
      <c r="F86" s="197">
        <v>2</v>
      </c>
      <c r="G86" s="197">
        <v>3</v>
      </c>
      <c r="H86" s="197">
        <v>4</v>
      </c>
      <c r="I86" s="197">
        <v>8</v>
      </c>
      <c r="J86" s="8" t="str">
        <f>IF(Roster!$K$25="Español",V86,(IF(Roster!$K$25="Deutsch",W86,(IF(Roster!$K$25="Français",X86,U86)))))</f>
        <v>Loner (4+), Dodge, Right Stuff, Stunty</v>
      </c>
      <c r="K86" s="216">
        <v>0</v>
      </c>
      <c r="L86" s="7">
        <v>40</v>
      </c>
      <c r="M86" s="197">
        <v>11</v>
      </c>
      <c r="N86" s="197">
        <v>0</v>
      </c>
      <c r="O86" s="216" t="s">
        <v>198</v>
      </c>
      <c r="P86" s="216" t="s">
        <v>199</v>
      </c>
      <c r="Q86" s="216" t="s">
        <v>198</v>
      </c>
      <c r="R86" s="216" t="s">
        <v>198</v>
      </c>
      <c r="S86" s="216">
        <v>0</v>
      </c>
      <c r="T86" s="13" t="str">
        <f t="shared" si="19"/>
        <v>M</v>
      </c>
      <c r="U86" s="13" t="s">
        <v>486</v>
      </c>
      <c r="V86" s="13" t="s">
        <v>487</v>
      </c>
      <c r="W86" s="13" t="s">
        <v>488</v>
      </c>
      <c r="X86" s="13" t="s">
        <v>489</v>
      </c>
      <c r="Y86" s="13"/>
      <c r="Z86" s="13"/>
    </row>
    <row r="87" spans="1:26" ht="12.75" customHeight="1" x14ac:dyDescent="0.2">
      <c r="A87" s="8" t="s">
        <v>1697</v>
      </c>
      <c r="B87" s="8" t="str">
        <f t="shared" si="7"/>
        <v>Gnome1</v>
      </c>
      <c r="C87" s="197"/>
      <c r="D87" s="8" t="str">
        <f t="shared" si="1"/>
        <v>Gnome</v>
      </c>
      <c r="E87" s="197">
        <v>0</v>
      </c>
      <c r="F87" s="197">
        <v>0</v>
      </c>
      <c r="G87" s="197">
        <v>0</v>
      </c>
      <c r="H87" s="197">
        <v>0</v>
      </c>
      <c r="I87" s="197">
        <v>0</v>
      </c>
      <c r="J87" s="8">
        <f>IF(Roster!$K$25="Español",V87,(IF(Roster!$K$25="Deutsch",W87,(IF(Roster!$K$25="Français",X87,U87)))))</f>
        <v>0</v>
      </c>
      <c r="K87" s="216">
        <v>0</v>
      </c>
      <c r="L87" s="216">
        <f t="shared" ref="L87:L92" si="21">K87/1000</f>
        <v>0</v>
      </c>
      <c r="M87" s="197">
        <v>0</v>
      </c>
      <c r="N87" s="197">
        <v>0</v>
      </c>
      <c r="O87" s="216"/>
      <c r="P87" s="216"/>
      <c r="Q87" s="216"/>
      <c r="R87" s="216"/>
      <c r="S87" s="216"/>
      <c r="T87" s="13"/>
      <c r="U87" s="13"/>
      <c r="V87" s="13"/>
      <c r="W87" s="13"/>
      <c r="X87" s="13"/>
      <c r="Y87" s="13"/>
      <c r="Z87" s="13"/>
    </row>
    <row r="88" spans="1:26" ht="12.75" customHeight="1" x14ac:dyDescent="0.2">
      <c r="A88" s="8" t="s">
        <v>1697</v>
      </c>
      <c r="B88" s="8" t="str">
        <f t="shared" si="7"/>
        <v>Gnome2</v>
      </c>
      <c r="C88" s="197" t="s">
        <v>396</v>
      </c>
      <c r="D88" s="8" t="str">
        <f t="shared" si="1"/>
        <v>GnomeLineman</v>
      </c>
      <c r="E88" s="197">
        <v>5</v>
      </c>
      <c r="F88" s="197">
        <v>2</v>
      </c>
      <c r="G88" s="197">
        <v>3</v>
      </c>
      <c r="H88" s="197">
        <v>4</v>
      </c>
      <c r="I88" s="197">
        <v>7</v>
      </c>
      <c r="J88" s="8" t="str">
        <f>IF(Roster!$K$25="Español",V88,(IF(Roster!$K$25="Deutsch",W88,(IF(Roster!$K$25="Français",X88,U88)))))</f>
        <v>Jump Up, Right Stuff, Stunty, Wrestle</v>
      </c>
      <c r="K88" s="216">
        <v>40000</v>
      </c>
      <c r="L88" s="216">
        <f t="shared" si="21"/>
        <v>40</v>
      </c>
      <c r="M88" s="197">
        <v>16</v>
      </c>
      <c r="N88" s="197">
        <v>0</v>
      </c>
      <c r="O88" s="216" t="s">
        <v>198</v>
      </c>
      <c r="P88" s="216" t="s">
        <v>199</v>
      </c>
      <c r="Q88" s="216" t="s">
        <v>198</v>
      </c>
      <c r="R88" s="216" t="s">
        <v>198</v>
      </c>
      <c r="S88" s="216">
        <v>0</v>
      </c>
      <c r="T88" s="13" t="s">
        <v>200</v>
      </c>
      <c r="U88" s="13" t="s">
        <v>1702</v>
      </c>
      <c r="V88" s="13" t="s">
        <v>1703</v>
      </c>
      <c r="W88" s="13" t="s">
        <v>1704</v>
      </c>
      <c r="X88" s="13" t="s">
        <v>1705</v>
      </c>
      <c r="Y88" s="13"/>
      <c r="Z88" s="13"/>
    </row>
    <row r="89" spans="1:26" ht="12.75" customHeight="1" x14ac:dyDescent="0.2">
      <c r="A89" s="8" t="s">
        <v>1697</v>
      </c>
      <c r="B89" s="8" t="str">
        <f t="shared" si="7"/>
        <v>Gnome3</v>
      </c>
      <c r="C89" s="197" t="s">
        <v>1698</v>
      </c>
      <c r="D89" s="8" t="str">
        <f t="shared" si="1"/>
        <v>GnomeIllusionist</v>
      </c>
      <c r="E89" s="197">
        <v>5</v>
      </c>
      <c r="F89" s="197">
        <v>2</v>
      </c>
      <c r="G89" s="197">
        <v>3</v>
      </c>
      <c r="H89" s="197">
        <v>3</v>
      </c>
      <c r="I89" s="197">
        <v>7</v>
      </c>
      <c r="J89" s="8" t="str">
        <f>IF(Roster!$K$25="Español",V89,(IF(Roster!$K$25="Deutsch",W89,(IF(Roster!$K$25="Français",X89,U89)))))</f>
        <v>Jump Up, Stunty, Trickster, Wrestle</v>
      </c>
      <c r="K89" s="216">
        <v>50000</v>
      </c>
      <c r="L89" s="216">
        <f t="shared" si="21"/>
        <v>50</v>
      </c>
      <c r="M89" s="197">
        <v>2</v>
      </c>
      <c r="N89" s="197">
        <v>0</v>
      </c>
      <c r="O89" s="216" t="s">
        <v>198</v>
      </c>
      <c r="P89" s="216" t="s">
        <v>199</v>
      </c>
      <c r="Q89" s="216" t="s">
        <v>198</v>
      </c>
      <c r="R89" s="216" t="s">
        <v>198</v>
      </c>
      <c r="S89" s="216">
        <v>0</v>
      </c>
      <c r="T89" s="13" t="s">
        <v>200</v>
      </c>
      <c r="U89" s="13" t="s">
        <v>1706</v>
      </c>
      <c r="V89" s="13" t="s">
        <v>1762</v>
      </c>
      <c r="W89" s="13" t="s">
        <v>1763</v>
      </c>
      <c r="X89" s="13" t="s">
        <v>1764</v>
      </c>
      <c r="Y89" s="13"/>
      <c r="Z89" s="13"/>
    </row>
    <row r="90" spans="1:26" ht="12.75" customHeight="1" x14ac:dyDescent="0.2">
      <c r="A90" s="8" t="s">
        <v>1697</v>
      </c>
      <c r="B90" s="8" t="str">
        <f t="shared" si="7"/>
        <v>Gnome4</v>
      </c>
      <c r="C90" s="197" t="s">
        <v>1699</v>
      </c>
      <c r="D90" s="8" t="str">
        <f t="shared" si="1"/>
        <v>GnomeWoodland Fox</v>
      </c>
      <c r="E90" s="197">
        <v>7</v>
      </c>
      <c r="F90" s="197">
        <v>2</v>
      </c>
      <c r="G90" s="197">
        <v>2</v>
      </c>
      <c r="H90" s="197">
        <v>0</v>
      </c>
      <c r="I90" s="197">
        <v>6</v>
      </c>
      <c r="J90" s="8" t="str">
        <f>IF(Roster!$K$25="Español",V90,(IF(Roster!$K$25="Deutsch",W90,(IF(Roster!$K$25="Français",X90,U90)))))</f>
        <v>Dodge, My Ball, Side Step, Stunty</v>
      </c>
      <c r="K90" s="216">
        <v>50000</v>
      </c>
      <c r="L90" s="216">
        <f t="shared" si="21"/>
        <v>50</v>
      </c>
      <c r="M90" s="197">
        <v>2</v>
      </c>
      <c r="N90" s="197">
        <v>0</v>
      </c>
      <c r="O90" s="216">
        <v>0</v>
      </c>
      <c r="P90" s="216" t="s">
        <v>198</v>
      </c>
      <c r="Q90" s="216">
        <v>0</v>
      </c>
      <c r="R90" s="216">
        <v>0</v>
      </c>
      <c r="S90" s="216">
        <v>0</v>
      </c>
      <c r="T90" s="13" t="s">
        <v>1743</v>
      </c>
      <c r="U90" s="13" t="s">
        <v>1707</v>
      </c>
      <c r="V90" s="13" t="s">
        <v>1708</v>
      </c>
      <c r="W90" s="13" t="s">
        <v>1709</v>
      </c>
      <c r="X90" s="13" t="s">
        <v>1710</v>
      </c>
      <c r="Y90" s="13"/>
      <c r="Z90" s="13"/>
    </row>
    <row r="91" spans="1:26" ht="12.75" customHeight="1" x14ac:dyDescent="0.2">
      <c r="A91" s="8" t="s">
        <v>1697</v>
      </c>
      <c r="B91" s="8" t="str">
        <f t="shared" si="7"/>
        <v>Gnome5</v>
      </c>
      <c r="C91" s="197" t="s">
        <v>1700</v>
      </c>
      <c r="D91" s="8" t="str">
        <f t="shared" si="1"/>
        <v>GnomeBeastmaster</v>
      </c>
      <c r="E91" s="197">
        <v>5</v>
      </c>
      <c r="F91" s="197">
        <v>2</v>
      </c>
      <c r="G91" s="197">
        <v>3</v>
      </c>
      <c r="H91" s="197">
        <v>4</v>
      </c>
      <c r="I91" s="197">
        <v>8</v>
      </c>
      <c r="J91" s="8" t="str">
        <f>IF(Roster!$K$25="Español",V91,(IF(Roster!$K$25="Deutsch",W91,(IF(Roster!$K$25="Français",X91,U91)))))</f>
        <v>Guard, Jump Up, Stunty, Wrestle</v>
      </c>
      <c r="K91" s="216">
        <v>55000</v>
      </c>
      <c r="L91" s="216">
        <f t="shared" si="21"/>
        <v>55</v>
      </c>
      <c r="M91" s="197">
        <v>2</v>
      </c>
      <c r="N91" s="197">
        <v>0</v>
      </c>
      <c r="O91" s="216" t="s">
        <v>198</v>
      </c>
      <c r="P91" s="216" t="s">
        <v>199</v>
      </c>
      <c r="Q91" s="216" t="s">
        <v>198</v>
      </c>
      <c r="R91" s="216" t="s">
        <v>198</v>
      </c>
      <c r="S91" s="216">
        <v>0</v>
      </c>
      <c r="T91" s="13" t="s">
        <v>200</v>
      </c>
      <c r="U91" s="13" t="s">
        <v>1711</v>
      </c>
      <c r="V91" s="13" t="s">
        <v>1712</v>
      </c>
      <c r="W91" s="13" t="s">
        <v>1713</v>
      </c>
      <c r="X91" s="13" t="s">
        <v>1714</v>
      </c>
      <c r="Y91" s="13"/>
      <c r="Z91" s="13"/>
    </row>
    <row r="92" spans="1:26" ht="12.75" customHeight="1" x14ac:dyDescent="0.2">
      <c r="A92" s="8" t="s">
        <v>1697</v>
      </c>
      <c r="B92" s="8" t="str">
        <f t="shared" si="7"/>
        <v>Gnome6</v>
      </c>
      <c r="C92" s="197" t="s">
        <v>1701</v>
      </c>
      <c r="D92" s="8" t="str">
        <f t="shared" si="1"/>
        <v>GnomeAltern Forest Treeman</v>
      </c>
      <c r="E92" s="197">
        <v>2</v>
      </c>
      <c r="F92" s="197">
        <v>6</v>
      </c>
      <c r="G92" s="197">
        <v>5</v>
      </c>
      <c r="H92" s="197">
        <v>5</v>
      </c>
      <c r="I92" s="197">
        <v>11</v>
      </c>
      <c r="J92" s="8" t="str">
        <f>IF(Roster!$K$25="Español",V92,(IF(Roster!$K$25="Deutsch",W92,(IF(Roster!$K$25="Français",X92,U92)))))</f>
        <v>Mighty Blow (+1), Stand Firm, Strong Arm, Take Root, Thick Skull, Throw Team-mate, Timmm-ber!</v>
      </c>
      <c r="K92" s="216">
        <v>120000</v>
      </c>
      <c r="L92" s="216">
        <f t="shared" si="21"/>
        <v>120</v>
      </c>
      <c r="M92" s="197">
        <v>2</v>
      </c>
      <c r="N92" s="197">
        <v>1</v>
      </c>
      <c r="O92" s="216" t="s">
        <v>198</v>
      </c>
      <c r="P92" s="216" t="s">
        <v>198</v>
      </c>
      <c r="Q92" s="216" t="s">
        <v>199</v>
      </c>
      <c r="R92" s="216" t="s">
        <v>198</v>
      </c>
      <c r="S92" s="216">
        <v>0</v>
      </c>
      <c r="T92" s="13" t="str">
        <f t="shared" ref="T92" si="22">IF(AND(R92&lt;&gt;0,S92&lt;&gt;0),"FULL",(IF(AND(R92=0,S92=0),"PM",IF(R92=0,"P",(IF(S92=0,"M"))))))</f>
        <v>M</v>
      </c>
      <c r="U92" s="13" t="s">
        <v>502</v>
      </c>
      <c r="V92" s="13" t="s">
        <v>503</v>
      </c>
      <c r="W92" s="13" t="s">
        <v>1340</v>
      </c>
      <c r="X92" s="13" t="s">
        <v>504</v>
      </c>
      <c r="Y92" s="13"/>
      <c r="Z92" s="13"/>
    </row>
    <row r="93" spans="1:26" ht="12.75" customHeight="1" x14ac:dyDescent="0.2">
      <c r="A93" s="8" t="s">
        <v>1697</v>
      </c>
      <c r="B93" s="8" t="str">
        <f t="shared" ref="B93" si="23">A93&amp;COUNTIF($A$2:$A93,A93)</f>
        <v>Gnome7</v>
      </c>
      <c r="C93" s="197" t="s">
        <v>387</v>
      </c>
      <c r="D93" s="8" t="str">
        <f t="shared" ref="D93" si="24">A93&amp;C93</f>
        <v>GnomeJourney Lineman</v>
      </c>
      <c r="E93" s="197">
        <v>5</v>
      </c>
      <c r="F93" s="197">
        <v>2</v>
      </c>
      <c r="G93" s="197">
        <v>3</v>
      </c>
      <c r="H93" s="197">
        <v>4</v>
      </c>
      <c r="I93" s="197">
        <v>7</v>
      </c>
      <c r="J93" s="8" t="str">
        <f>IF(Roster!$K$25="Español",V93,(IF(Roster!$K$25="Deutsch",W93,(IF(Roster!$K$25="Français",X93,U93)))))</f>
        <v>Loner (4+), Jump Up, Right Stuff, Stunty, Wrestle</v>
      </c>
      <c r="K93" s="216">
        <v>0</v>
      </c>
      <c r="L93" s="216">
        <v>40</v>
      </c>
      <c r="M93" s="197">
        <v>16</v>
      </c>
      <c r="N93" s="197">
        <v>0</v>
      </c>
      <c r="O93" s="216" t="s">
        <v>198</v>
      </c>
      <c r="P93" s="216" t="s">
        <v>199</v>
      </c>
      <c r="Q93" s="216" t="s">
        <v>198</v>
      </c>
      <c r="R93" s="216" t="s">
        <v>198</v>
      </c>
      <c r="S93" s="216">
        <v>0</v>
      </c>
      <c r="T93" s="13" t="s">
        <v>200</v>
      </c>
      <c r="U93" s="13" t="s">
        <v>1715</v>
      </c>
      <c r="V93" s="13" t="s">
        <v>1716</v>
      </c>
      <c r="W93" s="13" t="s">
        <v>1717</v>
      </c>
      <c r="X93" s="13" t="s">
        <v>1718</v>
      </c>
      <c r="Y93" s="13"/>
      <c r="Z93" s="13"/>
    </row>
    <row r="94" spans="1:26" ht="12.75" customHeight="1" x14ac:dyDescent="0.2">
      <c r="A94" s="8" t="s">
        <v>91</v>
      </c>
      <c r="B94" s="8" t="str">
        <f t="shared" si="7"/>
        <v>Halfling1</v>
      </c>
      <c r="C94" s="197" t="str">
        <f>""</f>
        <v/>
      </c>
      <c r="D94" s="8" t="str">
        <f t="shared" si="1"/>
        <v>Halfling</v>
      </c>
      <c r="E94" s="197">
        <v>0</v>
      </c>
      <c r="F94" s="197">
        <v>0</v>
      </c>
      <c r="G94" s="197">
        <v>0</v>
      </c>
      <c r="H94" s="197">
        <v>0</v>
      </c>
      <c r="I94" s="197">
        <v>0</v>
      </c>
      <c r="J94" s="8">
        <f>IF(Roster!$K$25="Español",V94,(IF(Roster!$K$25="Deutsch",W94,(IF(Roster!$K$25="Français",X94,U94)))))</f>
        <v>0</v>
      </c>
      <c r="K94" s="216">
        <v>0</v>
      </c>
      <c r="L94" s="7">
        <f t="shared" si="20"/>
        <v>0</v>
      </c>
      <c r="M94" s="216">
        <v>0</v>
      </c>
      <c r="N94" s="216">
        <v>0</v>
      </c>
      <c r="O94" s="216"/>
      <c r="P94" s="216"/>
      <c r="Q94" s="216"/>
      <c r="R94" s="216"/>
      <c r="S94" s="216"/>
      <c r="T94" s="13"/>
      <c r="U94" s="13">
        <v>0</v>
      </c>
      <c r="V94" s="13">
        <v>0</v>
      </c>
      <c r="W94" s="13">
        <v>0</v>
      </c>
      <c r="X94" s="13">
        <v>0</v>
      </c>
      <c r="Y94" s="13">
        <v>0</v>
      </c>
      <c r="Z94" s="13"/>
    </row>
    <row r="95" spans="1:26" ht="12.75" customHeight="1" x14ac:dyDescent="0.2">
      <c r="A95" s="8" t="s">
        <v>91</v>
      </c>
      <c r="B95" s="8" t="str">
        <f t="shared" si="7"/>
        <v>Halfling2</v>
      </c>
      <c r="C95" s="197" t="s">
        <v>490</v>
      </c>
      <c r="D95" s="8" t="str">
        <f t="shared" si="1"/>
        <v>HalflingHalfling Hopeful</v>
      </c>
      <c r="E95" s="197">
        <v>5</v>
      </c>
      <c r="F95" s="197">
        <v>2</v>
      </c>
      <c r="G95" s="197">
        <v>3</v>
      </c>
      <c r="H95" s="197">
        <v>4</v>
      </c>
      <c r="I95" s="197">
        <v>7</v>
      </c>
      <c r="J95" s="8" t="str">
        <f>IF(Roster!$K$25="Español",V95,(IF(Roster!$K$25="Deutsch",W95,(IF(Roster!$K$25="Français",X95,U95)))))</f>
        <v>Dodge, Right Stuff, Stunty</v>
      </c>
      <c r="K95" s="216">
        <v>30000</v>
      </c>
      <c r="L95" s="7">
        <f t="shared" si="20"/>
        <v>30</v>
      </c>
      <c r="M95" s="197">
        <v>16</v>
      </c>
      <c r="N95" s="197">
        <v>0</v>
      </c>
      <c r="O95" s="216" t="s">
        <v>198</v>
      </c>
      <c r="P95" s="216" t="s">
        <v>199</v>
      </c>
      <c r="Q95" s="216" t="s">
        <v>198</v>
      </c>
      <c r="R95" s="216">
        <v>0</v>
      </c>
      <c r="S95" s="216">
        <v>0</v>
      </c>
      <c r="T95" s="13" t="str">
        <f t="shared" ref="T95:T99" si="25">IF(AND(R95&lt;&gt;0,S95&lt;&gt;0),"FULL",(IF(AND(R95=0,S95=0),"PM",IF(R95=0,"P",(IF(S95=0,"M"))))))</f>
        <v>PM</v>
      </c>
      <c r="U95" s="13" t="s">
        <v>451</v>
      </c>
      <c r="V95" s="13" t="s">
        <v>452</v>
      </c>
      <c r="W95" s="13" t="s">
        <v>453</v>
      </c>
      <c r="X95" s="13" t="s">
        <v>454</v>
      </c>
      <c r="Y95" s="13"/>
      <c r="Z95" s="13"/>
    </row>
    <row r="96" spans="1:26" ht="12.75" customHeight="1" x14ac:dyDescent="0.2">
      <c r="A96" s="8" t="s">
        <v>91</v>
      </c>
      <c r="B96" s="8" t="str">
        <f t="shared" si="7"/>
        <v>Halfling3</v>
      </c>
      <c r="C96" s="197" t="s">
        <v>491</v>
      </c>
      <c r="D96" s="8" t="str">
        <f t="shared" si="1"/>
        <v>HalflingHalfling Catcher</v>
      </c>
      <c r="E96" s="197">
        <v>5</v>
      </c>
      <c r="F96" s="197">
        <v>2</v>
      </c>
      <c r="G96" s="197">
        <v>3</v>
      </c>
      <c r="H96" s="197">
        <v>5</v>
      </c>
      <c r="I96" s="197">
        <v>7</v>
      </c>
      <c r="J96" s="8" t="str">
        <f>IF(Roster!$K$25="Español",V96,(IF(Roster!$K$25="Deutsch",W96,(IF(Roster!$K$25="Français",X96,U96)))))</f>
        <v>Catch, Dodge, Right Stuff, Sprint, Stunty</v>
      </c>
      <c r="K96" s="216">
        <v>55000</v>
      </c>
      <c r="L96" s="7">
        <f t="shared" si="20"/>
        <v>55</v>
      </c>
      <c r="M96" s="197">
        <v>2</v>
      </c>
      <c r="N96" s="197">
        <v>0</v>
      </c>
      <c r="O96" s="216" t="s">
        <v>198</v>
      </c>
      <c r="P96" s="216" t="s">
        <v>199</v>
      </c>
      <c r="Q96" s="216" t="s">
        <v>198</v>
      </c>
      <c r="R96" s="216" t="s">
        <v>198</v>
      </c>
      <c r="S96" s="216">
        <v>0</v>
      </c>
      <c r="T96" s="13" t="s">
        <v>226</v>
      </c>
      <c r="U96" s="13" t="s">
        <v>492</v>
      </c>
      <c r="V96" s="13" t="s">
        <v>493</v>
      </c>
      <c r="W96" s="13" t="s">
        <v>494</v>
      </c>
      <c r="X96" s="13" t="s">
        <v>495</v>
      </c>
      <c r="Y96" s="13"/>
      <c r="Z96" s="13"/>
    </row>
    <row r="97" spans="1:26" ht="12.75" customHeight="1" x14ac:dyDescent="0.2">
      <c r="A97" s="8" t="s">
        <v>91</v>
      </c>
      <c r="B97" s="8" t="str">
        <f t="shared" si="7"/>
        <v>Halfling4</v>
      </c>
      <c r="C97" s="197" t="s">
        <v>496</v>
      </c>
      <c r="D97" s="8" t="str">
        <f t="shared" si="1"/>
        <v>HalflingHalfling Hefty</v>
      </c>
      <c r="E97" s="197">
        <v>5</v>
      </c>
      <c r="F97" s="197">
        <v>2</v>
      </c>
      <c r="G97" s="197">
        <v>3</v>
      </c>
      <c r="H97" s="197">
        <v>3</v>
      </c>
      <c r="I97" s="197">
        <v>8</v>
      </c>
      <c r="J97" s="8" t="str">
        <f>IF(Roster!$K$25="Español",V97,(IF(Roster!$K$25="Deutsch",W97,(IF(Roster!$K$25="Français",X97,U97)))))</f>
        <v>Dodge, Fend, Stunty</v>
      </c>
      <c r="K97" s="216">
        <v>50000</v>
      </c>
      <c r="L97" s="7">
        <f t="shared" si="20"/>
        <v>50</v>
      </c>
      <c r="M97" s="216">
        <v>2</v>
      </c>
      <c r="N97" s="216">
        <v>0</v>
      </c>
      <c r="O97" s="216" t="s">
        <v>198</v>
      </c>
      <c r="P97" s="216" t="s">
        <v>199</v>
      </c>
      <c r="Q97" s="216" t="s">
        <v>198</v>
      </c>
      <c r="R97" s="216">
        <v>0</v>
      </c>
      <c r="S97" s="216">
        <v>0</v>
      </c>
      <c r="T97" s="13" t="s">
        <v>200</v>
      </c>
      <c r="U97" s="13" t="s">
        <v>497</v>
      </c>
      <c r="V97" s="13" t="s">
        <v>498</v>
      </c>
      <c r="W97" s="13" t="s">
        <v>499</v>
      </c>
      <c r="X97" s="13" t="s">
        <v>500</v>
      </c>
      <c r="Y97" s="13"/>
      <c r="Z97" s="13"/>
    </row>
    <row r="98" spans="1:26" ht="12.75" customHeight="1" x14ac:dyDescent="0.2">
      <c r="A98" s="8" t="s">
        <v>91</v>
      </c>
      <c r="B98" s="8" t="str">
        <f t="shared" si="7"/>
        <v>Halfling5</v>
      </c>
      <c r="C98" s="197" t="s">
        <v>501</v>
      </c>
      <c r="D98" s="8" t="str">
        <f t="shared" si="1"/>
        <v>HalflingForest Treeman</v>
      </c>
      <c r="E98" s="197">
        <v>2</v>
      </c>
      <c r="F98" s="197">
        <v>6</v>
      </c>
      <c r="G98" s="197">
        <v>5</v>
      </c>
      <c r="H98" s="197">
        <v>5</v>
      </c>
      <c r="I98" s="197">
        <v>11</v>
      </c>
      <c r="J98" s="8" t="str">
        <f>IF(Roster!$K$25="Español",V98,(IF(Roster!$K$25="Deutsch",W98,(IF(Roster!$K$25="Français",X98,U98)))))</f>
        <v>Mighty Blow (+1), Stand Firm, Strong Arm, Take Root, Thick Skull, Throw Team-mate, Timmm-ber!</v>
      </c>
      <c r="K98" s="216">
        <v>120000</v>
      </c>
      <c r="L98" s="7">
        <f t="shared" si="20"/>
        <v>120</v>
      </c>
      <c r="M98" s="216">
        <v>2</v>
      </c>
      <c r="N98" s="216">
        <v>1</v>
      </c>
      <c r="O98" s="216" t="s">
        <v>198</v>
      </c>
      <c r="P98" s="216" t="s">
        <v>198</v>
      </c>
      <c r="Q98" s="216" t="s">
        <v>199</v>
      </c>
      <c r="R98" s="216" t="s">
        <v>198</v>
      </c>
      <c r="S98" s="216">
        <v>0</v>
      </c>
      <c r="T98" s="13" t="str">
        <f t="shared" si="25"/>
        <v>M</v>
      </c>
      <c r="U98" s="13" t="s">
        <v>502</v>
      </c>
      <c r="V98" s="13" t="s">
        <v>503</v>
      </c>
      <c r="W98" s="13" t="s">
        <v>1340</v>
      </c>
      <c r="X98" s="13" t="s">
        <v>504</v>
      </c>
      <c r="Y98" s="13"/>
      <c r="Z98" s="13"/>
    </row>
    <row r="99" spans="1:26" ht="12.75" customHeight="1" x14ac:dyDescent="0.2">
      <c r="A99" s="8" t="s">
        <v>91</v>
      </c>
      <c r="B99" s="8" t="str">
        <f t="shared" si="7"/>
        <v>Halfling6</v>
      </c>
      <c r="C99" s="197" t="s">
        <v>505</v>
      </c>
      <c r="D99" s="8" t="str">
        <f t="shared" si="1"/>
        <v>HalflingJourney Halfling</v>
      </c>
      <c r="E99" s="197">
        <v>5</v>
      </c>
      <c r="F99" s="197">
        <v>2</v>
      </c>
      <c r="G99" s="197">
        <v>3</v>
      </c>
      <c r="H99" s="197">
        <v>4</v>
      </c>
      <c r="I99" s="197">
        <v>7</v>
      </c>
      <c r="J99" s="8" t="str">
        <f>IF(Roster!$K$25="Español",V99,(IF(Roster!$K$25="Deutsch",W99,(IF(Roster!$K$25="Français",X99,U99)))))</f>
        <v>Loner (4+), Dodge, Right Stuff, Stunty</v>
      </c>
      <c r="K99" s="216">
        <v>0</v>
      </c>
      <c r="L99" s="7">
        <v>30</v>
      </c>
      <c r="M99" s="216">
        <v>11</v>
      </c>
      <c r="N99" s="216">
        <v>0</v>
      </c>
      <c r="O99" s="216" t="s">
        <v>198</v>
      </c>
      <c r="P99" s="216" t="s">
        <v>199</v>
      </c>
      <c r="Q99" s="216" t="s">
        <v>198</v>
      </c>
      <c r="R99" s="216">
        <v>0</v>
      </c>
      <c r="S99" s="216">
        <v>0</v>
      </c>
      <c r="T99" s="13" t="str">
        <f t="shared" si="25"/>
        <v>PM</v>
      </c>
      <c r="U99" s="13" t="s">
        <v>486</v>
      </c>
      <c r="V99" s="13" t="s">
        <v>487</v>
      </c>
      <c r="W99" s="13" t="s">
        <v>488</v>
      </c>
      <c r="X99" s="13" t="s">
        <v>489</v>
      </c>
      <c r="Y99" s="13"/>
      <c r="Z99" s="13"/>
    </row>
    <row r="100" spans="1:26" ht="12.75" customHeight="1" x14ac:dyDescent="0.2">
      <c r="A100" s="8" t="s">
        <v>96</v>
      </c>
      <c r="B100" s="8" t="str">
        <f t="shared" si="7"/>
        <v>High Elf1</v>
      </c>
      <c r="C100" s="197" t="str">
        <f>""</f>
        <v/>
      </c>
      <c r="D100" s="8" t="str">
        <f t="shared" si="1"/>
        <v>High Elf</v>
      </c>
      <c r="E100" s="197">
        <v>0</v>
      </c>
      <c r="F100" s="197">
        <v>0</v>
      </c>
      <c r="G100" s="197">
        <v>0</v>
      </c>
      <c r="H100" s="197">
        <v>0</v>
      </c>
      <c r="I100" s="197">
        <v>0</v>
      </c>
      <c r="J100" s="8">
        <f>IF(Roster!$K$25="Español",V100,(IF(Roster!$K$25="Deutsch",W100,(IF(Roster!$K$25="Français",X100,U100)))))</f>
        <v>0</v>
      </c>
      <c r="K100" s="216">
        <v>0</v>
      </c>
      <c r="L100" s="7">
        <f t="shared" si="20"/>
        <v>0</v>
      </c>
      <c r="M100" s="216">
        <v>0</v>
      </c>
      <c r="N100" s="216">
        <v>0</v>
      </c>
      <c r="O100" s="216"/>
      <c r="P100" s="216"/>
      <c r="Q100" s="216"/>
      <c r="R100" s="216"/>
      <c r="S100" s="216"/>
      <c r="T100" s="13"/>
      <c r="U100" s="13">
        <v>0</v>
      </c>
      <c r="V100" s="13">
        <v>0</v>
      </c>
      <c r="W100" s="13">
        <v>0</v>
      </c>
      <c r="X100" s="13">
        <v>0</v>
      </c>
      <c r="Y100" s="13">
        <v>0</v>
      </c>
      <c r="Z100" s="13"/>
    </row>
    <row r="101" spans="1:26" ht="12.75" customHeight="1" x14ac:dyDescent="0.2">
      <c r="A101" s="8" t="s">
        <v>96</v>
      </c>
      <c r="B101" s="8" t="str">
        <f t="shared" si="7"/>
        <v>High Elf2</v>
      </c>
      <c r="C101" s="197" t="s">
        <v>396</v>
      </c>
      <c r="D101" s="8" t="str">
        <f t="shared" si="1"/>
        <v>High ElfLineman</v>
      </c>
      <c r="E101" s="197">
        <v>6</v>
      </c>
      <c r="F101" s="197">
        <v>3</v>
      </c>
      <c r="G101" s="197">
        <v>2</v>
      </c>
      <c r="H101" s="197">
        <v>4</v>
      </c>
      <c r="I101" s="197">
        <v>9</v>
      </c>
      <c r="J101" s="8" t="str">
        <f>IF(Roster!$K$25="Español",V101,(IF(Roster!$K$25="Deutsch",W101,(IF(Roster!$K$25="Français",X101,U101)))))</f>
        <v/>
      </c>
      <c r="K101" s="216">
        <v>70000</v>
      </c>
      <c r="L101" s="7">
        <f t="shared" si="20"/>
        <v>70</v>
      </c>
      <c r="M101" s="197">
        <v>16</v>
      </c>
      <c r="N101" s="197">
        <v>0</v>
      </c>
      <c r="O101" s="216" t="s">
        <v>199</v>
      </c>
      <c r="P101" s="216" t="s">
        <v>199</v>
      </c>
      <c r="Q101" s="216" t="s">
        <v>198</v>
      </c>
      <c r="R101" s="216" t="s">
        <v>198</v>
      </c>
      <c r="S101" s="216">
        <v>0</v>
      </c>
      <c r="T101" s="13" t="str">
        <f t="shared" ref="T101:T105" si="26">IF(AND(R101&lt;&gt;0,S101&lt;&gt;0),"FULL",(IF(AND(R101=0,S101=0),"PM",IF(R101=0,"P",(IF(S101=0,"M"))))))</f>
        <v>M</v>
      </c>
      <c r="U101" s="13" t="str">
        <f t="shared" ref="U101:Y101" si="27">""</f>
        <v/>
      </c>
      <c r="V101" s="13" t="str">
        <f t="shared" si="27"/>
        <v/>
      </c>
      <c r="W101" s="13" t="str">
        <f t="shared" si="27"/>
        <v/>
      </c>
      <c r="X101" s="13" t="str">
        <f t="shared" si="27"/>
        <v/>
      </c>
      <c r="Y101" s="13" t="str">
        <f t="shared" si="27"/>
        <v/>
      </c>
      <c r="Z101" s="13"/>
    </row>
    <row r="102" spans="1:26" ht="12.75" customHeight="1" x14ac:dyDescent="0.2">
      <c r="A102" s="8" t="s">
        <v>96</v>
      </c>
      <c r="B102" s="8" t="str">
        <f t="shared" si="7"/>
        <v>High Elf3</v>
      </c>
      <c r="C102" s="197" t="s">
        <v>276</v>
      </c>
      <c r="D102" s="8" t="str">
        <f t="shared" si="1"/>
        <v>High ElfThrower</v>
      </c>
      <c r="E102" s="197">
        <v>6</v>
      </c>
      <c r="F102" s="197">
        <v>3</v>
      </c>
      <c r="G102" s="197">
        <v>2</v>
      </c>
      <c r="H102" s="197">
        <v>2</v>
      </c>
      <c r="I102" s="197">
        <v>9</v>
      </c>
      <c r="J102" s="8" t="str">
        <f>IF(Roster!$K$25="Español",V102,(IF(Roster!$K$25="Deutsch",W102,(IF(Roster!$K$25="Français",X102,U102)))))</f>
        <v>Cloud Burster, Pass, Safe Pass</v>
      </c>
      <c r="K102" s="216">
        <v>100000</v>
      </c>
      <c r="L102" s="7">
        <f t="shared" si="20"/>
        <v>100</v>
      </c>
      <c r="M102" s="197">
        <v>2</v>
      </c>
      <c r="N102" s="197">
        <v>0</v>
      </c>
      <c r="O102" s="216" t="s">
        <v>199</v>
      </c>
      <c r="P102" s="216" t="s">
        <v>199</v>
      </c>
      <c r="Q102" s="216" t="s">
        <v>198</v>
      </c>
      <c r="R102" s="216" t="s">
        <v>199</v>
      </c>
      <c r="S102" s="216">
        <v>0</v>
      </c>
      <c r="T102" s="13" t="str">
        <f t="shared" si="26"/>
        <v>M</v>
      </c>
      <c r="U102" s="13" t="s">
        <v>506</v>
      </c>
      <c r="V102" s="13" t="s">
        <v>507</v>
      </c>
      <c r="W102" s="13" t="s">
        <v>508</v>
      </c>
      <c r="X102" s="13" t="s">
        <v>509</v>
      </c>
      <c r="Y102" s="13"/>
      <c r="Z102" s="13"/>
    </row>
    <row r="103" spans="1:26" ht="12.75" customHeight="1" x14ac:dyDescent="0.2">
      <c r="A103" s="8" t="s">
        <v>96</v>
      </c>
      <c r="B103" s="8" t="str">
        <f t="shared" si="7"/>
        <v>High Elf4</v>
      </c>
      <c r="C103" s="197" t="s">
        <v>281</v>
      </c>
      <c r="D103" s="8" t="str">
        <f t="shared" si="1"/>
        <v>High ElfCatcher</v>
      </c>
      <c r="E103" s="197">
        <v>8</v>
      </c>
      <c r="F103" s="197">
        <v>3</v>
      </c>
      <c r="G103" s="197">
        <v>2</v>
      </c>
      <c r="H103" s="197">
        <v>5</v>
      </c>
      <c r="I103" s="197">
        <v>8</v>
      </c>
      <c r="J103" s="8" t="str">
        <f>IF(Roster!$K$25="Español",V103,(IF(Roster!$K$25="Deutsch",W103,(IF(Roster!$K$25="Français",X103,U103)))))</f>
        <v>Catch</v>
      </c>
      <c r="K103" s="216">
        <v>90000</v>
      </c>
      <c r="L103" s="7">
        <f t="shared" si="20"/>
        <v>90</v>
      </c>
      <c r="M103" s="197">
        <v>4</v>
      </c>
      <c r="N103" s="197">
        <v>0</v>
      </c>
      <c r="O103" s="216" t="s">
        <v>199</v>
      </c>
      <c r="P103" s="216" t="s">
        <v>199</v>
      </c>
      <c r="Q103" s="216" t="s">
        <v>198</v>
      </c>
      <c r="R103" s="216">
        <v>0</v>
      </c>
      <c r="S103" s="216">
        <v>0</v>
      </c>
      <c r="T103" s="13" t="str">
        <f t="shared" si="26"/>
        <v>PM</v>
      </c>
      <c r="U103" s="13" t="s">
        <v>510</v>
      </c>
      <c r="V103" s="13" t="s">
        <v>511</v>
      </c>
      <c r="W103" s="13" t="s">
        <v>512</v>
      </c>
      <c r="X103" s="13" t="s">
        <v>513</v>
      </c>
      <c r="Y103" s="13"/>
      <c r="Z103" s="13"/>
    </row>
    <row r="104" spans="1:26" ht="12.75" customHeight="1" x14ac:dyDescent="0.2">
      <c r="A104" s="8" t="s">
        <v>96</v>
      </c>
      <c r="B104" s="8" t="str">
        <f t="shared" ref="B104:B167" si="28">A104&amp;COUNTIF($A$2:$A104,A104)</f>
        <v>High Elf5</v>
      </c>
      <c r="C104" s="197" t="s">
        <v>286</v>
      </c>
      <c r="D104" s="8" t="str">
        <f t="shared" si="1"/>
        <v>High ElfBlitzer</v>
      </c>
      <c r="E104" s="197">
        <v>7</v>
      </c>
      <c r="F104" s="197">
        <v>3</v>
      </c>
      <c r="G104" s="197">
        <v>2</v>
      </c>
      <c r="H104" s="197">
        <v>4</v>
      </c>
      <c r="I104" s="197">
        <v>9</v>
      </c>
      <c r="J104" s="8" t="str">
        <f>IF(Roster!$K$25="Español",V104,(IF(Roster!$K$25="Deutsch",W104,(IF(Roster!$K$25="Français",X104,U104)))))</f>
        <v>Block</v>
      </c>
      <c r="K104" s="216">
        <v>100000</v>
      </c>
      <c r="L104" s="7">
        <f t="shared" si="20"/>
        <v>100</v>
      </c>
      <c r="M104" s="197">
        <v>2</v>
      </c>
      <c r="N104" s="197">
        <v>0</v>
      </c>
      <c r="O104" s="216" t="s">
        <v>199</v>
      </c>
      <c r="P104" s="216" t="s">
        <v>199</v>
      </c>
      <c r="Q104" s="216" t="s">
        <v>198</v>
      </c>
      <c r="R104" s="216" t="s">
        <v>198</v>
      </c>
      <c r="S104" s="216">
        <v>0</v>
      </c>
      <c r="T104" s="13" t="str">
        <f t="shared" si="26"/>
        <v>M</v>
      </c>
      <c r="U104" s="13" t="s">
        <v>407</v>
      </c>
      <c r="V104" s="13" t="s">
        <v>408</v>
      </c>
      <c r="W104" s="13" t="s">
        <v>407</v>
      </c>
      <c r="X104" s="13" t="s">
        <v>409</v>
      </c>
      <c r="Y104" s="13"/>
      <c r="Z104" s="13"/>
    </row>
    <row r="105" spans="1:26" ht="12.75" customHeight="1" x14ac:dyDescent="0.2">
      <c r="A105" s="8" t="s">
        <v>96</v>
      </c>
      <c r="B105" s="8" t="str">
        <f t="shared" si="28"/>
        <v>High Elf6</v>
      </c>
      <c r="C105" s="197" t="s">
        <v>415</v>
      </c>
      <c r="D105" s="8" t="str">
        <f t="shared" si="1"/>
        <v>High ElfJourney Elf</v>
      </c>
      <c r="E105" s="197">
        <v>6</v>
      </c>
      <c r="F105" s="197">
        <v>3</v>
      </c>
      <c r="G105" s="197">
        <v>2</v>
      </c>
      <c r="H105" s="197">
        <v>4</v>
      </c>
      <c r="I105" s="197">
        <v>9</v>
      </c>
      <c r="J105" s="8" t="str">
        <f>IF(Roster!$K$25="Español",V105,(IF(Roster!$K$25="Deutsch",W105,(IF(Roster!$K$25="Français",X105,U105)))))</f>
        <v>Loner (4+)</v>
      </c>
      <c r="K105" s="216">
        <v>0</v>
      </c>
      <c r="L105" s="7">
        <v>70</v>
      </c>
      <c r="M105" s="216">
        <v>11</v>
      </c>
      <c r="N105" s="216">
        <v>0</v>
      </c>
      <c r="O105" s="216" t="s">
        <v>199</v>
      </c>
      <c r="P105" s="216" t="s">
        <v>199</v>
      </c>
      <c r="Q105" s="216" t="s">
        <v>198</v>
      </c>
      <c r="R105" s="216" t="s">
        <v>198</v>
      </c>
      <c r="S105" s="216">
        <v>0</v>
      </c>
      <c r="T105" s="13" t="str">
        <f t="shared" si="26"/>
        <v>M</v>
      </c>
      <c r="U105" s="13" t="s">
        <v>357</v>
      </c>
      <c r="V105" s="13" t="s">
        <v>358</v>
      </c>
      <c r="W105" s="13" t="s">
        <v>359</v>
      </c>
      <c r="X105" s="13" t="s">
        <v>360</v>
      </c>
      <c r="Y105" s="13"/>
      <c r="Z105" s="13"/>
    </row>
    <row r="106" spans="1:26" ht="12.75" customHeight="1" x14ac:dyDescent="0.2">
      <c r="A106" s="8" t="s">
        <v>101</v>
      </c>
      <c r="B106" s="8" t="str">
        <f t="shared" si="28"/>
        <v>Human1</v>
      </c>
      <c r="C106" s="197" t="str">
        <f>""</f>
        <v/>
      </c>
      <c r="D106" s="8" t="str">
        <f t="shared" si="1"/>
        <v>Human</v>
      </c>
      <c r="E106" s="197">
        <v>0</v>
      </c>
      <c r="F106" s="197">
        <v>0</v>
      </c>
      <c r="G106" s="197">
        <v>0</v>
      </c>
      <c r="H106" s="197">
        <v>0</v>
      </c>
      <c r="I106" s="197">
        <v>0</v>
      </c>
      <c r="J106" s="8">
        <f>IF(Roster!$K$25="Español",V106,(IF(Roster!$K$25="Deutsch",W106,(IF(Roster!$K$25="Français",X106,U106)))))</f>
        <v>0</v>
      </c>
      <c r="K106" s="216">
        <v>0</v>
      </c>
      <c r="L106" s="7">
        <f t="shared" si="20"/>
        <v>0</v>
      </c>
      <c r="M106" s="216">
        <v>0</v>
      </c>
      <c r="N106" s="216">
        <v>0</v>
      </c>
      <c r="O106" s="216"/>
      <c r="P106" s="216"/>
      <c r="Q106" s="216"/>
      <c r="R106" s="216"/>
      <c r="S106" s="216"/>
      <c r="T106" s="13"/>
      <c r="U106" s="13">
        <v>0</v>
      </c>
      <c r="V106" s="13">
        <v>0</v>
      </c>
      <c r="W106" s="13">
        <v>0</v>
      </c>
      <c r="X106" s="13">
        <v>0</v>
      </c>
      <c r="Y106" s="13">
        <v>0</v>
      </c>
      <c r="Z106" s="13"/>
    </row>
    <row r="107" spans="1:26" ht="12.75" customHeight="1" x14ac:dyDescent="0.2">
      <c r="A107" s="8" t="s">
        <v>101</v>
      </c>
      <c r="B107" s="8" t="str">
        <f t="shared" si="28"/>
        <v>Human2</v>
      </c>
      <c r="C107" s="197" t="s">
        <v>396</v>
      </c>
      <c r="D107" s="8" t="str">
        <f t="shared" si="1"/>
        <v>HumanLineman</v>
      </c>
      <c r="E107" s="197">
        <v>6</v>
      </c>
      <c r="F107" s="197">
        <v>3</v>
      </c>
      <c r="G107" s="197">
        <v>3</v>
      </c>
      <c r="H107" s="197">
        <v>4</v>
      </c>
      <c r="I107" s="197">
        <v>9</v>
      </c>
      <c r="J107" s="8" t="str">
        <f>IF(Roster!$K$25="Español",V107,(IF(Roster!$K$25="Deutsch",W107,(IF(Roster!$K$25="Français",X107,U107)))))</f>
        <v/>
      </c>
      <c r="K107" s="216">
        <v>50000</v>
      </c>
      <c r="L107" s="7">
        <f t="shared" si="20"/>
        <v>50</v>
      </c>
      <c r="M107" s="197">
        <v>16</v>
      </c>
      <c r="N107" s="197">
        <v>0</v>
      </c>
      <c r="O107" s="216" t="s">
        <v>199</v>
      </c>
      <c r="P107" s="216" t="s">
        <v>198</v>
      </c>
      <c r="Q107" s="216" t="s">
        <v>198</v>
      </c>
      <c r="R107" s="216">
        <v>0</v>
      </c>
      <c r="S107" s="216">
        <v>0</v>
      </c>
      <c r="T107" s="13" t="str">
        <f t="shared" ref="T107:T113" si="29">IF(AND(R107&lt;&gt;0,S107&lt;&gt;0),"FULL",(IF(AND(R107=0,S107=0),"PM",IF(R107=0,"P",(IF(S107=0,"M"))))))</f>
        <v>PM</v>
      </c>
      <c r="U107" s="13" t="str">
        <f t="shared" ref="U107:Y107" si="30">""</f>
        <v/>
      </c>
      <c r="V107" s="13" t="str">
        <f t="shared" si="30"/>
        <v/>
      </c>
      <c r="W107" s="13" t="str">
        <f t="shared" si="30"/>
        <v/>
      </c>
      <c r="X107" s="13" t="str">
        <f t="shared" si="30"/>
        <v/>
      </c>
      <c r="Y107" s="13" t="str">
        <f t="shared" si="30"/>
        <v/>
      </c>
      <c r="Z107" s="13"/>
    </row>
    <row r="108" spans="1:26" ht="12.75" customHeight="1" x14ac:dyDescent="0.2">
      <c r="A108" s="8" t="s">
        <v>101</v>
      </c>
      <c r="B108" s="8" t="str">
        <f t="shared" si="28"/>
        <v>Human3</v>
      </c>
      <c r="C108" s="197" t="s">
        <v>281</v>
      </c>
      <c r="D108" s="8" t="str">
        <f t="shared" si="1"/>
        <v>HumanCatcher</v>
      </c>
      <c r="E108" s="197">
        <v>8</v>
      </c>
      <c r="F108" s="197">
        <v>2</v>
      </c>
      <c r="G108" s="197">
        <v>3</v>
      </c>
      <c r="H108" s="197">
        <v>5</v>
      </c>
      <c r="I108" s="197">
        <v>8</v>
      </c>
      <c r="J108" s="8" t="str">
        <f>IF(Roster!$K$25="Español",V108,(IF(Roster!$K$25="Deutsch",W108,(IF(Roster!$K$25="Français",X108,U108)))))</f>
        <v>Catch, Dodge</v>
      </c>
      <c r="K108" s="216">
        <v>65000</v>
      </c>
      <c r="L108" s="7">
        <f t="shared" si="20"/>
        <v>65</v>
      </c>
      <c r="M108" s="197">
        <v>4</v>
      </c>
      <c r="N108" s="197">
        <v>0</v>
      </c>
      <c r="O108" s="216" t="s">
        <v>199</v>
      </c>
      <c r="P108" s="216" t="s">
        <v>199</v>
      </c>
      <c r="Q108" s="216" t="s">
        <v>198</v>
      </c>
      <c r="R108" s="216" t="s">
        <v>198</v>
      </c>
      <c r="S108" s="216">
        <v>0</v>
      </c>
      <c r="T108" s="13" t="str">
        <f t="shared" si="29"/>
        <v>M</v>
      </c>
      <c r="U108" s="13" t="s">
        <v>514</v>
      </c>
      <c r="V108" s="13" t="s">
        <v>515</v>
      </c>
      <c r="W108" s="13" t="s">
        <v>516</v>
      </c>
      <c r="X108" s="13" t="s">
        <v>517</v>
      </c>
      <c r="Y108" s="13"/>
      <c r="Z108" s="13"/>
    </row>
    <row r="109" spans="1:26" ht="12.75" customHeight="1" x14ac:dyDescent="0.2">
      <c r="A109" s="8" t="s">
        <v>101</v>
      </c>
      <c r="B109" s="8" t="str">
        <f t="shared" si="28"/>
        <v>Human4</v>
      </c>
      <c r="C109" s="197" t="s">
        <v>276</v>
      </c>
      <c r="D109" s="8" t="str">
        <f t="shared" si="1"/>
        <v>HumanThrower</v>
      </c>
      <c r="E109" s="197">
        <v>6</v>
      </c>
      <c r="F109" s="197">
        <v>3</v>
      </c>
      <c r="G109" s="197">
        <v>3</v>
      </c>
      <c r="H109" s="197">
        <v>2</v>
      </c>
      <c r="I109" s="197">
        <v>9</v>
      </c>
      <c r="J109" s="8" t="str">
        <f>IF(Roster!$K$25="Español",V109,(IF(Roster!$K$25="Deutsch",W109,(IF(Roster!$K$25="Français",X109,U109)))))</f>
        <v>Pass, Sure Hands</v>
      </c>
      <c r="K109" s="216">
        <v>80000</v>
      </c>
      <c r="L109" s="7">
        <f t="shared" si="20"/>
        <v>80</v>
      </c>
      <c r="M109" s="197">
        <v>2</v>
      </c>
      <c r="N109" s="197">
        <v>0</v>
      </c>
      <c r="O109" s="216" t="s">
        <v>199</v>
      </c>
      <c r="P109" s="216" t="s">
        <v>198</v>
      </c>
      <c r="Q109" s="216" t="s">
        <v>198</v>
      </c>
      <c r="R109" s="216" t="s">
        <v>199</v>
      </c>
      <c r="S109" s="216">
        <v>0</v>
      </c>
      <c r="T109" s="13" t="str">
        <f t="shared" si="29"/>
        <v>M</v>
      </c>
      <c r="U109" s="13" t="s">
        <v>518</v>
      </c>
      <c r="V109" s="197" t="s">
        <v>519</v>
      </c>
      <c r="W109" s="13" t="s">
        <v>520</v>
      </c>
      <c r="X109" s="13" t="s">
        <v>521</v>
      </c>
      <c r="Y109" s="13"/>
      <c r="Z109" s="13"/>
    </row>
    <row r="110" spans="1:26" ht="12.75" customHeight="1" x14ac:dyDescent="0.2">
      <c r="A110" s="8" t="s">
        <v>101</v>
      </c>
      <c r="B110" s="8" t="str">
        <f t="shared" si="28"/>
        <v>Human5</v>
      </c>
      <c r="C110" s="197" t="s">
        <v>286</v>
      </c>
      <c r="D110" s="8" t="str">
        <f t="shared" si="1"/>
        <v>HumanBlitzer</v>
      </c>
      <c r="E110" s="197">
        <v>7</v>
      </c>
      <c r="F110" s="197">
        <v>3</v>
      </c>
      <c r="G110" s="197">
        <v>3</v>
      </c>
      <c r="H110" s="197">
        <v>4</v>
      </c>
      <c r="I110" s="197">
        <v>9</v>
      </c>
      <c r="J110" s="8" t="str">
        <f>IF(Roster!$K$25="Español",V110,(IF(Roster!$K$25="Deutsch",W110,(IF(Roster!$K$25="Français",X110,U110)))))</f>
        <v>Block</v>
      </c>
      <c r="K110" s="216">
        <v>85000</v>
      </c>
      <c r="L110" s="7">
        <f t="shared" si="20"/>
        <v>85</v>
      </c>
      <c r="M110" s="197">
        <v>4</v>
      </c>
      <c r="N110" s="197">
        <v>0</v>
      </c>
      <c r="O110" s="216" t="s">
        <v>199</v>
      </c>
      <c r="P110" s="216" t="s">
        <v>198</v>
      </c>
      <c r="Q110" s="216" t="s">
        <v>199</v>
      </c>
      <c r="R110" s="216" t="s">
        <v>198</v>
      </c>
      <c r="S110" s="216">
        <v>0</v>
      </c>
      <c r="T110" s="13" t="str">
        <f t="shared" si="29"/>
        <v>M</v>
      </c>
      <c r="U110" s="13" t="s">
        <v>407</v>
      </c>
      <c r="V110" s="197" t="s">
        <v>408</v>
      </c>
      <c r="W110" s="13" t="s">
        <v>407</v>
      </c>
      <c r="X110" s="13" t="s">
        <v>409</v>
      </c>
      <c r="Y110" s="13"/>
      <c r="Z110" s="13"/>
    </row>
    <row r="111" spans="1:26" ht="12.75" customHeight="1" x14ac:dyDescent="0.2">
      <c r="A111" s="8" t="s">
        <v>101</v>
      </c>
      <c r="B111" s="8" t="str">
        <f t="shared" si="28"/>
        <v>Human6</v>
      </c>
      <c r="C111" s="197" t="s">
        <v>490</v>
      </c>
      <c r="D111" s="8" t="str">
        <f t="shared" si="1"/>
        <v>HumanHalfling Hopeful</v>
      </c>
      <c r="E111" s="197">
        <v>5</v>
      </c>
      <c r="F111" s="197">
        <v>2</v>
      </c>
      <c r="G111" s="197">
        <v>3</v>
      </c>
      <c r="H111" s="197">
        <v>4</v>
      </c>
      <c r="I111" s="274">
        <v>7</v>
      </c>
      <c r="J111" s="8" t="str">
        <f>IF(Roster!$K$25="Español",V111,(IF(Roster!$K$25="Deutsch",W111,(IF(Roster!$K$25="Français",X111,U111)))))</f>
        <v>Dodge, Right Stuff, Stunty</v>
      </c>
      <c r="K111" s="216">
        <v>30000</v>
      </c>
      <c r="L111" s="7">
        <f t="shared" si="20"/>
        <v>30</v>
      </c>
      <c r="M111" s="197">
        <v>3</v>
      </c>
      <c r="N111" s="197">
        <v>0</v>
      </c>
      <c r="O111" s="216" t="s">
        <v>198</v>
      </c>
      <c r="P111" s="216" t="s">
        <v>199</v>
      </c>
      <c r="Q111" s="216" t="s">
        <v>198</v>
      </c>
      <c r="R111" s="216">
        <v>0</v>
      </c>
      <c r="S111" s="216">
        <v>0</v>
      </c>
      <c r="T111" s="13" t="str">
        <f t="shared" si="29"/>
        <v>PM</v>
      </c>
      <c r="U111" s="13" t="s">
        <v>451</v>
      </c>
      <c r="V111" s="197" t="s">
        <v>452</v>
      </c>
      <c r="W111" s="13" t="s">
        <v>453</v>
      </c>
      <c r="X111" s="13" t="s">
        <v>454</v>
      </c>
      <c r="Y111" s="13"/>
      <c r="Z111" s="13"/>
    </row>
    <row r="112" spans="1:26" ht="12.75" customHeight="1" x14ac:dyDescent="0.2">
      <c r="A112" s="8" t="s">
        <v>101</v>
      </c>
      <c r="B112" s="8" t="str">
        <f t="shared" si="28"/>
        <v>Human7</v>
      </c>
      <c r="C112" s="197" t="s">
        <v>137</v>
      </c>
      <c r="D112" s="8" t="str">
        <f t="shared" si="1"/>
        <v>HumanOgre</v>
      </c>
      <c r="E112" s="197">
        <v>5</v>
      </c>
      <c r="F112" s="197">
        <v>5</v>
      </c>
      <c r="G112" s="197">
        <v>4</v>
      </c>
      <c r="H112" s="197">
        <v>5</v>
      </c>
      <c r="I112" s="197">
        <v>10</v>
      </c>
      <c r="J112" s="8" t="str">
        <f>IF(Roster!$K$25="Español",V112,(IF(Roster!$K$25="Deutsch",W112,(IF(Roster!$K$25="Français",X112,U112)))))</f>
        <v>Bone Head, Loner (4+), Mighty Blow (+1), Thick Skull, Throw Team-mate</v>
      </c>
      <c r="K112" s="216">
        <v>140000</v>
      </c>
      <c r="L112" s="7">
        <f t="shared" si="20"/>
        <v>140</v>
      </c>
      <c r="M112" s="197">
        <v>1</v>
      </c>
      <c r="N112" s="197">
        <v>1</v>
      </c>
      <c r="O112" s="216" t="s">
        <v>198</v>
      </c>
      <c r="P112" s="216" t="s">
        <v>198</v>
      </c>
      <c r="Q112" s="216" t="s">
        <v>199</v>
      </c>
      <c r="R112" s="216">
        <v>0</v>
      </c>
      <c r="S112" s="216">
        <v>0</v>
      </c>
      <c r="T112" s="13" t="str">
        <f t="shared" si="29"/>
        <v>PM</v>
      </c>
      <c r="U112" s="13" t="s">
        <v>326</v>
      </c>
      <c r="V112" s="197" t="s">
        <v>327</v>
      </c>
      <c r="W112" s="13" t="s">
        <v>328</v>
      </c>
      <c r="X112" s="13" t="s">
        <v>329</v>
      </c>
      <c r="Y112" s="13"/>
      <c r="Z112" s="13"/>
    </row>
    <row r="113" spans="1:26" ht="12.75" customHeight="1" x14ac:dyDescent="0.2">
      <c r="A113" s="8" t="s">
        <v>101</v>
      </c>
      <c r="B113" s="8" t="str">
        <f t="shared" si="28"/>
        <v>Human8</v>
      </c>
      <c r="C113" s="197" t="s">
        <v>522</v>
      </c>
      <c r="D113" s="8" t="str">
        <f t="shared" si="1"/>
        <v>HumanJourneyman</v>
      </c>
      <c r="E113" s="197">
        <v>6</v>
      </c>
      <c r="F113" s="197">
        <v>3</v>
      </c>
      <c r="G113" s="197">
        <v>3</v>
      </c>
      <c r="H113" s="197">
        <v>4</v>
      </c>
      <c r="I113" s="197">
        <v>9</v>
      </c>
      <c r="J113" s="8" t="str">
        <f>IF(Roster!$K$25="Español",V113,(IF(Roster!$K$25="Deutsch",W113,(IF(Roster!$K$25="Français",X113,U113)))))</f>
        <v>Loner (4+)</v>
      </c>
      <c r="K113" s="216">
        <v>0</v>
      </c>
      <c r="L113" s="7">
        <v>50</v>
      </c>
      <c r="M113" s="197">
        <v>11</v>
      </c>
      <c r="N113" s="197">
        <v>0</v>
      </c>
      <c r="O113" s="216" t="s">
        <v>199</v>
      </c>
      <c r="P113" s="216" t="s">
        <v>198</v>
      </c>
      <c r="Q113" s="216" t="s">
        <v>198</v>
      </c>
      <c r="R113" s="216">
        <v>0</v>
      </c>
      <c r="S113" s="216">
        <v>0</v>
      </c>
      <c r="T113" s="13" t="str">
        <f t="shared" si="29"/>
        <v>PM</v>
      </c>
      <c r="U113" s="13" t="s">
        <v>357</v>
      </c>
      <c r="V113" s="13" t="s">
        <v>358</v>
      </c>
      <c r="W113" s="13" t="s">
        <v>359</v>
      </c>
      <c r="X113" s="13" t="s">
        <v>360</v>
      </c>
      <c r="Y113" s="13"/>
      <c r="Z113" s="13"/>
    </row>
    <row r="114" spans="1:26" ht="12.75" customHeight="1" x14ac:dyDescent="0.2">
      <c r="A114" s="8" t="s">
        <v>106</v>
      </c>
      <c r="B114" s="8" t="str">
        <f t="shared" si="28"/>
        <v>Imperial Nobility1</v>
      </c>
      <c r="C114" s="197" t="str">
        <f>""</f>
        <v/>
      </c>
      <c r="D114" s="8" t="str">
        <f t="shared" si="1"/>
        <v>Imperial Nobility</v>
      </c>
      <c r="E114" s="197">
        <v>0</v>
      </c>
      <c r="F114" s="197">
        <v>0</v>
      </c>
      <c r="G114" s="197">
        <v>0</v>
      </c>
      <c r="H114" s="197">
        <v>0</v>
      </c>
      <c r="I114" s="197">
        <v>0</v>
      </c>
      <c r="J114" s="8">
        <f>IF(Roster!$K$25="Español",V114,(IF(Roster!$K$25="Deutsch",W114,(IF(Roster!$K$25="Français",X114,U114)))))</f>
        <v>0</v>
      </c>
      <c r="K114" s="216">
        <v>0</v>
      </c>
      <c r="L114" s="7">
        <f t="shared" si="20"/>
        <v>0</v>
      </c>
      <c r="M114" s="216">
        <v>0</v>
      </c>
      <c r="N114" s="216">
        <v>0</v>
      </c>
      <c r="O114" s="216"/>
      <c r="P114" s="216"/>
      <c r="Q114" s="216"/>
      <c r="R114" s="216"/>
      <c r="S114" s="216"/>
      <c r="T114" s="13"/>
      <c r="U114" s="13">
        <v>0</v>
      </c>
      <c r="V114" s="13">
        <v>0</v>
      </c>
      <c r="W114" s="13">
        <v>0</v>
      </c>
      <c r="X114" s="13">
        <v>0</v>
      </c>
      <c r="Y114" s="13">
        <v>0</v>
      </c>
      <c r="Z114" s="13"/>
    </row>
    <row r="115" spans="1:26" ht="12.75" customHeight="1" x14ac:dyDescent="0.2">
      <c r="A115" s="8" t="s">
        <v>106</v>
      </c>
      <c r="B115" s="8" t="str">
        <f t="shared" si="28"/>
        <v>Imperial Nobility2</v>
      </c>
      <c r="C115" s="197" t="s">
        <v>396</v>
      </c>
      <c r="D115" s="8" t="str">
        <f t="shared" si="1"/>
        <v>Imperial NobilityLineman</v>
      </c>
      <c r="E115" s="197">
        <v>6</v>
      </c>
      <c r="F115" s="197">
        <v>3</v>
      </c>
      <c r="G115" s="197">
        <v>4</v>
      </c>
      <c r="H115" s="197">
        <v>4</v>
      </c>
      <c r="I115" s="197">
        <v>8</v>
      </c>
      <c r="J115" s="8" t="str">
        <f>IF(Roster!$K$25="Español",V115,(IF(Roster!$K$25="Deutsch",W115,(IF(Roster!$K$25="Français",X115,U115)))))</f>
        <v>Fend</v>
      </c>
      <c r="K115" s="216">
        <v>45000</v>
      </c>
      <c r="L115" s="7">
        <f t="shared" si="20"/>
        <v>45</v>
      </c>
      <c r="M115" s="197">
        <v>16</v>
      </c>
      <c r="N115" s="197">
        <v>0</v>
      </c>
      <c r="O115" s="216" t="s">
        <v>199</v>
      </c>
      <c r="P115" s="216" t="s">
        <v>198</v>
      </c>
      <c r="Q115" s="216" t="s">
        <v>198</v>
      </c>
      <c r="R115" s="216">
        <v>0</v>
      </c>
      <c r="S115" s="197">
        <v>0</v>
      </c>
      <c r="T115" s="13" t="str">
        <f t="shared" ref="T115:T120" si="31">IF(AND(R115&lt;&gt;0,S115&lt;&gt;0),"FULL",(IF(AND(R115=0,S115=0),"PM",IF(R115=0,"P",(IF(S115=0,"M"))))))</f>
        <v>PM</v>
      </c>
      <c r="U115" s="13" t="s">
        <v>523</v>
      </c>
      <c r="V115" s="197" t="s">
        <v>524</v>
      </c>
      <c r="W115" s="13" t="s">
        <v>525</v>
      </c>
      <c r="X115" s="13" t="s">
        <v>526</v>
      </c>
      <c r="Y115" s="13"/>
      <c r="Z115" s="13"/>
    </row>
    <row r="116" spans="1:26" ht="12.75" customHeight="1" x14ac:dyDescent="0.2">
      <c r="A116" s="8" t="s">
        <v>106</v>
      </c>
      <c r="B116" s="8" t="str">
        <f t="shared" si="28"/>
        <v>Imperial Nobility3</v>
      </c>
      <c r="C116" s="197" t="s">
        <v>276</v>
      </c>
      <c r="D116" s="8" t="str">
        <f t="shared" si="1"/>
        <v>Imperial NobilityThrower</v>
      </c>
      <c r="E116" s="197">
        <v>6</v>
      </c>
      <c r="F116" s="197">
        <v>3</v>
      </c>
      <c r="G116" s="197">
        <v>3</v>
      </c>
      <c r="H116" s="197">
        <v>3</v>
      </c>
      <c r="I116" s="197">
        <v>9</v>
      </c>
      <c r="J116" s="8" t="str">
        <f>IF(Roster!$K$25="Español",V116,(IF(Roster!$K$25="Deutsch",W116,(IF(Roster!$K$25="Français",X116,U116)))))</f>
        <v>Pass, Running Pass</v>
      </c>
      <c r="K116" s="216">
        <v>75000</v>
      </c>
      <c r="L116" s="7">
        <f t="shared" si="20"/>
        <v>75</v>
      </c>
      <c r="M116" s="197">
        <v>2</v>
      </c>
      <c r="N116" s="197">
        <v>0</v>
      </c>
      <c r="O116" s="216" t="s">
        <v>199</v>
      </c>
      <c r="P116" s="216" t="s">
        <v>198</v>
      </c>
      <c r="Q116" s="216" t="s">
        <v>198</v>
      </c>
      <c r="R116" s="216" t="s">
        <v>199</v>
      </c>
      <c r="S116" s="197">
        <v>0</v>
      </c>
      <c r="T116" s="13" t="str">
        <f t="shared" si="31"/>
        <v>M</v>
      </c>
      <c r="U116" s="13" t="s">
        <v>527</v>
      </c>
      <c r="V116" s="197" t="s">
        <v>528</v>
      </c>
      <c r="W116" s="13" t="s">
        <v>529</v>
      </c>
      <c r="X116" s="13" t="s">
        <v>530</v>
      </c>
      <c r="Y116" s="13"/>
      <c r="Z116" s="13"/>
    </row>
    <row r="117" spans="1:26" ht="12.75" customHeight="1" x14ac:dyDescent="0.2">
      <c r="A117" s="8" t="s">
        <v>106</v>
      </c>
      <c r="B117" s="8" t="str">
        <f t="shared" si="28"/>
        <v>Imperial Nobility4</v>
      </c>
      <c r="C117" s="197" t="s">
        <v>286</v>
      </c>
      <c r="D117" s="8" t="str">
        <f t="shared" si="1"/>
        <v>Imperial NobilityBlitzer</v>
      </c>
      <c r="E117" s="197">
        <v>7</v>
      </c>
      <c r="F117" s="197">
        <v>3</v>
      </c>
      <c r="G117" s="197">
        <v>3</v>
      </c>
      <c r="H117" s="197">
        <v>4</v>
      </c>
      <c r="I117" s="197">
        <v>9</v>
      </c>
      <c r="J117" s="8" t="str">
        <f>IF(Roster!$K$25="Español",V117,(IF(Roster!$K$25="Deutsch",W117,(IF(Roster!$K$25="Français",X117,U117)))))</f>
        <v>Block, Catch</v>
      </c>
      <c r="K117" s="216">
        <v>105000</v>
      </c>
      <c r="L117" s="7">
        <f t="shared" si="20"/>
        <v>105</v>
      </c>
      <c r="M117" s="197">
        <v>2</v>
      </c>
      <c r="N117" s="197">
        <v>0</v>
      </c>
      <c r="O117" s="216" t="s">
        <v>199</v>
      </c>
      <c r="P117" s="216" t="s">
        <v>199</v>
      </c>
      <c r="Q117" s="216" t="s">
        <v>198</v>
      </c>
      <c r="R117" s="216" t="s">
        <v>198</v>
      </c>
      <c r="S117" s="197">
        <v>0</v>
      </c>
      <c r="T117" s="13" t="str">
        <f t="shared" si="31"/>
        <v>M</v>
      </c>
      <c r="U117" s="13" t="s">
        <v>531</v>
      </c>
      <c r="V117" s="13" t="s">
        <v>532</v>
      </c>
      <c r="W117" s="13" t="s">
        <v>533</v>
      </c>
      <c r="X117" s="13" t="s">
        <v>534</v>
      </c>
      <c r="Y117" s="13"/>
      <c r="Z117" s="13"/>
    </row>
    <row r="118" spans="1:26" ht="12.75" customHeight="1" x14ac:dyDescent="0.2">
      <c r="A118" s="8" t="s">
        <v>106</v>
      </c>
      <c r="B118" s="8" t="str">
        <f t="shared" si="28"/>
        <v>Imperial Nobility5</v>
      </c>
      <c r="C118" s="197" t="s">
        <v>535</v>
      </c>
      <c r="D118" s="8" t="str">
        <f t="shared" si="1"/>
        <v>Imperial NobilityBodyguard</v>
      </c>
      <c r="E118" s="197">
        <v>6</v>
      </c>
      <c r="F118" s="197">
        <v>3</v>
      </c>
      <c r="G118" s="197">
        <v>3</v>
      </c>
      <c r="H118" s="197">
        <v>5</v>
      </c>
      <c r="I118" s="197">
        <v>9</v>
      </c>
      <c r="J118" s="8" t="str">
        <f>IF(Roster!$K$25="Español",V118,(IF(Roster!$K$25="Deutsch",W118,(IF(Roster!$K$25="Français",X118,U118)))))</f>
        <v>Stand Firm, Wrestle</v>
      </c>
      <c r="K118" s="216">
        <v>90000</v>
      </c>
      <c r="L118" s="7">
        <f t="shared" si="20"/>
        <v>90</v>
      </c>
      <c r="M118" s="197">
        <v>4</v>
      </c>
      <c r="N118" s="197">
        <v>0</v>
      </c>
      <c r="O118" s="216" t="s">
        <v>199</v>
      </c>
      <c r="P118" s="216" t="s">
        <v>198</v>
      </c>
      <c r="Q118" s="216" t="s">
        <v>199</v>
      </c>
      <c r="R118" s="216">
        <v>0</v>
      </c>
      <c r="S118" s="197">
        <v>0</v>
      </c>
      <c r="T118" s="13" t="str">
        <f t="shared" si="31"/>
        <v>PM</v>
      </c>
      <c r="U118" s="13" t="s">
        <v>536</v>
      </c>
      <c r="V118" s="13" t="s">
        <v>537</v>
      </c>
      <c r="W118" s="13" t="s">
        <v>538</v>
      </c>
      <c r="X118" s="13" t="s">
        <v>539</v>
      </c>
      <c r="Y118" s="13"/>
      <c r="Z118" s="13"/>
    </row>
    <row r="119" spans="1:26" ht="12.75" customHeight="1" x14ac:dyDescent="0.2">
      <c r="A119" s="8" t="s">
        <v>106</v>
      </c>
      <c r="B119" s="8" t="str">
        <f t="shared" si="28"/>
        <v>Imperial Nobility6</v>
      </c>
      <c r="C119" s="197" t="s">
        <v>137</v>
      </c>
      <c r="D119" s="8" t="str">
        <f t="shared" si="1"/>
        <v>Imperial NobilityOgre</v>
      </c>
      <c r="E119" s="197">
        <v>5</v>
      </c>
      <c r="F119" s="197">
        <v>5</v>
      </c>
      <c r="G119" s="197">
        <v>4</v>
      </c>
      <c r="H119" s="197">
        <v>5</v>
      </c>
      <c r="I119" s="197">
        <v>10</v>
      </c>
      <c r="J119" s="8" t="str">
        <f>IF(Roster!$K$25="Español",V119,(IF(Roster!$K$25="Deutsch",W119,(IF(Roster!$K$25="Français",X119,U119)))))</f>
        <v>Bone Head, Loner (4+), Mighty Blow (+1), Thick Skull, Throw Team-mate</v>
      </c>
      <c r="K119" s="216">
        <v>140000</v>
      </c>
      <c r="L119" s="7">
        <f t="shared" si="20"/>
        <v>140</v>
      </c>
      <c r="M119" s="197">
        <v>1</v>
      </c>
      <c r="N119" s="197">
        <v>1</v>
      </c>
      <c r="O119" s="216" t="s">
        <v>198</v>
      </c>
      <c r="P119" s="216" t="s">
        <v>198</v>
      </c>
      <c r="Q119" s="216" t="s">
        <v>199</v>
      </c>
      <c r="R119" s="216">
        <v>0</v>
      </c>
      <c r="S119" s="197">
        <v>0</v>
      </c>
      <c r="T119" s="13" t="str">
        <f t="shared" si="31"/>
        <v>PM</v>
      </c>
      <c r="U119" s="13" t="s">
        <v>326</v>
      </c>
      <c r="V119" s="13" t="s">
        <v>327</v>
      </c>
      <c r="W119" s="13" t="s">
        <v>328</v>
      </c>
      <c r="X119" s="13" t="s">
        <v>329</v>
      </c>
      <c r="Y119" s="13"/>
      <c r="Z119" s="13"/>
    </row>
    <row r="120" spans="1:26" ht="12.75" customHeight="1" x14ac:dyDescent="0.2">
      <c r="A120" s="8" t="s">
        <v>106</v>
      </c>
      <c r="B120" s="8" t="str">
        <f t="shared" si="28"/>
        <v>Imperial Nobility7</v>
      </c>
      <c r="C120" s="197" t="s">
        <v>522</v>
      </c>
      <c r="D120" s="8" t="str">
        <f t="shared" si="1"/>
        <v>Imperial NobilityJourneyman</v>
      </c>
      <c r="E120" s="197">
        <v>6</v>
      </c>
      <c r="F120" s="197">
        <v>3</v>
      </c>
      <c r="G120" s="197">
        <v>4</v>
      </c>
      <c r="H120" s="197">
        <v>4</v>
      </c>
      <c r="I120" s="197">
        <v>8</v>
      </c>
      <c r="J120" s="8" t="str">
        <f>IF(Roster!$K$25="Español",V120,(IF(Roster!$K$25="Deutsch",W120,(IF(Roster!$K$25="Français",X120,U120)))))</f>
        <v>Loner (4+), Fend</v>
      </c>
      <c r="K120" s="216">
        <v>0</v>
      </c>
      <c r="L120" s="7">
        <v>45</v>
      </c>
      <c r="M120" s="197">
        <v>11</v>
      </c>
      <c r="N120" s="197">
        <v>0</v>
      </c>
      <c r="O120" s="216" t="s">
        <v>199</v>
      </c>
      <c r="P120" s="216" t="s">
        <v>198</v>
      </c>
      <c r="Q120" s="216" t="s">
        <v>198</v>
      </c>
      <c r="R120" s="216">
        <v>0</v>
      </c>
      <c r="S120" s="197">
        <v>0</v>
      </c>
      <c r="T120" s="13" t="str">
        <f t="shared" si="31"/>
        <v>PM</v>
      </c>
      <c r="U120" s="13" t="s">
        <v>540</v>
      </c>
      <c r="V120" s="13" t="s">
        <v>541</v>
      </c>
      <c r="W120" s="13" t="s">
        <v>542</v>
      </c>
      <c r="X120" s="13" t="s">
        <v>543</v>
      </c>
      <c r="Y120" s="13"/>
      <c r="Z120" s="13"/>
    </row>
    <row r="121" spans="1:26" ht="12.75" customHeight="1" x14ac:dyDescent="0.2">
      <c r="A121" s="8" t="s">
        <v>111</v>
      </c>
      <c r="B121" s="8" t="str">
        <f t="shared" si="28"/>
        <v>Khorne1</v>
      </c>
      <c r="C121" s="260"/>
      <c r="D121" s="8" t="str">
        <f t="shared" si="1"/>
        <v>Khorne</v>
      </c>
      <c r="E121" s="260">
        <v>0</v>
      </c>
      <c r="F121" s="260">
        <v>0</v>
      </c>
      <c r="G121" s="260">
        <v>0</v>
      </c>
      <c r="H121" s="260">
        <v>0</v>
      </c>
      <c r="I121" s="260">
        <v>0</v>
      </c>
      <c r="J121" s="8">
        <f>IF(Roster!$K$25="Español",V121,(IF(Roster!$K$25="Deutsch",W121,(IF(Roster!$K$25="Français",X121,U121)))))</f>
        <v>0</v>
      </c>
      <c r="K121" s="227">
        <v>0</v>
      </c>
      <c r="L121" s="7">
        <f t="shared" si="20"/>
        <v>0</v>
      </c>
      <c r="M121" s="227">
        <v>0</v>
      </c>
      <c r="N121" s="227">
        <v>0</v>
      </c>
      <c r="O121" s="275"/>
      <c r="P121" s="275"/>
      <c r="Q121" s="275"/>
      <c r="R121" s="275"/>
      <c r="S121" s="275"/>
      <c r="T121" s="13"/>
      <c r="U121" s="13"/>
      <c r="V121" s="13"/>
      <c r="W121" s="13"/>
      <c r="X121" s="13"/>
      <c r="Y121" s="261"/>
      <c r="Z121" s="13"/>
    </row>
    <row r="122" spans="1:26" ht="12.75" customHeight="1" x14ac:dyDescent="0.2">
      <c r="A122" s="8" t="s">
        <v>111</v>
      </c>
      <c r="B122" s="8" t="str">
        <f t="shared" si="28"/>
        <v>Khorne2</v>
      </c>
      <c r="C122" s="260" t="s">
        <v>544</v>
      </c>
      <c r="D122" s="8" t="str">
        <f t="shared" si="1"/>
        <v>KhorneBloodborn Marauder Lineman</v>
      </c>
      <c r="E122" s="260">
        <v>6</v>
      </c>
      <c r="F122" s="260">
        <v>3</v>
      </c>
      <c r="G122" s="260">
        <v>3</v>
      </c>
      <c r="H122" s="260">
        <v>4</v>
      </c>
      <c r="I122" s="260">
        <v>8</v>
      </c>
      <c r="J122" s="8" t="str">
        <f>IF(Roster!$K$25="Español",V122,(IF(Roster!$K$25="Deutsch",W122,(IF(Roster!$K$25="Français",X122,U122)))))</f>
        <v>Frenzy</v>
      </c>
      <c r="K122" s="227">
        <v>50000</v>
      </c>
      <c r="L122" s="7">
        <f t="shared" si="20"/>
        <v>50</v>
      </c>
      <c r="M122" s="227">
        <v>16</v>
      </c>
      <c r="N122" s="227">
        <v>0</v>
      </c>
      <c r="O122" s="227" t="s">
        <v>199</v>
      </c>
      <c r="P122" s="227" t="s">
        <v>198</v>
      </c>
      <c r="Q122" s="227" t="s">
        <v>198</v>
      </c>
      <c r="R122" s="227">
        <v>0</v>
      </c>
      <c r="S122" s="227" t="s">
        <v>199</v>
      </c>
      <c r="T122" s="13" t="s">
        <v>199</v>
      </c>
      <c r="U122" s="13" t="s">
        <v>388</v>
      </c>
      <c r="V122" s="13" t="s">
        <v>389</v>
      </c>
      <c r="W122" s="13" t="s">
        <v>390</v>
      </c>
      <c r="X122" s="13" t="s">
        <v>391</v>
      </c>
      <c r="Y122" s="261"/>
      <c r="Z122" s="13"/>
    </row>
    <row r="123" spans="1:26" ht="12.75" customHeight="1" x14ac:dyDescent="0.2">
      <c r="A123" s="8" t="s">
        <v>111</v>
      </c>
      <c r="B123" s="8" t="str">
        <f t="shared" si="28"/>
        <v>Khorne3</v>
      </c>
      <c r="C123" s="260" t="s">
        <v>545</v>
      </c>
      <c r="D123" s="8" t="str">
        <f t="shared" si="1"/>
        <v>KhorneKhorngors</v>
      </c>
      <c r="E123" s="260">
        <v>6</v>
      </c>
      <c r="F123" s="260">
        <v>3</v>
      </c>
      <c r="G123" s="260">
        <v>3</v>
      </c>
      <c r="H123" s="260">
        <v>4</v>
      </c>
      <c r="I123" s="260">
        <v>9</v>
      </c>
      <c r="J123" s="8" t="str">
        <f>IF(Roster!$K$25="Español",V123,(IF(Roster!$K$25="Deutsch",W123,(IF(Roster!$K$25="Français",X123,U123)))))</f>
        <v>Horns, Juggernaut</v>
      </c>
      <c r="K123" s="227">
        <v>70000</v>
      </c>
      <c r="L123" s="7">
        <f t="shared" si="20"/>
        <v>70</v>
      </c>
      <c r="M123" s="227">
        <v>4</v>
      </c>
      <c r="N123" s="227">
        <v>0</v>
      </c>
      <c r="O123" s="227" t="s">
        <v>199</v>
      </c>
      <c r="P123" s="227" t="s">
        <v>198</v>
      </c>
      <c r="Q123" s="227" t="s">
        <v>199</v>
      </c>
      <c r="R123" s="227" t="s">
        <v>198</v>
      </c>
      <c r="S123" s="227" t="s">
        <v>199</v>
      </c>
      <c r="T123" s="13" t="s">
        <v>225</v>
      </c>
      <c r="U123" s="13" t="s">
        <v>546</v>
      </c>
      <c r="V123" s="13" t="s">
        <v>547</v>
      </c>
      <c r="W123" s="13" t="s">
        <v>548</v>
      </c>
      <c r="X123" s="13" t="s">
        <v>549</v>
      </c>
      <c r="Y123" s="261"/>
      <c r="Z123" s="13"/>
    </row>
    <row r="124" spans="1:26" ht="12.75" customHeight="1" x14ac:dyDescent="0.2">
      <c r="A124" s="8" t="s">
        <v>111</v>
      </c>
      <c r="B124" s="8" t="str">
        <f t="shared" si="28"/>
        <v>Khorne4</v>
      </c>
      <c r="C124" s="260" t="s">
        <v>550</v>
      </c>
      <c r="D124" s="8" t="str">
        <f t="shared" si="1"/>
        <v>KhorneBloodseekers</v>
      </c>
      <c r="E124" s="260">
        <v>5</v>
      </c>
      <c r="F124" s="260">
        <v>4</v>
      </c>
      <c r="G124" s="260">
        <v>4</v>
      </c>
      <c r="H124" s="260">
        <v>6</v>
      </c>
      <c r="I124" s="260">
        <v>10</v>
      </c>
      <c r="J124" s="8" t="str">
        <f>IF(Roster!$K$25="Español",V124,(IF(Roster!$K$25="Deutsch",W124,(IF(Roster!$K$25="Français",X124,U124)))))</f>
        <v>Frenzy</v>
      </c>
      <c r="K124" s="227">
        <v>110000</v>
      </c>
      <c r="L124" s="7">
        <f t="shared" si="20"/>
        <v>110</v>
      </c>
      <c r="M124" s="227">
        <v>4</v>
      </c>
      <c r="N124" s="227">
        <v>0</v>
      </c>
      <c r="O124" s="227" t="s">
        <v>199</v>
      </c>
      <c r="P124" s="227" t="s">
        <v>198</v>
      </c>
      <c r="Q124" s="227" t="s">
        <v>199</v>
      </c>
      <c r="R124" s="227">
        <v>0</v>
      </c>
      <c r="S124" s="227" t="s">
        <v>199</v>
      </c>
      <c r="T124" s="13" t="s">
        <v>199</v>
      </c>
      <c r="U124" s="13" t="s">
        <v>388</v>
      </c>
      <c r="V124" s="13" t="s">
        <v>389</v>
      </c>
      <c r="W124" s="13" t="s">
        <v>390</v>
      </c>
      <c r="X124" s="13" t="s">
        <v>391</v>
      </c>
      <c r="Y124" s="261"/>
      <c r="Z124" s="13"/>
    </row>
    <row r="125" spans="1:26" ht="12.75" customHeight="1" x14ac:dyDescent="0.2">
      <c r="A125" s="8" t="s">
        <v>111</v>
      </c>
      <c r="B125" s="8" t="str">
        <f t="shared" si="28"/>
        <v>Khorne5</v>
      </c>
      <c r="C125" s="260" t="s">
        <v>551</v>
      </c>
      <c r="D125" s="8" t="str">
        <f t="shared" si="1"/>
        <v>KhorneBloodspawn</v>
      </c>
      <c r="E125" s="260">
        <v>5</v>
      </c>
      <c r="F125" s="260">
        <v>5</v>
      </c>
      <c r="G125" s="260">
        <v>4</v>
      </c>
      <c r="H125" s="260">
        <v>0</v>
      </c>
      <c r="I125" s="260">
        <v>9</v>
      </c>
      <c r="J125" s="8" t="str">
        <f>IF(Roster!$K$25="Español",V125,(IF(Roster!$K$25="Deutsch",W125,(IF(Roster!$K$25="Français",X125,U125)))))</f>
        <v>Claws, Frenzy, Loner (4+), Mighty Blow (+1), Unchannelled Fury</v>
      </c>
      <c r="K125" s="227">
        <v>160000</v>
      </c>
      <c r="L125" s="7">
        <f t="shared" si="20"/>
        <v>160</v>
      </c>
      <c r="M125" s="227">
        <v>1</v>
      </c>
      <c r="N125" s="227">
        <v>1</v>
      </c>
      <c r="O125" s="227" t="s">
        <v>198</v>
      </c>
      <c r="P125" s="227" t="s">
        <v>198</v>
      </c>
      <c r="Q125" s="227" t="s">
        <v>199</v>
      </c>
      <c r="R125" s="227">
        <v>0</v>
      </c>
      <c r="S125" s="227" t="s">
        <v>199</v>
      </c>
      <c r="T125" s="13" t="s">
        <v>199</v>
      </c>
      <c r="U125" s="13" t="s">
        <v>552</v>
      </c>
      <c r="V125" s="13" t="s">
        <v>553</v>
      </c>
      <c r="W125" s="13" t="s">
        <v>554</v>
      </c>
      <c r="X125" s="13" t="s">
        <v>555</v>
      </c>
      <c r="Y125" s="261"/>
      <c r="Z125" s="13"/>
    </row>
    <row r="126" spans="1:26" ht="12.75" customHeight="1" x14ac:dyDescent="0.2">
      <c r="A126" s="8" t="s">
        <v>111</v>
      </c>
      <c r="B126" s="8" t="str">
        <f t="shared" si="28"/>
        <v>Khorne6</v>
      </c>
      <c r="C126" s="260" t="s">
        <v>556</v>
      </c>
      <c r="D126" s="8" t="str">
        <f t="shared" si="1"/>
        <v>KhorneJourney Bloodborn</v>
      </c>
      <c r="E126" s="260">
        <v>6</v>
      </c>
      <c r="F126" s="260">
        <v>3</v>
      </c>
      <c r="G126" s="260">
        <v>3</v>
      </c>
      <c r="H126" s="260">
        <v>4</v>
      </c>
      <c r="I126" s="260">
        <v>8</v>
      </c>
      <c r="J126" s="8" t="str">
        <f>IF(Roster!$K$25="Español",V126,(IF(Roster!$K$25="Deutsch",W126,(IF(Roster!$K$25="Français",X126,U126)))))</f>
        <v>Loner (4+), Frenzy</v>
      </c>
      <c r="K126" s="227">
        <v>0</v>
      </c>
      <c r="L126" s="7">
        <v>50</v>
      </c>
      <c r="M126" s="227">
        <v>11</v>
      </c>
      <c r="N126" s="227">
        <v>0</v>
      </c>
      <c r="O126" s="227" t="s">
        <v>199</v>
      </c>
      <c r="P126" s="227" t="s">
        <v>198</v>
      </c>
      <c r="Q126" s="227" t="s">
        <v>198</v>
      </c>
      <c r="R126" s="227">
        <v>0</v>
      </c>
      <c r="S126" s="227" t="s">
        <v>199</v>
      </c>
      <c r="T126" s="13" t="s">
        <v>199</v>
      </c>
      <c r="U126" s="13" t="s">
        <v>392</v>
      </c>
      <c r="V126" s="13" t="s">
        <v>393</v>
      </c>
      <c r="W126" s="13" t="s">
        <v>394</v>
      </c>
      <c r="X126" s="13" t="s">
        <v>395</v>
      </c>
      <c r="Y126" s="261"/>
      <c r="Z126" s="13"/>
    </row>
    <row r="127" spans="1:26" ht="12.75" customHeight="1" x14ac:dyDescent="0.2">
      <c r="A127" s="8" t="s">
        <v>116</v>
      </c>
      <c r="B127" s="8" t="str">
        <f t="shared" si="28"/>
        <v>Lizardman1</v>
      </c>
      <c r="C127" s="197" t="str">
        <f>""</f>
        <v/>
      </c>
      <c r="D127" s="8" t="str">
        <f t="shared" si="1"/>
        <v>Lizardman</v>
      </c>
      <c r="E127" s="197">
        <v>0</v>
      </c>
      <c r="F127" s="197">
        <v>0</v>
      </c>
      <c r="G127" s="197">
        <v>0</v>
      </c>
      <c r="H127" s="197">
        <v>0</v>
      </c>
      <c r="I127" s="197">
        <v>0</v>
      </c>
      <c r="J127" s="8">
        <f>IF(Roster!$K$25="Español",V127,(IF(Roster!$K$25="Deutsch",W127,(IF(Roster!$K$25="Français",X127,U127)))))</f>
        <v>0</v>
      </c>
      <c r="K127" s="216">
        <v>0</v>
      </c>
      <c r="L127" s="7">
        <f t="shared" si="20"/>
        <v>0</v>
      </c>
      <c r="M127" s="216">
        <v>0</v>
      </c>
      <c r="N127" s="216">
        <v>0</v>
      </c>
      <c r="O127" s="216"/>
      <c r="P127" s="216"/>
      <c r="Q127" s="216"/>
      <c r="R127" s="216"/>
      <c r="S127" s="216"/>
      <c r="T127" s="13"/>
      <c r="U127" s="13">
        <v>0</v>
      </c>
      <c r="V127" s="13">
        <v>0</v>
      </c>
      <c r="W127" s="13">
        <v>0</v>
      </c>
      <c r="X127" s="13">
        <v>0</v>
      </c>
      <c r="Y127" s="13">
        <v>0</v>
      </c>
      <c r="Z127" s="13"/>
    </row>
    <row r="128" spans="1:26" ht="12.75" customHeight="1" x14ac:dyDescent="0.2">
      <c r="A128" s="8" t="s">
        <v>116</v>
      </c>
      <c r="B128" s="8" t="str">
        <f t="shared" si="28"/>
        <v>Lizardman2</v>
      </c>
      <c r="C128" s="197" t="s">
        <v>557</v>
      </c>
      <c r="D128" s="8" t="str">
        <f t="shared" si="1"/>
        <v>LizardmanSkink</v>
      </c>
      <c r="E128" s="197">
        <v>8</v>
      </c>
      <c r="F128" s="197">
        <v>2</v>
      </c>
      <c r="G128" s="197">
        <v>3</v>
      </c>
      <c r="H128" s="197">
        <v>4</v>
      </c>
      <c r="I128" s="197">
        <v>8</v>
      </c>
      <c r="J128" s="8" t="str">
        <f>IF(Roster!$K$25="Español",V128,(IF(Roster!$K$25="Deutsch",W128,(IF(Roster!$K$25="Français",X128,U128)))))</f>
        <v>Dodge, Stunty</v>
      </c>
      <c r="K128" s="216">
        <v>60000</v>
      </c>
      <c r="L128" s="7">
        <f t="shared" si="20"/>
        <v>60</v>
      </c>
      <c r="M128" s="216">
        <v>16</v>
      </c>
      <c r="N128" s="216">
        <v>0</v>
      </c>
      <c r="O128" s="216" t="s">
        <v>198</v>
      </c>
      <c r="P128" s="216" t="s">
        <v>199</v>
      </c>
      <c r="Q128" s="216" t="s">
        <v>198</v>
      </c>
      <c r="R128" s="216" t="s">
        <v>198</v>
      </c>
      <c r="S128" s="216">
        <v>0</v>
      </c>
      <c r="T128" s="13" t="str">
        <f t="shared" ref="T128:T132" si="32">IF(AND(R128&lt;&gt;0,S128&lt;&gt;0),"FULL",(IF(AND(R128=0,S128=0),"PM",IF(R128=0,"P",(IF(S128=0,"M"))))))</f>
        <v>M</v>
      </c>
      <c r="U128" s="13" t="s">
        <v>558</v>
      </c>
      <c r="V128" s="13" t="s">
        <v>559</v>
      </c>
      <c r="W128" s="13" t="s">
        <v>560</v>
      </c>
      <c r="X128" s="13" t="s">
        <v>561</v>
      </c>
      <c r="Y128" s="13"/>
      <c r="Z128" s="13"/>
    </row>
    <row r="129" spans="1:26" ht="12.75" customHeight="1" x14ac:dyDescent="0.2">
      <c r="A129" s="8" t="s">
        <v>116</v>
      </c>
      <c r="B129" s="8" t="str">
        <f t="shared" si="28"/>
        <v>Lizardman3</v>
      </c>
      <c r="C129" s="197" t="s">
        <v>562</v>
      </c>
      <c r="D129" s="8" t="str">
        <f t="shared" si="1"/>
        <v>LizardmanChameleon Skink</v>
      </c>
      <c r="E129" s="197">
        <v>7</v>
      </c>
      <c r="F129" s="197">
        <v>2</v>
      </c>
      <c r="G129" s="197">
        <v>3</v>
      </c>
      <c r="H129" s="197">
        <v>3</v>
      </c>
      <c r="I129" s="197">
        <v>8</v>
      </c>
      <c r="J129" s="8" t="str">
        <f>IF(Roster!$K$25="Español",V129,(IF(Roster!$K$25="Deutsch",W129,(IF(Roster!$K$25="Français",X129,U129)))))</f>
        <v>Dodge, On the Ball, Shadowing, Stunty</v>
      </c>
      <c r="K129" s="216">
        <v>70000</v>
      </c>
      <c r="L129" s="7">
        <f t="shared" si="20"/>
        <v>70</v>
      </c>
      <c r="M129" s="197">
        <v>2</v>
      </c>
      <c r="N129" s="197">
        <v>0</v>
      </c>
      <c r="O129" s="216" t="s">
        <v>198</v>
      </c>
      <c r="P129" s="216" t="s">
        <v>199</v>
      </c>
      <c r="Q129" s="216" t="s">
        <v>198</v>
      </c>
      <c r="R129" s="216" t="s">
        <v>198</v>
      </c>
      <c r="S129" s="216">
        <v>0</v>
      </c>
      <c r="T129" s="13" t="str">
        <f t="shared" si="32"/>
        <v>M</v>
      </c>
      <c r="U129" s="13" t="s">
        <v>563</v>
      </c>
      <c r="V129" s="13" t="s">
        <v>564</v>
      </c>
      <c r="W129" s="13" t="s">
        <v>565</v>
      </c>
      <c r="X129" s="13" t="s">
        <v>566</v>
      </c>
      <c r="Y129" s="13"/>
      <c r="Z129" s="13"/>
    </row>
    <row r="130" spans="1:26" ht="12.75" customHeight="1" x14ac:dyDescent="0.2">
      <c r="A130" s="8" t="s">
        <v>116</v>
      </c>
      <c r="B130" s="8" t="str">
        <f t="shared" si="28"/>
        <v>Lizardman4</v>
      </c>
      <c r="C130" s="197" t="s">
        <v>567</v>
      </c>
      <c r="D130" s="8" t="str">
        <f t="shared" si="1"/>
        <v>LizardmanSaurus</v>
      </c>
      <c r="E130" s="197">
        <v>6</v>
      </c>
      <c r="F130" s="197">
        <v>4</v>
      </c>
      <c r="G130" s="197">
        <v>5</v>
      </c>
      <c r="H130" s="197">
        <v>6</v>
      </c>
      <c r="I130" s="197">
        <v>10</v>
      </c>
      <c r="J130" s="8" t="str">
        <f>IF(Roster!$K$25="Español",V130,(IF(Roster!$K$25="Deutsch",W130,(IF(Roster!$K$25="Français",X130,U130)))))</f>
        <v/>
      </c>
      <c r="K130" s="216">
        <v>85000</v>
      </c>
      <c r="L130" s="7">
        <f t="shared" si="20"/>
        <v>85</v>
      </c>
      <c r="M130" s="197">
        <v>6</v>
      </c>
      <c r="N130" s="197">
        <v>0</v>
      </c>
      <c r="O130" s="216" t="s">
        <v>199</v>
      </c>
      <c r="P130" s="216" t="s">
        <v>198</v>
      </c>
      <c r="Q130" s="216" t="s">
        <v>199</v>
      </c>
      <c r="R130" s="216">
        <v>0</v>
      </c>
      <c r="S130" s="216">
        <v>0</v>
      </c>
      <c r="T130" s="13" t="str">
        <f t="shared" si="32"/>
        <v>PM</v>
      </c>
      <c r="U130" s="13" t="str">
        <f t="shared" ref="U130:Y130" si="33">""</f>
        <v/>
      </c>
      <c r="V130" s="13" t="str">
        <f t="shared" si="33"/>
        <v/>
      </c>
      <c r="W130" s="13" t="str">
        <f t="shared" si="33"/>
        <v/>
      </c>
      <c r="X130" s="13" t="str">
        <f t="shared" si="33"/>
        <v/>
      </c>
      <c r="Y130" s="13" t="str">
        <f t="shared" si="33"/>
        <v/>
      </c>
      <c r="Z130" s="13"/>
    </row>
    <row r="131" spans="1:26" ht="12.75" customHeight="1" x14ac:dyDescent="0.2">
      <c r="A131" s="8" t="s">
        <v>116</v>
      </c>
      <c r="B131" s="8" t="str">
        <f t="shared" si="28"/>
        <v>Lizardman5</v>
      </c>
      <c r="C131" s="197" t="s">
        <v>568</v>
      </c>
      <c r="D131" s="8" t="str">
        <f t="shared" si="1"/>
        <v>LizardmanKroxigor</v>
      </c>
      <c r="E131" s="197">
        <v>6</v>
      </c>
      <c r="F131" s="197">
        <v>5</v>
      </c>
      <c r="G131" s="197">
        <v>5</v>
      </c>
      <c r="H131" s="197">
        <v>0</v>
      </c>
      <c r="I131" s="197">
        <v>10</v>
      </c>
      <c r="J131" s="8" t="str">
        <f>IF(Roster!$K$25="Español",V131,(IF(Roster!$K$25="Deutsch",W131,(IF(Roster!$K$25="Français",X131,U131)))))</f>
        <v>Bone Head, Loner (4+), Mighty Blow (+1), Prehensile Tail, Thick Skull</v>
      </c>
      <c r="K131" s="216">
        <v>140000</v>
      </c>
      <c r="L131" s="7">
        <f t="shared" si="20"/>
        <v>140</v>
      </c>
      <c r="M131" s="197">
        <v>1</v>
      </c>
      <c r="N131" s="197">
        <v>1</v>
      </c>
      <c r="O131" s="216" t="s">
        <v>198</v>
      </c>
      <c r="P131" s="216" t="s">
        <v>198</v>
      </c>
      <c r="Q131" s="216" t="s">
        <v>199</v>
      </c>
      <c r="R131" s="226">
        <v>0</v>
      </c>
      <c r="S131" s="216">
        <v>0</v>
      </c>
      <c r="T131" s="13" t="str">
        <f t="shared" si="32"/>
        <v>PM</v>
      </c>
      <c r="U131" s="13" t="s">
        <v>569</v>
      </c>
      <c r="V131" s="13" t="s">
        <v>570</v>
      </c>
      <c r="W131" s="13" t="s">
        <v>571</v>
      </c>
      <c r="X131" s="13" t="s">
        <v>572</v>
      </c>
      <c r="Y131" s="13"/>
      <c r="Z131" s="13"/>
    </row>
    <row r="132" spans="1:26" ht="12.75" customHeight="1" x14ac:dyDescent="0.2">
      <c r="A132" s="8" t="s">
        <v>116</v>
      </c>
      <c r="B132" s="8" t="str">
        <f t="shared" si="28"/>
        <v>Lizardman6</v>
      </c>
      <c r="C132" s="197" t="s">
        <v>573</v>
      </c>
      <c r="D132" s="8" t="str">
        <f t="shared" si="1"/>
        <v>LizardmanJourney Skink</v>
      </c>
      <c r="E132" s="197">
        <v>8</v>
      </c>
      <c r="F132" s="197">
        <v>2</v>
      </c>
      <c r="G132" s="197">
        <v>3</v>
      </c>
      <c r="H132" s="197">
        <v>4</v>
      </c>
      <c r="I132" s="197">
        <v>8</v>
      </c>
      <c r="J132" s="8" t="str">
        <f>IF(Roster!$K$25="Español",V132,(IF(Roster!$K$25="Deutsch",W132,(IF(Roster!$K$25="Français",X132,U132)))))</f>
        <v>Loner (4+), Dodge, Stunty</v>
      </c>
      <c r="K132" s="216">
        <v>0</v>
      </c>
      <c r="L132" s="7">
        <v>60</v>
      </c>
      <c r="M132" s="197">
        <v>11</v>
      </c>
      <c r="N132" s="197">
        <v>0</v>
      </c>
      <c r="O132" s="216" t="s">
        <v>198</v>
      </c>
      <c r="P132" s="216" t="s">
        <v>199</v>
      </c>
      <c r="Q132" s="216" t="s">
        <v>198</v>
      </c>
      <c r="R132" s="216" t="s">
        <v>198</v>
      </c>
      <c r="S132" s="216">
        <v>0</v>
      </c>
      <c r="T132" s="13" t="str">
        <f t="shared" si="32"/>
        <v>M</v>
      </c>
      <c r="U132" s="13" t="s">
        <v>574</v>
      </c>
      <c r="V132" s="13" t="s">
        <v>575</v>
      </c>
      <c r="W132" s="13" t="s">
        <v>576</v>
      </c>
      <c r="X132" s="13" t="s">
        <v>577</v>
      </c>
      <c r="Y132" s="13"/>
      <c r="Z132" s="13"/>
    </row>
    <row r="133" spans="1:26" ht="12.75" customHeight="1" x14ac:dyDescent="0.2">
      <c r="A133" s="8" t="s">
        <v>120</v>
      </c>
      <c r="B133" s="8" t="str">
        <f t="shared" si="28"/>
        <v>Necromantic1</v>
      </c>
      <c r="C133" s="197" t="str">
        <f>""</f>
        <v/>
      </c>
      <c r="D133" s="8" t="str">
        <f t="shared" si="1"/>
        <v>Necromantic</v>
      </c>
      <c r="E133" s="197">
        <v>0</v>
      </c>
      <c r="F133" s="197">
        <v>0</v>
      </c>
      <c r="G133" s="197">
        <v>0</v>
      </c>
      <c r="H133" s="197">
        <v>0</v>
      </c>
      <c r="I133" s="197">
        <v>0</v>
      </c>
      <c r="J133" s="8">
        <f>IF(Roster!$K$25="Español",V133,(IF(Roster!$K$25="Deutsch",W133,(IF(Roster!$K$25="Français",X133,U133)))))</f>
        <v>0</v>
      </c>
      <c r="K133" s="216">
        <v>0</v>
      </c>
      <c r="L133" s="7">
        <f t="shared" si="20"/>
        <v>0</v>
      </c>
      <c r="M133" s="216">
        <v>0</v>
      </c>
      <c r="N133" s="216">
        <v>0</v>
      </c>
      <c r="O133" s="216"/>
      <c r="P133" s="216"/>
      <c r="Q133" s="216"/>
      <c r="R133" s="216"/>
      <c r="S133" s="216"/>
      <c r="T133" s="13"/>
      <c r="U133" s="13">
        <v>0</v>
      </c>
      <c r="V133" s="13">
        <v>0</v>
      </c>
      <c r="W133" s="13">
        <v>0</v>
      </c>
      <c r="X133" s="13">
        <v>0</v>
      </c>
      <c r="Y133" s="13">
        <v>0</v>
      </c>
      <c r="Z133" s="13"/>
    </row>
    <row r="134" spans="1:26" ht="12.75" customHeight="1" x14ac:dyDescent="0.2">
      <c r="A134" s="8" t="s">
        <v>120</v>
      </c>
      <c r="B134" s="8" t="str">
        <f t="shared" si="28"/>
        <v>Necromantic2</v>
      </c>
      <c r="C134" s="197" t="s">
        <v>578</v>
      </c>
      <c r="D134" s="8" t="str">
        <f t="shared" si="1"/>
        <v>NecromanticZombie</v>
      </c>
      <c r="E134" s="197">
        <v>4</v>
      </c>
      <c r="F134" s="197">
        <v>3</v>
      </c>
      <c r="G134" s="197">
        <v>4</v>
      </c>
      <c r="H134" s="197">
        <v>0</v>
      </c>
      <c r="I134" s="197">
        <v>9</v>
      </c>
      <c r="J134" s="8" t="str">
        <f>IF(Roster!$K$25="Español",V134,(IF(Roster!$K$25="Deutsch",W134,(IF(Roster!$K$25="Français",X134,U134)))))</f>
        <v>Regeneration</v>
      </c>
      <c r="K134" s="216">
        <v>40000</v>
      </c>
      <c r="L134" s="7">
        <f t="shared" si="20"/>
        <v>40</v>
      </c>
      <c r="M134" s="216">
        <v>16</v>
      </c>
      <c r="N134" s="216">
        <v>0</v>
      </c>
      <c r="O134" s="216" t="s">
        <v>199</v>
      </c>
      <c r="P134" s="216" t="s">
        <v>198</v>
      </c>
      <c r="Q134" s="216" t="s">
        <v>198</v>
      </c>
      <c r="R134" s="226">
        <v>0</v>
      </c>
      <c r="S134" s="216">
        <v>0</v>
      </c>
      <c r="T134" s="13" t="str">
        <f t="shared" ref="T134:T139" si="34">IF(AND(R134&lt;&gt;0,S134&lt;&gt;0),"FULL",(IF(AND(R134=0,S134=0),"PM",IF(R134=0,"P",(IF(S134=0,"M"))))))</f>
        <v>PM</v>
      </c>
      <c r="U134" s="13" t="s">
        <v>579</v>
      </c>
      <c r="V134" s="13" t="s">
        <v>580</v>
      </c>
      <c r="W134" s="13" t="s">
        <v>579</v>
      </c>
      <c r="X134" s="13" t="s">
        <v>581</v>
      </c>
      <c r="Y134" s="13"/>
      <c r="Z134" s="13"/>
    </row>
    <row r="135" spans="1:26" ht="12.75" customHeight="1" x14ac:dyDescent="0.2">
      <c r="A135" s="8" t="s">
        <v>120</v>
      </c>
      <c r="B135" s="8" t="str">
        <f t="shared" si="28"/>
        <v>Necromantic3</v>
      </c>
      <c r="C135" s="197" t="s">
        <v>582</v>
      </c>
      <c r="D135" s="8" t="str">
        <f t="shared" si="1"/>
        <v>NecromanticGhoul</v>
      </c>
      <c r="E135" s="197">
        <v>7</v>
      </c>
      <c r="F135" s="197">
        <v>3</v>
      </c>
      <c r="G135" s="197">
        <v>3</v>
      </c>
      <c r="H135" s="197">
        <v>4</v>
      </c>
      <c r="I135" s="197">
        <v>8</v>
      </c>
      <c r="J135" s="8" t="str">
        <f>IF(Roster!$K$25="Español",V135,(IF(Roster!$K$25="Deutsch",W135,(IF(Roster!$K$25="Français",X135,U135)))))</f>
        <v>Dodge</v>
      </c>
      <c r="K135" s="216">
        <v>75000</v>
      </c>
      <c r="L135" s="7">
        <f t="shared" si="20"/>
        <v>75</v>
      </c>
      <c r="M135" s="216">
        <v>2</v>
      </c>
      <c r="N135" s="216">
        <v>0</v>
      </c>
      <c r="O135" s="216" t="s">
        <v>199</v>
      </c>
      <c r="P135" s="216" t="s">
        <v>199</v>
      </c>
      <c r="Q135" s="216" t="s">
        <v>198</v>
      </c>
      <c r="R135" s="216" t="s">
        <v>198</v>
      </c>
      <c r="S135" s="216">
        <v>0</v>
      </c>
      <c r="T135" s="13" t="str">
        <f t="shared" si="34"/>
        <v>M</v>
      </c>
      <c r="U135" s="13" t="s">
        <v>272</v>
      </c>
      <c r="V135" s="13" t="s">
        <v>273</v>
      </c>
      <c r="W135" s="13" t="s">
        <v>274</v>
      </c>
      <c r="X135" s="13" t="s">
        <v>275</v>
      </c>
      <c r="Y135" s="13"/>
      <c r="Z135" s="13"/>
    </row>
    <row r="136" spans="1:26" ht="12.75" customHeight="1" x14ac:dyDescent="0.2">
      <c r="A136" s="8" t="s">
        <v>120</v>
      </c>
      <c r="B136" s="8" t="str">
        <f t="shared" si="28"/>
        <v>Necromantic4</v>
      </c>
      <c r="C136" s="197" t="s">
        <v>583</v>
      </c>
      <c r="D136" s="8" t="str">
        <f t="shared" si="1"/>
        <v>NecromanticWraiths</v>
      </c>
      <c r="E136" s="197">
        <v>6</v>
      </c>
      <c r="F136" s="197">
        <v>3</v>
      </c>
      <c r="G136" s="197">
        <v>3</v>
      </c>
      <c r="H136" s="197">
        <v>0</v>
      </c>
      <c r="I136" s="197">
        <v>9</v>
      </c>
      <c r="J136" s="8" t="str">
        <f>IF(Roster!$K$25="Español",V136,(IF(Roster!$K$25="Deutsch",W136,(IF(Roster!$K$25="Français",X136,U136)))))</f>
        <v>Block, Foul Appearance, No Hands, Regeneration, Side Step</v>
      </c>
      <c r="K136" s="216">
        <v>95000</v>
      </c>
      <c r="L136" s="7">
        <f t="shared" si="20"/>
        <v>95</v>
      </c>
      <c r="M136" s="216">
        <v>2</v>
      </c>
      <c r="N136" s="216">
        <v>0</v>
      </c>
      <c r="O136" s="216" t="s">
        <v>199</v>
      </c>
      <c r="P136" s="216" t="s">
        <v>198</v>
      </c>
      <c r="Q136" s="216" t="s">
        <v>199</v>
      </c>
      <c r="R136" s="226">
        <v>0</v>
      </c>
      <c r="S136" s="216">
        <v>0</v>
      </c>
      <c r="T136" s="13" t="str">
        <f t="shared" si="34"/>
        <v>PM</v>
      </c>
      <c r="U136" s="13" t="s">
        <v>584</v>
      </c>
      <c r="V136" s="13" t="s">
        <v>585</v>
      </c>
      <c r="W136" s="13" t="s">
        <v>586</v>
      </c>
      <c r="X136" s="13" t="s">
        <v>587</v>
      </c>
      <c r="Y136" s="13"/>
      <c r="Z136" s="13"/>
    </row>
    <row r="137" spans="1:26" ht="12.75" customHeight="1" x14ac:dyDescent="0.2">
      <c r="A137" s="8" t="s">
        <v>120</v>
      </c>
      <c r="B137" s="8" t="str">
        <f t="shared" si="28"/>
        <v>Necromantic5</v>
      </c>
      <c r="C137" s="197" t="s">
        <v>588</v>
      </c>
      <c r="D137" s="8" t="str">
        <f t="shared" si="1"/>
        <v>NecromanticFlesh Golem</v>
      </c>
      <c r="E137" s="197">
        <v>4</v>
      </c>
      <c r="F137" s="197">
        <v>4</v>
      </c>
      <c r="G137" s="197">
        <v>4</v>
      </c>
      <c r="H137" s="197">
        <v>0</v>
      </c>
      <c r="I137" s="197">
        <v>10</v>
      </c>
      <c r="J137" s="8" t="str">
        <f>IF(Roster!$K$25="Español",V137,(IF(Roster!$K$25="Deutsch",W137,(IF(Roster!$K$25="Français",X137,U137)))))</f>
        <v>Regeneration, Stand Firm, Thick Skull</v>
      </c>
      <c r="K137" s="216">
        <v>115000</v>
      </c>
      <c r="L137" s="7">
        <f t="shared" si="20"/>
        <v>115</v>
      </c>
      <c r="M137" s="216">
        <v>2</v>
      </c>
      <c r="N137" s="216">
        <v>0</v>
      </c>
      <c r="O137" s="216" t="s">
        <v>199</v>
      </c>
      <c r="P137" s="216" t="s">
        <v>198</v>
      </c>
      <c r="Q137" s="216" t="s">
        <v>199</v>
      </c>
      <c r="R137" s="226">
        <v>0</v>
      </c>
      <c r="S137" s="216">
        <v>0</v>
      </c>
      <c r="T137" s="13" t="str">
        <f t="shared" si="34"/>
        <v>PM</v>
      </c>
      <c r="U137" s="13" t="s">
        <v>589</v>
      </c>
      <c r="V137" s="13" t="s">
        <v>590</v>
      </c>
      <c r="W137" s="13" t="s">
        <v>591</v>
      </c>
      <c r="X137" s="13" t="s">
        <v>592</v>
      </c>
      <c r="Y137" s="13"/>
      <c r="Z137" s="13"/>
    </row>
    <row r="138" spans="1:26" ht="12.75" customHeight="1" x14ac:dyDescent="0.2">
      <c r="A138" s="8" t="s">
        <v>120</v>
      </c>
      <c r="B138" s="8" t="str">
        <f t="shared" si="28"/>
        <v>Necromantic6</v>
      </c>
      <c r="C138" s="197" t="s">
        <v>593</v>
      </c>
      <c r="D138" s="8" t="str">
        <f t="shared" si="1"/>
        <v>NecromanticWerewolf</v>
      </c>
      <c r="E138" s="197">
        <v>8</v>
      </c>
      <c r="F138" s="197">
        <v>3</v>
      </c>
      <c r="G138" s="197">
        <v>3</v>
      </c>
      <c r="H138" s="197">
        <v>4</v>
      </c>
      <c r="I138" s="197">
        <v>9</v>
      </c>
      <c r="J138" s="8" t="str">
        <f>IF(Roster!$K$25="Español",V138,(IF(Roster!$K$25="Deutsch",W138,(IF(Roster!$K$25="Français",X138,U138)))))</f>
        <v>Claws, Frenzy, Regeneration</v>
      </c>
      <c r="K138" s="216">
        <v>125000</v>
      </c>
      <c r="L138" s="7">
        <f t="shared" si="20"/>
        <v>125</v>
      </c>
      <c r="M138" s="197">
        <v>2</v>
      </c>
      <c r="N138" s="197">
        <v>0</v>
      </c>
      <c r="O138" s="216" t="s">
        <v>199</v>
      </c>
      <c r="P138" s="216" t="s">
        <v>199</v>
      </c>
      <c r="Q138" s="216" t="s">
        <v>198</v>
      </c>
      <c r="R138" s="216" t="s">
        <v>198</v>
      </c>
      <c r="S138" s="216">
        <v>0</v>
      </c>
      <c r="T138" s="13" t="str">
        <f t="shared" si="34"/>
        <v>M</v>
      </c>
      <c r="U138" s="13" t="s">
        <v>594</v>
      </c>
      <c r="V138" s="197" t="s">
        <v>595</v>
      </c>
      <c r="W138" s="13" t="s">
        <v>596</v>
      </c>
      <c r="X138" s="13" t="s">
        <v>597</v>
      </c>
      <c r="Y138" s="13"/>
      <c r="Z138" s="13"/>
    </row>
    <row r="139" spans="1:26" ht="12.75" customHeight="1" x14ac:dyDescent="0.2">
      <c r="A139" s="8" t="s">
        <v>120</v>
      </c>
      <c r="B139" s="8" t="str">
        <f t="shared" si="28"/>
        <v>Necromantic7</v>
      </c>
      <c r="C139" s="197" t="s">
        <v>598</v>
      </c>
      <c r="D139" s="8" t="str">
        <f t="shared" si="1"/>
        <v>NecromanticJourney Zombie</v>
      </c>
      <c r="E139" s="197">
        <v>4</v>
      </c>
      <c r="F139" s="197">
        <v>3</v>
      </c>
      <c r="G139" s="197">
        <v>4</v>
      </c>
      <c r="H139" s="197">
        <v>0</v>
      </c>
      <c r="I139" s="197">
        <v>9</v>
      </c>
      <c r="J139" s="8" t="str">
        <f>IF(Roster!$K$25="Español",V139,(IF(Roster!$K$25="Deutsch",W139,(IF(Roster!$K$25="Français",X139,U139)))))</f>
        <v>Loner (4+), Regeneration</v>
      </c>
      <c r="K139" s="216">
        <v>0</v>
      </c>
      <c r="L139" s="7">
        <v>40</v>
      </c>
      <c r="M139" s="197">
        <v>11</v>
      </c>
      <c r="N139" s="197">
        <v>0</v>
      </c>
      <c r="O139" s="216" t="s">
        <v>199</v>
      </c>
      <c r="P139" s="216" t="s">
        <v>198</v>
      </c>
      <c r="Q139" s="216" t="s">
        <v>198</v>
      </c>
      <c r="R139" s="226">
        <v>0</v>
      </c>
      <c r="S139" s="216">
        <v>0</v>
      </c>
      <c r="T139" s="13" t="str">
        <f t="shared" si="34"/>
        <v>PM</v>
      </c>
      <c r="U139" s="13" t="s">
        <v>599</v>
      </c>
      <c r="V139" s="197" t="s">
        <v>600</v>
      </c>
      <c r="W139" s="13" t="s">
        <v>601</v>
      </c>
      <c r="X139" s="13" t="s">
        <v>602</v>
      </c>
      <c r="Y139" s="13"/>
      <c r="Z139" s="13"/>
    </row>
    <row r="140" spans="1:26" ht="12.75" customHeight="1" x14ac:dyDescent="0.2">
      <c r="A140" s="8" t="s">
        <v>128</v>
      </c>
      <c r="B140" s="8" t="str">
        <f t="shared" si="28"/>
        <v>Norse1</v>
      </c>
      <c r="C140" s="197" t="str">
        <f>""</f>
        <v/>
      </c>
      <c r="D140" s="8" t="str">
        <f t="shared" si="1"/>
        <v>Norse</v>
      </c>
      <c r="E140" s="197">
        <v>0</v>
      </c>
      <c r="F140" s="197">
        <v>0</v>
      </c>
      <c r="G140" s="197">
        <v>0</v>
      </c>
      <c r="H140" s="197">
        <v>0</v>
      </c>
      <c r="I140" s="197">
        <v>0</v>
      </c>
      <c r="J140" s="8">
        <f>IF(Roster!$K$25="Español",V140,(IF(Roster!$K$25="Deutsch",W140,(IF(Roster!$K$25="Français",X140,U140)))))</f>
        <v>0</v>
      </c>
      <c r="K140" s="216">
        <v>0</v>
      </c>
      <c r="L140" s="7">
        <f t="shared" si="20"/>
        <v>0</v>
      </c>
      <c r="M140" s="216">
        <v>0</v>
      </c>
      <c r="N140" s="216">
        <v>0</v>
      </c>
      <c r="O140" s="216"/>
      <c r="P140" s="216"/>
      <c r="Q140" s="216"/>
      <c r="R140" s="216"/>
      <c r="S140" s="216"/>
      <c r="T140" s="13"/>
      <c r="U140" s="13">
        <v>0</v>
      </c>
      <c r="V140" s="13">
        <v>0</v>
      </c>
      <c r="W140" s="13">
        <v>0</v>
      </c>
      <c r="X140" s="13">
        <v>0</v>
      </c>
      <c r="Y140" s="13">
        <v>0</v>
      </c>
      <c r="Z140" s="13"/>
    </row>
    <row r="141" spans="1:26" ht="12.75" customHeight="1" x14ac:dyDescent="0.2">
      <c r="A141" s="8" t="s">
        <v>128</v>
      </c>
      <c r="B141" s="8" t="str">
        <f t="shared" si="28"/>
        <v>Norse2</v>
      </c>
      <c r="C141" s="197" t="s">
        <v>396</v>
      </c>
      <c r="D141" s="8" t="str">
        <f t="shared" si="1"/>
        <v>NorseLineman</v>
      </c>
      <c r="E141" s="197">
        <v>6</v>
      </c>
      <c r="F141" s="197">
        <v>3</v>
      </c>
      <c r="G141" s="197">
        <v>3</v>
      </c>
      <c r="H141" s="197">
        <v>4</v>
      </c>
      <c r="I141" s="197">
        <v>8</v>
      </c>
      <c r="J141" s="8" t="str">
        <f>IF(Roster!$K$25="Español",V141,(IF(Roster!$K$25="Deutsch",W141,(IF(Roster!$K$25="Français",X141,U141)))))</f>
        <v>Block</v>
      </c>
      <c r="K141" s="216">
        <v>50000</v>
      </c>
      <c r="L141" s="7">
        <f t="shared" si="20"/>
        <v>50</v>
      </c>
      <c r="M141" s="197">
        <v>16</v>
      </c>
      <c r="N141" s="197">
        <v>0</v>
      </c>
      <c r="O141" s="216" t="s">
        <v>199</v>
      </c>
      <c r="P141" s="216" t="s">
        <v>198</v>
      </c>
      <c r="Q141" s="216" t="s">
        <v>198</v>
      </c>
      <c r="R141" s="216">
        <v>0</v>
      </c>
      <c r="S141" s="216">
        <v>0</v>
      </c>
      <c r="T141" s="13" t="s">
        <v>226</v>
      </c>
      <c r="U141" s="13" t="s">
        <v>407</v>
      </c>
      <c r="V141" s="197" t="s">
        <v>408</v>
      </c>
      <c r="W141" s="13" t="s">
        <v>407</v>
      </c>
      <c r="X141" s="13" t="s">
        <v>409</v>
      </c>
      <c r="Y141" s="13"/>
      <c r="Z141" s="13"/>
    </row>
    <row r="142" spans="1:26" ht="12.75" customHeight="1" x14ac:dyDescent="0.2">
      <c r="A142" s="8" t="s">
        <v>128</v>
      </c>
      <c r="B142" s="8" t="str">
        <f t="shared" si="28"/>
        <v>Norse3</v>
      </c>
      <c r="C142" s="197" t="s">
        <v>276</v>
      </c>
      <c r="D142" s="8" t="str">
        <f t="shared" si="1"/>
        <v>NorseThrower</v>
      </c>
      <c r="E142" s="197">
        <v>6</v>
      </c>
      <c r="F142" s="197">
        <v>3</v>
      </c>
      <c r="G142" s="197">
        <v>3</v>
      </c>
      <c r="H142" s="197">
        <v>3</v>
      </c>
      <c r="I142" s="197">
        <v>8</v>
      </c>
      <c r="J142" s="8" t="str">
        <f>IF(Roster!$K$25="Español",V142,(IF(Roster!$K$25="Deutsch",W142,(IF(Roster!$K$25="Français",X142,U142)))))</f>
        <v>Block, Pass</v>
      </c>
      <c r="K142" s="216">
        <v>70000</v>
      </c>
      <c r="L142" s="7">
        <f t="shared" si="20"/>
        <v>70</v>
      </c>
      <c r="M142" s="197">
        <v>2</v>
      </c>
      <c r="N142" s="197">
        <v>0</v>
      </c>
      <c r="O142" s="216" t="s">
        <v>199</v>
      </c>
      <c r="P142" s="216" t="s">
        <v>198</v>
      </c>
      <c r="Q142" s="216" t="s">
        <v>198</v>
      </c>
      <c r="R142" s="216" t="s">
        <v>199</v>
      </c>
      <c r="S142" s="216">
        <v>0</v>
      </c>
      <c r="T142" s="13" t="s">
        <v>200</v>
      </c>
      <c r="U142" s="13" t="s">
        <v>603</v>
      </c>
      <c r="V142" s="197" t="s">
        <v>604</v>
      </c>
      <c r="W142" s="13" t="s">
        <v>605</v>
      </c>
      <c r="X142" s="13" t="s">
        <v>606</v>
      </c>
      <c r="Y142" s="13"/>
      <c r="Z142" s="13"/>
    </row>
    <row r="143" spans="1:26" ht="12.75" customHeight="1" x14ac:dyDescent="0.2">
      <c r="A143" s="8" t="s">
        <v>128</v>
      </c>
      <c r="B143" s="8" t="str">
        <f t="shared" si="28"/>
        <v>Norse4</v>
      </c>
      <c r="C143" s="197" t="s">
        <v>281</v>
      </c>
      <c r="D143" s="8" t="str">
        <f t="shared" si="1"/>
        <v>NorseCatcher</v>
      </c>
      <c r="E143" s="197">
        <v>7</v>
      </c>
      <c r="F143" s="197">
        <v>3</v>
      </c>
      <c r="G143" s="197">
        <v>3</v>
      </c>
      <c r="H143" s="197">
        <v>5</v>
      </c>
      <c r="I143" s="197">
        <v>8</v>
      </c>
      <c r="J143" s="8" t="str">
        <f>IF(Roster!$K$25="Español",V143,(IF(Roster!$K$25="Deutsch",W143,(IF(Roster!$K$25="Français",X143,U143)))))</f>
        <v>Block, Dauntless</v>
      </c>
      <c r="K143" s="216">
        <v>90000</v>
      </c>
      <c r="L143" s="7">
        <f t="shared" si="20"/>
        <v>90</v>
      </c>
      <c r="M143" s="197">
        <v>2</v>
      </c>
      <c r="N143" s="197">
        <v>0</v>
      </c>
      <c r="O143" s="216" t="s">
        <v>199</v>
      </c>
      <c r="P143" s="216" t="s">
        <v>199</v>
      </c>
      <c r="Q143" s="216" t="s">
        <v>198</v>
      </c>
      <c r="R143" s="216">
        <v>0</v>
      </c>
      <c r="S143" s="216">
        <v>0</v>
      </c>
      <c r="T143" s="13" t="str">
        <f>IF(AND(R144&lt;&gt;0,S144&lt;&gt;0),"FULL",(IF(AND(R144=0,S144=0),"PM",IF(R144=0,"P",(IF(S144=0,"M"))))))</f>
        <v>PM</v>
      </c>
      <c r="U143" s="13" t="s">
        <v>607</v>
      </c>
      <c r="V143" s="197" t="s">
        <v>608</v>
      </c>
      <c r="W143" s="13" t="s">
        <v>609</v>
      </c>
      <c r="X143" s="13" t="s">
        <v>610</v>
      </c>
      <c r="Y143" s="13"/>
      <c r="Z143" s="13"/>
    </row>
    <row r="144" spans="1:26" ht="12.75" customHeight="1" x14ac:dyDescent="0.2">
      <c r="A144" s="8" t="s">
        <v>128</v>
      </c>
      <c r="B144" s="8" t="str">
        <f t="shared" si="28"/>
        <v>Norse5</v>
      </c>
      <c r="C144" s="197" t="s">
        <v>611</v>
      </c>
      <c r="D144" s="8" t="str">
        <f t="shared" si="1"/>
        <v>NorseBerserker</v>
      </c>
      <c r="E144" s="197">
        <v>6</v>
      </c>
      <c r="F144" s="197">
        <v>3</v>
      </c>
      <c r="G144" s="197">
        <v>3</v>
      </c>
      <c r="H144" s="197">
        <v>5</v>
      </c>
      <c r="I144" s="197">
        <v>8</v>
      </c>
      <c r="J144" s="8" t="str">
        <f>IF(Roster!$K$25="Español",V144,(IF(Roster!$K$25="Deutsch",W144,(IF(Roster!$K$25="Français",X144,U144)))))</f>
        <v>Block, Frenzy, Jump Up</v>
      </c>
      <c r="K144" s="216">
        <v>90000</v>
      </c>
      <c r="L144" s="7">
        <f t="shared" si="20"/>
        <v>90</v>
      </c>
      <c r="M144" s="197">
        <v>2</v>
      </c>
      <c r="N144" s="197">
        <v>0</v>
      </c>
      <c r="O144" s="216" t="s">
        <v>199</v>
      </c>
      <c r="P144" s="216" t="s">
        <v>198</v>
      </c>
      <c r="Q144" s="216" t="s">
        <v>199</v>
      </c>
      <c r="R144" s="216">
        <v>0</v>
      </c>
      <c r="S144" s="216">
        <v>0</v>
      </c>
      <c r="T144" s="13" t="str">
        <f>IF(AND(R145&lt;&gt;0,S145&lt;&gt;0),"FULL",(IF(AND(R145=0,S145=0),"PM",IF(R145=0,"P",(IF(S145=0,"M"))))))</f>
        <v>PM</v>
      </c>
      <c r="U144" s="13" t="s">
        <v>612</v>
      </c>
      <c r="V144" s="13" t="s">
        <v>613</v>
      </c>
      <c r="W144" s="13" t="s">
        <v>614</v>
      </c>
      <c r="X144" s="13" t="s">
        <v>615</v>
      </c>
      <c r="Y144" s="13"/>
      <c r="Z144" s="13"/>
    </row>
    <row r="145" spans="1:26" ht="12.75" customHeight="1" x14ac:dyDescent="0.2">
      <c r="A145" s="8" t="s">
        <v>128</v>
      </c>
      <c r="B145" s="8" t="str">
        <f t="shared" si="28"/>
        <v>Norse6</v>
      </c>
      <c r="C145" s="197" t="s">
        <v>616</v>
      </c>
      <c r="D145" s="8" t="str">
        <f t="shared" si="1"/>
        <v>NorseUlfwerener</v>
      </c>
      <c r="E145" s="197">
        <v>6</v>
      </c>
      <c r="F145" s="197">
        <v>4</v>
      </c>
      <c r="G145" s="197">
        <v>4</v>
      </c>
      <c r="H145" s="197">
        <v>0</v>
      </c>
      <c r="I145" s="197">
        <v>9</v>
      </c>
      <c r="J145" s="8" t="str">
        <f>IF(Roster!$K$25="Español",V145,(IF(Roster!$K$25="Deutsch",W145,(IF(Roster!$K$25="Français",X145,U145)))))</f>
        <v>Frenzy</v>
      </c>
      <c r="K145" s="216">
        <v>105000</v>
      </c>
      <c r="L145" s="7">
        <f t="shared" si="20"/>
        <v>105</v>
      </c>
      <c r="M145" s="197">
        <v>2</v>
      </c>
      <c r="N145" s="197">
        <v>0</v>
      </c>
      <c r="O145" s="216" t="s">
        <v>199</v>
      </c>
      <c r="P145" s="216" t="s">
        <v>198</v>
      </c>
      <c r="Q145" s="216" t="s">
        <v>199</v>
      </c>
      <c r="R145" s="226">
        <v>0</v>
      </c>
      <c r="S145" s="216">
        <v>0</v>
      </c>
      <c r="T145" s="13" t="str">
        <f>IF(AND(R146&lt;&gt;0,S146&lt;&gt;0),"FULL",(IF(AND(R146=0,S146=0),"PM",IF(R146=0,"P",(IF(S146=0,"M"))))))</f>
        <v>PM</v>
      </c>
      <c r="U145" s="13" t="s">
        <v>388</v>
      </c>
      <c r="V145" s="13" t="s">
        <v>389</v>
      </c>
      <c r="W145" s="13" t="s">
        <v>390</v>
      </c>
      <c r="X145" s="13" t="s">
        <v>391</v>
      </c>
      <c r="Y145" s="13"/>
      <c r="Z145" s="13"/>
    </row>
    <row r="146" spans="1:26" ht="12.75" customHeight="1" x14ac:dyDescent="0.2">
      <c r="A146" s="8" t="s">
        <v>128</v>
      </c>
      <c r="B146" s="8" t="str">
        <f t="shared" si="28"/>
        <v>Norse7</v>
      </c>
      <c r="C146" s="197" t="s">
        <v>617</v>
      </c>
      <c r="D146" s="8" t="str">
        <f t="shared" si="1"/>
        <v>NorseSnow Troll</v>
      </c>
      <c r="E146" s="197">
        <v>5</v>
      </c>
      <c r="F146" s="197">
        <v>5</v>
      </c>
      <c r="G146" s="197">
        <v>5</v>
      </c>
      <c r="H146" s="197">
        <v>0</v>
      </c>
      <c r="I146" s="197">
        <v>9</v>
      </c>
      <c r="J146" s="8" t="str">
        <f>IF(Roster!$K$25="Español",V146,(IF(Roster!$K$25="Deutsch",W146,(IF(Roster!$K$25="Français",X146,U146)))))</f>
        <v>Claws, Disturbing Presence, Frenzy, Loner (4+), Unchannelled Fury</v>
      </c>
      <c r="K146" s="216">
        <v>140000</v>
      </c>
      <c r="L146" s="7">
        <f t="shared" si="20"/>
        <v>140</v>
      </c>
      <c r="M146" s="197">
        <v>1</v>
      </c>
      <c r="N146" s="197">
        <v>1</v>
      </c>
      <c r="O146" s="216" t="s">
        <v>198</v>
      </c>
      <c r="P146" s="216" t="s">
        <v>198</v>
      </c>
      <c r="Q146" s="216" t="s">
        <v>199</v>
      </c>
      <c r="R146" s="226">
        <v>0</v>
      </c>
      <c r="S146" s="216">
        <v>0</v>
      </c>
      <c r="T146" s="13" t="str">
        <f>IF(AND(R147&lt;&gt;0,S147&lt;&gt;0),"FULL",(IF(AND(R147=0,S147=0),"PM",IF(R147=0,"P",(IF(S147=0,"M"))))))</f>
        <v>PM</v>
      </c>
      <c r="U146" s="13" t="s">
        <v>618</v>
      </c>
      <c r="V146" s="13" t="s">
        <v>619</v>
      </c>
      <c r="W146" s="13" t="s">
        <v>620</v>
      </c>
      <c r="X146" s="13" t="s">
        <v>621</v>
      </c>
      <c r="Y146" s="13"/>
      <c r="Z146" s="13"/>
    </row>
    <row r="147" spans="1:26" ht="12.75" customHeight="1" x14ac:dyDescent="0.2">
      <c r="A147" s="8" t="s">
        <v>128</v>
      </c>
      <c r="B147" s="8" t="str">
        <f t="shared" si="28"/>
        <v>Norse8</v>
      </c>
      <c r="C147" s="197" t="s">
        <v>522</v>
      </c>
      <c r="D147" s="8" t="str">
        <f t="shared" si="1"/>
        <v>NorseJourneyman</v>
      </c>
      <c r="E147" s="197">
        <v>6</v>
      </c>
      <c r="F147" s="197">
        <v>3</v>
      </c>
      <c r="G147" s="197">
        <v>3</v>
      </c>
      <c r="H147" s="197">
        <v>4</v>
      </c>
      <c r="I147" s="197">
        <v>8</v>
      </c>
      <c r="J147" s="8" t="str">
        <f>IF(Roster!$K$25="Español",V147,(IF(Roster!$K$25="Deutsch",W147,(IF(Roster!$K$25="Français",X147,U147)))))</f>
        <v>Loner (4+), Block</v>
      </c>
      <c r="K147" s="216">
        <v>0</v>
      </c>
      <c r="L147" s="7">
        <v>50</v>
      </c>
      <c r="M147" s="216">
        <v>11</v>
      </c>
      <c r="N147" s="216">
        <v>0</v>
      </c>
      <c r="O147" s="216" t="s">
        <v>199</v>
      </c>
      <c r="P147" s="216" t="s">
        <v>198</v>
      </c>
      <c r="Q147" s="216" t="s">
        <v>198</v>
      </c>
      <c r="R147" s="216">
        <v>0</v>
      </c>
      <c r="S147" s="216">
        <v>0</v>
      </c>
      <c r="T147" s="13" t="str">
        <f>IF(AND(R148&lt;&gt;0,S148&lt;&gt;0),"FULL",(IF(AND(R148=0,S148=0),"PM",IF(R148=0,"P",(IF(S148=0,"M"))))))</f>
        <v>PM</v>
      </c>
      <c r="U147" s="13" t="s">
        <v>622</v>
      </c>
      <c r="V147" s="13" t="s">
        <v>623</v>
      </c>
      <c r="W147" s="13" t="s">
        <v>624</v>
      </c>
      <c r="X147" s="13" t="s">
        <v>625</v>
      </c>
      <c r="Y147" s="13"/>
      <c r="Z147" s="13"/>
    </row>
    <row r="148" spans="1:26" ht="12.75" customHeight="1" x14ac:dyDescent="0.2">
      <c r="A148" s="197" t="s">
        <v>1375</v>
      </c>
      <c r="B148" s="8" t="str">
        <f t="shared" si="28"/>
        <v>Norse GW1</v>
      </c>
      <c r="C148" s="197"/>
      <c r="D148" s="8" t="str">
        <f t="shared" si="1"/>
        <v>Norse GW</v>
      </c>
      <c r="E148" s="197">
        <v>0</v>
      </c>
      <c r="F148" s="197">
        <v>0</v>
      </c>
      <c r="G148" s="197">
        <v>0</v>
      </c>
      <c r="H148" s="197">
        <v>0</v>
      </c>
      <c r="I148" s="197">
        <v>0</v>
      </c>
      <c r="J148" s="8">
        <f>IF(Roster!$K$25="Español",V148,(IF(Roster!$K$25="Deutsch",W148,(IF(Roster!$K$25="Français",X148,U148)))))</f>
        <v>0</v>
      </c>
      <c r="K148" s="216">
        <v>0</v>
      </c>
      <c r="L148" s="7">
        <f t="shared" si="20"/>
        <v>0</v>
      </c>
      <c r="M148" s="216">
        <v>0</v>
      </c>
      <c r="N148" s="216">
        <v>0</v>
      </c>
      <c r="O148" s="216"/>
      <c r="P148" s="216"/>
      <c r="Q148" s="216"/>
      <c r="R148" s="216"/>
      <c r="S148" s="216"/>
      <c r="T148" s="216"/>
      <c r="U148" s="13">
        <v>0</v>
      </c>
      <c r="V148" s="13">
        <v>0</v>
      </c>
      <c r="W148" s="13">
        <v>0</v>
      </c>
      <c r="X148" s="13">
        <v>0</v>
      </c>
      <c r="Y148" s="13">
        <v>0</v>
      </c>
      <c r="Z148" s="13"/>
    </row>
    <row r="149" spans="1:26" ht="12.75" customHeight="1" x14ac:dyDescent="0.2">
      <c r="A149" s="197" t="s">
        <v>1375</v>
      </c>
      <c r="B149" s="8" t="str">
        <f t="shared" si="28"/>
        <v>Norse GW2</v>
      </c>
      <c r="C149" s="197" t="s">
        <v>1376</v>
      </c>
      <c r="D149" s="197" t="str">
        <f t="shared" si="1"/>
        <v>Norse GWRaider Lineman</v>
      </c>
      <c r="E149" s="197">
        <v>6</v>
      </c>
      <c r="F149" s="197">
        <v>3</v>
      </c>
      <c r="G149" s="197">
        <v>3</v>
      </c>
      <c r="H149" s="197">
        <v>4</v>
      </c>
      <c r="I149" s="197">
        <v>8</v>
      </c>
      <c r="J149" s="8" t="str">
        <f>IF(Roster!$K$25="Español",V149,(IF(Roster!$K$25="Deutsch",W149,(IF(Roster!$K$25="Français",X149,U149)))))</f>
        <v>Block, Drunkard, Thick Skull</v>
      </c>
      <c r="K149" s="216">
        <v>50000</v>
      </c>
      <c r="L149" s="7">
        <f t="shared" si="20"/>
        <v>50</v>
      </c>
      <c r="M149" s="216">
        <v>16</v>
      </c>
      <c r="N149" s="216">
        <f>IF(M149&lt;10,1,0)</f>
        <v>0</v>
      </c>
      <c r="O149" s="216" t="s">
        <v>199</v>
      </c>
      <c r="P149" s="216" t="s">
        <v>198</v>
      </c>
      <c r="Q149" s="216" t="s">
        <v>198</v>
      </c>
      <c r="R149" s="216" t="s">
        <v>198</v>
      </c>
      <c r="S149" s="216">
        <v>0</v>
      </c>
      <c r="T149" s="13" t="s">
        <v>200</v>
      </c>
      <c r="U149" s="13" t="s">
        <v>1377</v>
      </c>
      <c r="V149" s="13" t="s">
        <v>1378</v>
      </c>
      <c r="W149" s="13" t="s">
        <v>1379</v>
      </c>
      <c r="X149" s="13" t="s">
        <v>1380</v>
      </c>
      <c r="Y149" s="13"/>
      <c r="Z149" s="13"/>
    </row>
    <row r="150" spans="1:26" ht="12.75" customHeight="1" x14ac:dyDescent="0.2">
      <c r="A150" s="197" t="s">
        <v>1375</v>
      </c>
      <c r="B150" s="8" t="str">
        <f t="shared" si="28"/>
        <v>Norse GW3</v>
      </c>
      <c r="C150" s="197" t="s">
        <v>1381</v>
      </c>
      <c r="D150" s="197" t="str">
        <f t="shared" si="1"/>
        <v>Norse GWBeer Boar</v>
      </c>
      <c r="E150" s="197">
        <v>5</v>
      </c>
      <c r="F150" s="197">
        <v>1</v>
      </c>
      <c r="G150" s="197">
        <v>3</v>
      </c>
      <c r="H150" s="197">
        <v>0</v>
      </c>
      <c r="I150" s="197">
        <v>6</v>
      </c>
      <c r="J150" s="8" t="str">
        <f>IF(Roster!$K$25="Español",V150,(IF(Roster!$K$25="Deutsch",W150,(IF(Roster!$K$25="Français",X150,U150)))))</f>
        <v>Dodge, No Hands, Pick-me-up, Stunty, Titchy</v>
      </c>
      <c r="K150" s="216">
        <v>20000</v>
      </c>
      <c r="L150" s="7">
        <f t="shared" ref="L150:L213" si="35">K150/1000</f>
        <v>20</v>
      </c>
      <c r="M150" s="216">
        <v>2</v>
      </c>
      <c r="N150" s="216">
        <v>0</v>
      </c>
      <c r="O150" s="216">
        <v>0</v>
      </c>
      <c r="P150" s="216" t="s">
        <v>198</v>
      </c>
      <c r="Q150" s="216">
        <v>0</v>
      </c>
      <c r="R150" s="216">
        <v>0</v>
      </c>
      <c r="S150" s="216">
        <v>0</v>
      </c>
      <c r="T150" s="13" t="s">
        <v>1743</v>
      </c>
      <c r="U150" s="13" t="s">
        <v>1382</v>
      </c>
      <c r="V150" s="13" t="s">
        <v>1383</v>
      </c>
      <c r="W150" s="13" t="s">
        <v>1384</v>
      </c>
      <c r="X150" s="13" t="s">
        <v>1385</v>
      </c>
      <c r="Y150" s="13"/>
      <c r="Z150" s="13"/>
    </row>
    <row r="151" spans="1:26" ht="12.75" customHeight="1" x14ac:dyDescent="0.2">
      <c r="A151" s="197" t="s">
        <v>1375</v>
      </c>
      <c r="B151" s="8" t="str">
        <f t="shared" si="28"/>
        <v>Norse GW4</v>
      </c>
      <c r="C151" s="197" t="s">
        <v>611</v>
      </c>
      <c r="D151" s="197" t="str">
        <f t="shared" si="1"/>
        <v>Norse GWBerserker</v>
      </c>
      <c r="E151" s="197">
        <v>6</v>
      </c>
      <c r="F151" s="197">
        <v>3</v>
      </c>
      <c r="G151" s="197">
        <v>3</v>
      </c>
      <c r="H151" s="197">
        <v>5</v>
      </c>
      <c r="I151" s="197">
        <v>8</v>
      </c>
      <c r="J151" s="8" t="str">
        <f>IF(Roster!$K$25="Español",V151,(IF(Roster!$K$25="Deutsch",W151,(IF(Roster!$K$25="Français",X151,U151)))))</f>
        <v>Block, Frenzy, Jump Up</v>
      </c>
      <c r="K151" s="216">
        <v>90000</v>
      </c>
      <c r="L151" s="7">
        <f t="shared" si="35"/>
        <v>90</v>
      </c>
      <c r="M151" s="216">
        <v>2</v>
      </c>
      <c r="N151" s="216">
        <v>0</v>
      </c>
      <c r="O151" s="216" t="s">
        <v>199</v>
      </c>
      <c r="P151" s="216" t="s">
        <v>198</v>
      </c>
      <c r="Q151" s="216" t="s">
        <v>199</v>
      </c>
      <c r="R151" s="216" t="s">
        <v>198</v>
      </c>
      <c r="S151" s="216">
        <v>0</v>
      </c>
      <c r="T151" s="13" t="s">
        <v>200</v>
      </c>
      <c r="U151" s="13" t="s">
        <v>612</v>
      </c>
      <c r="V151" s="13" t="s">
        <v>613</v>
      </c>
      <c r="W151" s="13" t="s">
        <v>614</v>
      </c>
      <c r="X151" s="13" t="s">
        <v>615</v>
      </c>
      <c r="Y151" s="13"/>
      <c r="Z151" s="13"/>
    </row>
    <row r="152" spans="1:26" ht="12.75" customHeight="1" x14ac:dyDescent="0.2">
      <c r="A152" s="197" t="s">
        <v>1375</v>
      </c>
      <c r="B152" s="8" t="str">
        <f t="shared" si="28"/>
        <v>Norse GW5</v>
      </c>
      <c r="C152" s="197" t="s">
        <v>1656</v>
      </c>
      <c r="D152" s="197" t="str">
        <f t="shared" si="1"/>
        <v>Norse GWValkyrie</v>
      </c>
      <c r="E152" s="197">
        <v>7</v>
      </c>
      <c r="F152" s="197">
        <v>3</v>
      </c>
      <c r="G152" s="197">
        <v>3</v>
      </c>
      <c r="H152" s="197">
        <v>3</v>
      </c>
      <c r="I152" s="197">
        <v>8</v>
      </c>
      <c r="J152" s="8" t="str">
        <f>IF(Roster!$K$25="Español",V152,(IF(Roster!$K$25="Deutsch",W152,(IF(Roster!$K$25="Français",X152,U152)))))</f>
        <v>Catch, Dauntless, Pass, Strip Ball</v>
      </c>
      <c r="K152" s="216">
        <v>95000</v>
      </c>
      <c r="L152" s="7">
        <f t="shared" si="35"/>
        <v>95</v>
      </c>
      <c r="M152" s="216">
        <v>2</v>
      </c>
      <c r="N152" s="216">
        <v>0</v>
      </c>
      <c r="O152" s="216" t="s">
        <v>199</v>
      </c>
      <c r="P152" s="216" t="s">
        <v>199</v>
      </c>
      <c r="Q152" s="216" t="s">
        <v>198</v>
      </c>
      <c r="R152" s="216" t="s">
        <v>199</v>
      </c>
      <c r="S152" s="216">
        <v>0</v>
      </c>
      <c r="T152" s="13" t="s">
        <v>200</v>
      </c>
      <c r="U152" s="13" t="s">
        <v>1386</v>
      </c>
      <c r="V152" s="13" t="s">
        <v>1387</v>
      </c>
      <c r="W152" s="13" t="s">
        <v>1388</v>
      </c>
      <c r="X152" s="13" t="s">
        <v>1389</v>
      </c>
      <c r="Y152" s="13"/>
      <c r="Z152" s="13"/>
    </row>
    <row r="153" spans="1:26" ht="12.75" customHeight="1" x14ac:dyDescent="0.2">
      <c r="A153" s="197" t="s">
        <v>1375</v>
      </c>
      <c r="B153" s="8" t="str">
        <f t="shared" si="28"/>
        <v>Norse GW6</v>
      </c>
      <c r="C153" s="197" t="s">
        <v>616</v>
      </c>
      <c r="D153" s="197" t="str">
        <f t="shared" si="1"/>
        <v>Norse GWUlfwerener</v>
      </c>
      <c r="E153" s="197">
        <v>6</v>
      </c>
      <c r="F153" s="197">
        <v>4</v>
      </c>
      <c r="G153" s="197">
        <v>4</v>
      </c>
      <c r="H153" s="197">
        <v>0</v>
      </c>
      <c r="I153" s="197">
        <v>9</v>
      </c>
      <c r="J153" s="8" t="str">
        <f>IF(Roster!$K$25="Español",V153,(IF(Roster!$K$25="Deutsch",W153,(IF(Roster!$K$25="Français",X153,U153)))))</f>
        <v>Frenzy</v>
      </c>
      <c r="K153" s="216">
        <v>105000</v>
      </c>
      <c r="L153" s="7">
        <f t="shared" si="35"/>
        <v>105</v>
      </c>
      <c r="M153" s="216">
        <v>2</v>
      </c>
      <c r="N153" s="216">
        <v>0</v>
      </c>
      <c r="O153" s="216" t="s">
        <v>199</v>
      </c>
      <c r="P153" s="216" t="s">
        <v>198</v>
      </c>
      <c r="Q153" s="216" t="s">
        <v>199</v>
      </c>
      <c r="R153" s="216">
        <v>0</v>
      </c>
      <c r="S153" s="216">
        <v>0</v>
      </c>
      <c r="T153" s="13" t="s">
        <v>226</v>
      </c>
      <c r="U153" s="13" t="s">
        <v>388</v>
      </c>
      <c r="V153" s="13" t="s">
        <v>389</v>
      </c>
      <c r="W153" s="13" t="s">
        <v>390</v>
      </c>
      <c r="X153" s="13" t="s">
        <v>391</v>
      </c>
      <c r="Y153" s="13"/>
      <c r="Z153" s="13"/>
    </row>
    <row r="154" spans="1:26" ht="12.75" customHeight="1" x14ac:dyDescent="0.2">
      <c r="A154" s="197" t="s">
        <v>1375</v>
      </c>
      <c r="B154" s="8" t="str">
        <f t="shared" si="28"/>
        <v>Norse GW7</v>
      </c>
      <c r="C154" s="197" t="s">
        <v>1390</v>
      </c>
      <c r="D154" s="197" t="str">
        <f t="shared" si="1"/>
        <v>Norse GWYhetee</v>
      </c>
      <c r="E154" s="197">
        <v>5</v>
      </c>
      <c r="F154" s="197">
        <v>5</v>
      </c>
      <c r="G154" s="197">
        <v>4</v>
      </c>
      <c r="H154" s="197">
        <v>0</v>
      </c>
      <c r="I154" s="197">
        <v>9</v>
      </c>
      <c r="J154" s="8" t="str">
        <f>IF(Roster!$K$25="Español",V154,(IF(Roster!$K$25="Deutsch",W154,(IF(Roster!$K$25="Français",X154,U154)))))</f>
        <v>Claws, Disturbing Presence, Frenzy, Loner (4+), Unchannelled Fury</v>
      </c>
      <c r="K154" s="216">
        <v>140000</v>
      </c>
      <c r="L154" s="7">
        <f t="shared" si="35"/>
        <v>140</v>
      </c>
      <c r="M154" s="216">
        <v>1</v>
      </c>
      <c r="N154" s="216">
        <f>IF(M154&lt;10,1,0)</f>
        <v>1</v>
      </c>
      <c r="O154" s="216" t="s">
        <v>198</v>
      </c>
      <c r="P154" s="216" t="s">
        <v>199</v>
      </c>
      <c r="Q154" s="216" t="s">
        <v>199</v>
      </c>
      <c r="R154" s="216">
        <v>0</v>
      </c>
      <c r="S154" s="216">
        <v>0</v>
      </c>
      <c r="T154" s="13" t="s">
        <v>226</v>
      </c>
      <c r="U154" s="13" t="s">
        <v>618</v>
      </c>
      <c r="V154" s="13" t="s">
        <v>619</v>
      </c>
      <c r="W154" s="13" t="s">
        <v>620</v>
      </c>
      <c r="X154" s="13" t="s">
        <v>621</v>
      </c>
      <c r="Y154" s="13"/>
      <c r="Z154" s="13"/>
    </row>
    <row r="155" spans="1:26" ht="12.75" customHeight="1" x14ac:dyDescent="0.2">
      <c r="A155" s="197" t="s">
        <v>1375</v>
      </c>
      <c r="B155" s="8" t="str">
        <f t="shared" si="28"/>
        <v>Norse GW8</v>
      </c>
      <c r="C155" s="197" t="s">
        <v>522</v>
      </c>
      <c r="D155" s="197" t="str">
        <f t="shared" si="1"/>
        <v>Norse GWJourneyman</v>
      </c>
      <c r="E155" s="197">
        <v>6</v>
      </c>
      <c r="F155" s="197">
        <v>3</v>
      </c>
      <c r="G155" s="197">
        <v>3</v>
      </c>
      <c r="H155" s="197">
        <v>4</v>
      </c>
      <c r="I155" s="197">
        <v>8</v>
      </c>
      <c r="J155" s="8" t="str">
        <f>IF(Roster!$K$25="Español",V155,(IF(Roster!$K$25="Deutsch",W155,(IF(Roster!$K$25="Français",X155,U155)))))</f>
        <v>Loner (4+), Block, Drunkard, Thick Skull</v>
      </c>
      <c r="K155" s="216">
        <v>0</v>
      </c>
      <c r="L155" s="7">
        <v>50</v>
      </c>
      <c r="M155" s="216">
        <v>16</v>
      </c>
      <c r="N155" s="216">
        <f>IF(M155&lt;10,1,0)</f>
        <v>0</v>
      </c>
      <c r="O155" s="216" t="s">
        <v>199</v>
      </c>
      <c r="P155" s="216" t="s">
        <v>198</v>
      </c>
      <c r="Q155" s="216" t="s">
        <v>198</v>
      </c>
      <c r="R155" s="216" t="s">
        <v>198</v>
      </c>
      <c r="S155" s="216">
        <v>0</v>
      </c>
      <c r="T155" s="13" t="s">
        <v>200</v>
      </c>
      <c r="U155" s="13" t="s">
        <v>1484</v>
      </c>
      <c r="V155" s="13" t="s">
        <v>1485</v>
      </c>
      <c r="W155" s="13" t="s">
        <v>1486</v>
      </c>
      <c r="X155" s="13" t="s">
        <v>1487</v>
      </c>
      <c r="Y155" s="13"/>
      <c r="Z155" s="13"/>
    </row>
    <row r="156" spans="1:26" ht="12.75" customHeight="1" x14ac:dyDescent="0.2">
      <c r="A156" s="8" t="s">
        <v>133</v>
      </c>
      <c r="B156" s="8" t="str">
        <f t="shared" si="28"/>
        <v>Nurgle1</v>
      </c>
      <c r="C156" s="197" t="str">
        <f>""</f>
        <v/>
      </c>
      <c r="D156" s="197" t="str">
        <f t="shared" si="1"/>
        <v>Nurgle</v>
      </c>
      <c r="E156" s="197">
        <v>0</v>
      </c>
      <c r="F156" s="197">
        <v>0</v>
      </c>
      <c r="G156" s="197">
        <v>0</v>
      </c>
      <c r="H156" s="197">
        <v>0</v>
      </c>
      <c r="I156" s="197">
        <v>0</v>
      </c>
      <c r="J156" s="8">
        <f>IF(Roster!$K$25="Español",V156,(IF(Roster!$K$25="Deutsch",W156,(IF(Roster!$K$25="Français",X156,U156)))))</f>
        <v>0</v>
      </c>
      <c r="K156" s="216">
        <v>0</v>
      </c>
      <c r="L156" s="7">
        <f t="shared" si="35"/>
        <v>0</v>
      </c>
      <c r="M156" s="216">
        <v>0</v>
      </c>
      <c r="N156" s="216">
        <v>0</v>
      </c>
      <c r="O156" s="216"/>
      <c r="P156" s="216"/>
      <c r="Q156" s="216"/>
      <c r="R156" s="216"/>
      <c r="S156" s="216"/>
      <c r="T156" s="13"/>
      <c r="U156" s="13">
        <v>0</v>
      </c>
      <c r="V156" s="13">
        <v>0</v>
      </c>
      <c r="W156" s="13">
        <v>0</v>
      </c>
      <c r="X156" s="13">
        <v>0</v>
      </c>
      <c r="Y156" s="13">
        <v>0</v>
      </c>
      <c r="Z156" s="13"/>
    </row>
    <row r="157" spans="1:26" ht="12.75" customHeight="1" x14ac:dyDescent="0.2">
      <c r="A157" s="8" t="s">
        <v>133</v>
      </c>
      <c r="B157" s="8" t="str">
        <f t="shared" si="28"/>
        <v>Nurgle2</v>
      </c>
      <c r="C157" s="197" t="s">
        <v>626</v>
      </c>
      <c r="D157" s="8" t="str">
        <f t="shared" si="1"/>
        <v>NurgleRotter</v>
      </c>
      <c r="E157" s="197">
        <v>5</v>
      </c>
      <c r="F157" s="197">
        <v>3</v>
      </c>
      <c r="G157" s="197">
        <v>4</v>
      </c>
      <c r="H157" s="197">
        <v>6</v>
      </c>
      <c r="I157" s="197">
        <v>9</v>
      </c>
      <c r="J157" s="8" t="str">
        <f>IF(Roster!$K$25="Español",V157,(IF(Roster!$K$25="Deutsch",W157,(IF(Roster!$K$25="Français",X157,U157)))))</f>
        <v>Decay, Plague Ridden</v>
      </c>
      <c r="K157" s="216">
        <v>35000</v>
      </c>
      <c r="L157" s="7">
        <f t="shared" si="35"/>
        <v>35</v>
      </c>
      <c r="M157" s="216">
        <v>16</v>
      </c>
      <c r="N157" s="216">
        <v>0</v>
      </c>
      <c r="O157" s="216" t="s">
        <v>199</v>
      </c>
      <c r="P157" s="216" t="s">
        <v>198</v>
      </c>
      <c r="Q157" s="216" t="s">
        <v>198</v>
      </c>
      <c r="R157" s="216">
        <v>0</v>
      </c>
      <c r="S157" s="216" t="s">
        <v>199</v>
      </c>
      <c r="T157" s="13" t="s">
        <v>199</v>
      </c>
      <c r="U157" s="13" t="s">
        <v>627</v>
      </c>
      <c r="V157" s="13" t="s">
        <v>628</v>
      </c>
      <c r="W157" s="13" t="s">
        <v>629</v>
      </c>
      <c r="X157" s="13" t="s">
        <v>630</v>
      </c>
      <c r="Y157" s="13"/>
      <c r="Z157" s="13"/>
    </row>
    <row r="158" spans="1:26" ht="12.75" customHeight="1" x14ac:dyDescent="0.2">
      <c r="A158" s="8" t="s">
        <v>133</v>
      </c>
      <c r="B158" s="8" t="str">
        <f t="shared" si="28"/>
        <v>Nurgle3</v>
      </c>
      <c r="C158" s="197" t="s">
        <v>631</v>
      </c>
      <c r="D158" s="8" t="str">
        <f t="shared" si="1"/>
        <v>NurglePestigor</v>
      </c>
      <c r="E158" s="197">
        <v>6</v>
      </c>
      <c r="F158" s="197">
        <v>3</v>
      </c>
      <c r="G158" s="197">
        <v>3</v>
      </c>
      <c r="H158" s="197">
        <v>4</v>
      </c>
      <c r="I158" s="197">
        <v>9</v>
      </c>
      <c r="J158" s="8" t="str">
        <f>IF(Roster!$K$25="Español",V158,(IF(Roster!$K$25="Deutsch",W158,(IF(Roster!$K$25="Français",X158,U158)))))</f>
        <v>Horns, Plague Ridden, Regeneration</v>
      </c>
      <c r="K158" s="216">
        <v>75000</v>
      </c>
      <c r="L158" s="7">
        <f t="shared" si="35"/>
        <v>75</v>
      </c>
      <c r="M158" s="197">
        <v>4</v>
      </c>
      <c r="N158" s="197">
        <v>0</v>
      </c>
      <c r="O158" s="216" t="s">
        <v>199</v>
      </c>
      <c r="P158" s="216" t="s">
        <v>198</v>
      </c>
      <c r="Q158" s="216" t="s">
        <v>199</v>
      </c>
      <c r="R158" s="216" t="s">
        <v>198</v>
      </c>
      <c r="S158" s="216" t="s">
        <v>199</v>
      </c>
      <c r="T158" s="13" t="s">
        <v>225</v>
      </c>
      <c r="U158" s="13" t="s">
        <v>632</v>
      </c>
      <c r="V158" s="13" t="s">
        <v>633</v>
      </c>
      <c r="W158" s="13" t="s">
        <v>634</v>
      </c>
      <c r="X158" s="13" t="s">
        <v>635</v>
      </c>
      <c r="Y158" s="13"/>
      <c r="Z158" s="13"/>
    </row>
    <row r="159" spans="1:26" ht="12.75" customHeight="1" x14ac:dyDescent="0.2">
      <c r="A159" s="8" t="s">
        <v>133</v>
      </c>
      <c r="B159" s="8" t="str">
        <f t="shared" si="28"/>
        <v>Nurgle4</v>
      </c>
      <c r="C159" s="197" t="s">
        <v>636</v>
      </c>
      <c r="D159" s="8" t="str">
        <f t="shared" si="1"/>
        <v>NurgleBloater</v>
      </c>
      <c r="E159" s="197">
        <v>4</v>
      </c>
      <c r="F159" s="197">
        <v>4</v>
      </c>
      <c r="G159" s="197">
        <v>4</v>
      </c>
      <c r="H159" s="197">
        <v>6</v>
      </c>
      <c r="I159" s="197">
        <v>10</v>
      </c>
      <c r="J159" s="8" t="str">
        <f>IF(Roster!$K$25="Español",V159,(IF(Roster!$K$25="Deutsch",W159,(IF(Roster!$K$25="Français",X159,U159)))))</f>
        <v>Disturbing Presence, Foul Appearance, Plague Ridden, Regeneration</v>
      </c>
      <c r="K159" s="216">
        <v>115000</v>
      </c>
      <c r="L159" s="7">
        <f t="shared" si="35"/>
        <v>115</v>
      </c>
      <c r="M159" s="197">
        <v>4</v>
      </c>
      <c r="N159" s="197">
        <v>0</v>
      </c>
      <c r="O159" s="216" t="s">
        <v>199</v>
      </c>
      <c r="P159" s="216" t="s">
        <v>198</v>
      </c>
      <c r="Q159" s="216" t="s">
        <v>199</v>
      </c>
      <c r="R159" s="216">
        <v>0</v>
      </c>
      <c r="S159" s="216" t="s">
        <v>199</v>
      </c>
      <c r="T159" s="13" t="str">
        <f>IF(AND(R160&lt;&gt;0,S160&lt;&gt;0),"FULL",(IF(AND(R160=0,S160=0),"PM",IF(R160=0,"P",(IF(S160=0,"M"))))))</f>
        <v>P</v>
      </c>
      <c r="U159" s="13" t="s">
        <v>637</v>
      </c>
      <c r="V159" s="13" t="s">
        <v>638</v>
      </c>
      <c r="W159" s="13" t="s">
        <v>639</v>
      </c>
      <c r="X159" s="13" t="s">
        <v>640</v>
      </c>
      <c r="Y159" s="13"/>
      <c r="Z159" s="13"/>
    </row>
    <row r="160" spans="1:26" ht="12.75" customHeight="1" x14ac:dyDescent="0.2">
      <c r="A160" s="8" t="s">
        <v>133</v>
      </c>
      <c r="B160" s="8" t="str">
        <f t="shared" si="28"/>
        <v>Nurgle5</v>
      </c>
      <c r="C160" s="197" t="s">
        <v>641</v>
      </c>
      <c r="D160" s="8" t="str">
        <f t="shared" si="1"/>
        <v>NurgleRotspawn</v>
      </c>
      <c r="E160" s="197">
        <v>4</v>
      </c>
      <c r="F160" s="197">
        <v>5</v>
      </c>
      <c r="G160" s="197">
        <v>5</v>
      </c>
      <c r="H160" s="197">
        <v>0</v>
      </c>
      <c r="I160" s="197">
        <v>10</v>
      </c>
      <c r="J160" s="8" t="str">
        <f>IF(Roster!$K$25="Español",V160,(IF(Roster!$K$25="Deutsch",W160,(IF(Roster!$K$25="Français",X160,U160)))))</f>
        <v>Disturbing Presence, Foul Appearance, Loner (4+), Mighty Blow (+1), Plague Ridden, Really Stupid, Regeneration, Tentacles</v>
      </c>
      <c r="K160" s="216">
        <v>140000</v>
      </c>
      <c r="L160" s="7">
        <f t="shared" si="35"/>
        <v>140</v>
      </c>
      <c r="M160" s="197">
        <v>1</v>
      </c>
      <c r="N160" s="197">
        <v>1</v>
      </c>
      <c r="O160" s="216" t="s">
        <v>198</v>
      </c>
      <c r="P160" s="216" t="s">
        <v>198</v>
      </c>
      <c r="Q160" s="216" t="s">
        <v>199</v>
      </c>
      <c r="R160" s="226">
        <v>0</v>
      </c>
      <c r="S160" s="216" t="s">
        <v>198</v>
      </c>
      <c r="T160" s="13" t="str">
        <f>IF(AND(R161&lt;&gt;0,S161&lt;&gt;0),"FULL",(IF(AND(R161=0,S161=0),"PM",IF(R161=0,"P",(IF(S161=0,"M"))))))</f>
        <v>P</v>
      </c>
      <c r="U160" s="13" t="s">
        <v>642</v>
      </c>
      <c r="V160" s="13" t="s">
        <v>1830</v>
      </c>
      <c r="W160" s="13" t="s">
        <v>643</v>
      </c>
      <c r="X160" s="13" t="s">
        <v>644</v>
      </c>
      <c r="Y160" s="13"/>
      <c r="Z160" s="13"/>
    </row>
    <row r="161" spans="1:26" ht="12.75" customHeight="1" x14ac:dyDescent="0.2">
      <c r="A161" s="8" t="s">
        <v>133</v>
      </c>
      <c r="B161" s="8" t="str">
        <f t="shared" si="28"/>
        <v>Nurgle6</v>
      </c>
      <c r="C161" s="197" t="s">
        <v>645</v>
      </c>
      <c r="D161" s="8" t="str">
        <f t="shared" si="1"/>
        <v>NurgleJourney Rotter</v>
      </c>
      <c r="E161" s="197">
        <v>5</v>
      </c>
      <c r="F161" s="197">
        <v>3</v>
      </c>
      <c r="G161" s="197">
        <v>3</v>
      </c>
      <c r="H161" s="197">
        <v>6</v>
      </c>
      <c r="I161" s="197">
        <v>9</v>
      </c>
      <c r="J161" s="8" t="str">
        <f>IF(Roster!$K$25="Español",V161,(IF(Roster!$K$25="Deutsch",W161,(IF(Roster!$K$25="Français",X161,U161)))))</f>
        <v>Loner (4+), Decay, Plague Ridden</v>
      </c>
      <c r="K161" s="216">
        <v>0</v>
      </c>
      <c r="L161" s="7">
        <v>35</v>
      </c>
      <c r="M161" s="197">
        <v>11</v>
      </c>
      <c r="N161" s="197">
        <v>0</v>
      </c>
      <c r="O161" s="216" t="s">
        <v>199</v>
      </c>
      <c r="P161" s="216" t="s">
        <v>198</v>
      </c>
      <c r="Q161" s="216" t="s">
        <v>198</v>
      </c>
      <c r="R161" s="216">
        <v>0</v>
      </c>
      <c r="S161" s="216" t="s">
        <v>199</v>
      </c>
      <c r="T161" s="13" t="s">
        <v>199</v>
      </c>
      <c r="U161" s="13" t="s">
        <v>646</v>
      </c>
      <c r="V161" s="197" t="s">
        <v>647</v>
      </c>
      <c r="W161" s="13" t="s">
        <v>648</v>
      </c>
      <c r="X161" s="13" t="s">
        <v>649</v>
      </c>
      <c r="Y161" s="13"/>
      <c r="Z161" s="13"/>
    </row>
    <row r="162" spans="1:26" ht="12.75" customHeight="1" x14ac:dyDescent="0.2">
      <c r="A162" s="8" t="s">
        <v>137</v>
      </c>
      <c r="B162" s="8" t="str">
        <f t="shared" si="28"/>
        <v>Ogre1</v>
      </c>
      <c r="C162" s="197" t="str">
        <f>""</f>
        <v/>
      </c>
      <c r="D162" s="8" t="str">
        <f t="shared" si="1"/>
        <v>Ogre</v>
      </c>
      <c r="E162" s="197">
        <v>0</v>
      </c>
      <c r="F162" s="197">
        <v>0</v>
      </c>
      <c r="G162" s="197">
        <v>0</v>
      </c>
      <c r="H162" s="197">
        <v>0</v>
      </c>
      <c r="I162" s="197">
        <v>0</v>
      </c>
      <c r="J162" s="8">
        <f>IF(Roster!$K$25="Español",V162,(IF(Roster!$K$25="Deutsch",W162,(IF(Roster!$K$25="Français",X162,U162)))))</f>
        <v>0</v>
      </c>
      <c r="K162" s="216">
        <v>0</v>
      </c>
      <c r="L162" s="7">
        <f t="shared" si="35"/>
        <v>0</v>
      </c>
      <c r="M162" s="216">
        <v>0</v>
      </c>
      <c r="N162" s="216">
        <v>0</v>
      </c>
      <c r="O162" s="216"/>
      <c r="P162" s="216"/>
      <c r="Q162" s="216"/>
      <c r="R162" s="216"/>
      <c r="S162" s="216"/>
      <c r="T162" s="13"/>
      <c r="U162" s="13">
        <v>0</v>
      </c>
      <c r="V162" s="13">
        <v>0</v>
      </c>
      <c r="W162" s="13">
        <v>0</v>
      </c>
      <c r="X162" s="13">
        <v>0</v>
      </c>
      <c r="Y162" s="13">
        <v>0</v>
      </c>
      <c r="Z162" s="13"/>
    </row>
    <row r="163" spans="1:26" ht="12.75" customHeight="1" x14ac:dyDescent="0.2">
      <c r="A163" s="8" t="s">
        <v>137</v>
      </c>
      <c r="B163" s="8" t="str">
        <f t="shared" si="28"/>
        <v>Ogre2</v>
      </c>
      <c r="C163" s="197" t="s">
        <v>650</v>
      </c>
      <c r="D163" s="8" t="str">
        <f t="shared" si="1"/>
        <v>OgreGnoblar</v>
      </c>
      <c r="E163" s="197">
        <v>5</v>
      </c>
      <c r="F163" s="197">
        <v>1</v>
      </c>
      <c r="G163" s="197">
        <v>3</v>
      </c>
      <c r="H163" s="197">
        <v>5</v>
      </c>
      <c r="I163" s="197">
        <v>6</v>
      </c>
      <c r="J163" s="8" t="str">
        <f>IF(Roster!$K$25="Español",V163,(IF(Roster!$K$25="Deutsch",W163,(IF(Roster!$K$25="Français",X163,U163)))))</f>
        <v>Dodge, Right Stuff, Side Step, Stunty, Titchy</v>
      </c>
      <c r="K163" s="216">
        <v>15000</v>
      </c>
      <c r="L163" s="7">
        <v>0</v>
      </c>
      <c r="M163" s="197">
        <v>16</v>
      </c>
      <c r="N163" s="197">
        <v>0</v>
      </c>
      <c r="O163" s="216" t="s">
        <v>198</v>
      </c>
      <c r="P163" s="216" t="s">
        <v>199</v>
      </c>
      <c r="Q163" s="216" t="s">
        <v>198</v>
      </c>
      <c r="R163" s="216">
        <v>0</v>
      </c>
      <c r="S163" s="216">
        <v>0</v>
      </c>
      <c r="T163" s="13" t="s">
        <v>226</v>
      </c>
      <c r="U163" s="13" t="s">
        <v>651</v>
      </c>
      <c r="V163" s="13" t="s">
        <v>652</v>
      </c>
      <c r="W163" s="13" t="s">
        <v>653</v>
      </c>
      <c r="X163" s="13" t="s">
        <v>654</v>
      </c>
      <c r="Y163" s="13"/>
      <c r="Z163" s="13"/>
    </row>
    <row r="164" spans="1:26" ht="12.75" customHeight="1" x14ac:dyDescent="0.2">
      <c r="A164" s="8" t="s">
        <v>137</v>
      </c>
      <c r="B164" s="8" t="str">
        <f t="shared" si="28"/>
        <v>Ogre3</v>
      </c>
      <c r="C164" s="197" t="s">
        <v>655</v>
      </c>
      <c r="D164" s="8" t="str">
        <f t="shared" si="1"/>
        <v xml:space="preserve">OgreOgre </v>
      </c>
      <c r="E164" s="197">
        <v>5</v>
      </c>
      <c r="F164" s="197">
        <v>5</v>
      </c>
      <c r="G164" s="197">
        <v>4</v>
      </c>
      <c r="H164" s="197">
        <v>5</v>
      </c>
      <c r="I164" s="197">
        <v>10</v>
      </c>
      <c r="J164" s="8" t="str">
        <f>IF(Roster!$K$25="Español",V164,(IF(Roster!$K$25="Deutsch",W164,(IF(Roster!$K$25="Français",X164,U164)))))</f>
        <v>Bone Head, Mighty Blow (+1), Thick Skull, Throw Team-mate</v>
      </c>
      <c r="K164" s="216">
        <v>140000</v>
      </c>
      <c r="L164" s="7">
        <f t="shared" si="35"/>
        <v>140</v>
      </c>
      <c r="M164" s="197">
        <v>5</v>
      </c>
      <c r="N164" s="197">
        <v>1</v>
      </c>
      <c r="O164" s="216" t="s">
        <v>198</v>
      </c>
      <c r="P164" s="216" t="s">
        <v>198</v>
      </c>
      <c r="Q164" s="216" t="s">
        <v>199</v>
      </c>
      <c r="R164" s="216" t="s">
        <v>198</v>
      </c>
      <c r="S164" s="216">
        <v>0</v>
      </c>
      <c r="T164" s="13" t="str">
        <f>IF(AND(R165&lt;&gt;0,S165&lt;&gt;0),"FULL",(IF(AND(R165=0,S165=0),"PM",IF(R165=0,"P",(IF(S165=0,"M"))))))</f>
        <v>M</v>
      </c>
      <c r="U164" s="13" t="s">
        <v>656</v>
      </c>
      <c r="V164" s="197" t="s">
        <v>657</v>
      </c>
      <c r="W164" s="13" t="s">
        <v>658</v>
      </c>
      <c r="X164" s="13" t="s">
        <v>659</v>
      </c>
      <c r="Y164" s="13"/>
      <c r="Z164" s="13"/>
    </row>
    <row r="165" spans="1:26" ht="12.75" customHeight="1" x14ac:dyDescent="0.2">
      <c r="A165" s="8" t="s">
        <v>137</v>
      </c>
      <c r="B165" s="8" t="str">
        <f t="shared" si="28"/>
        <v>Ogre4</v>
      </c>
      <c r="C165" s="197" t="s">
        <v>660</v>
      </c>
      <c r="D165" s="8" t="str">
        <f t="shared" si="1"/>
        <v>OgreRunt Punter</v>
      </c>
      <c r="E165" s="197">
        <v>5</v>
      </c>
      <c r="F165" s="197">
        <v>5</v>
      </c>
      <c r="G165" s="197">
        <v>4</v>
      </c>
      <c r="H165" s="197">
        <v>4</v>
      </c>
      <c r="I165" s="197">
        <v>10</v>
      </c>
      <c r="J165" s="8" t="str">
        <f>IF(Roster!$K$25="Español",V165,(IF(Roster!$K$25="Deutsch",W165,(IF(Roster!$K$25="Français",X165,U165)))))</f>
        <v>Bone Head, Kick Teammate, Mighty Blow (+1), Thick Skull</v>
      </c>
      <c r="K165" s="216">
        <v>145000</v>
      </c>
      <c r="L165" s="7">
        <f t="shared" si="35"/>
        <v>145</v>
      </c>
      <c r="M165" s="197">
        <v>1</v>
      </c>
      <c r="N165" s="197">
        <v>1</v>
      </c>
      <c r="O165" s="216" t="s">
        <v>198</v>
      </c>
      <c r="P165" s="216" t="s">
        <v>198</v>
      </c>
      <c r="Q165" s="216" t="s">
        <v>199</v>
      </c>
      <c r="R165" s="216" t="s">
        <v>199</v>
      </c>
      <c r="S165" s="216">
        <v>0</v>
      </c>
      <c r="T165" s="13" t="s">
        <v>200</v>
      </c>
      <c r="U165" s="13" t="s">
        <v>661</v>
      </c>
      <c r="V165" s="197" t="s">
        <v>662</v>
      </c>
      <c r="W165" s="13" t="s">
        <v>663</v>
      </c>
      <c r="X165" s="13" t="s">
        <v>664</v>
      </c>
      <c r="Y165" s="13"/>
      <c r="Z165" s="13"/>
    </row>
    <row r="166" spans="1:26" ht="12.75" customHeight="1" x14ac:dyDescent="0.2">
      <c r="A166" s="8" t="s">
        <v>137</v>
      </c>
      <c r="B166" s="8" t="str">
        <f t="shared" si="28"/>
        <v>Ogre5</v>
      </c>
      <c r="C166" s="197" t="s">
        <v>665</v>
      </c>
      <c r="D166" s="8" t="str">
        <f t="shared" si="1"/>
        <v>OgreJourney Gnoblar</v>
      </c>
      <c r="E166" s="197">
        <v>5</v>
      </c>
      <c r="F166" s="197">
        <v>1</v>
      </c>
      <c r="G166" s="197">
        <v>3</v>
      </c>
      <c r="H166" s="197">
        <v>5</v>
      </c>
      <c r="I166" s="197">
        <v>6</v>
      </c>
      <c r="J166" s="8" t="str">
        <f>IF(Roster!$K$25="Español",V166,(IF(Roster!$K$25="Deutsch",W166,(IF(Roster!$K$25="Français",X166,U166)))))</f>
        <v>Loner (4+), Dodge, Right Stuff, Side Step, Stunty, Titchy</v>
      </c>
      <c r="K166" s="216">
        <v>0</v>
      </c>
      <c r="L166" s="7">
        <v>0</v>
      </c>
      <c r="M166" s="197">
        <v>11</v>
      </c>
      <c r="N166" s="197">
        <v>0</v>
      </c>
      <c r="O166" s="216" t="s">
        <v>198</v>
      </c>
      <c r="P166" s="216" t="s">
        <v>199</v>
      </c>
      <c r="Q166" s="216" t="s">
        <v>198</v>
      </c>
      <c r="R166" s="216">
        <v>0</v>
      </c>
      <c r="S166" s="216">
        <v>0</v>
      </c>
      <c r="T166" s="13" t="str">
        <f>IF(AND(R167&lt;&gt;0,S167&lt;&gt;0),"FULL",(IF(AND(R167=0,S167=0),"PM",IF(R167=0,"P",(IF(S167=0,"M"))))))</f>
        <v>PM</v>
      </c>
      <c r="U166" s="13" t="s">
        <v>666</v>
      </c>
      <c r="V166" s="197" t="s">
        <v>667</v>
      </c>
      <c r="W166" s="13" t="s">
        <v>668</v>
      </c>
      <c r="X166" s="13" t="s">
        <v>669</v>
      </c>
      <c r="Y166" s="13"/>
      <c r="Z166" s="13"/>
    </row>
    <row r="167" spans="1:26" ht="12.75" customHeight="1" x14ac:dyDescent="0.2">
      <c r="A167" s="8" t="s">
        <v>143</v>
      </c>
      <c r="B167" s="8" t="str">
        <f t="shared" si="28"/>
        <v>Old World Alliance1</v>
      </c>
      <c r="C167" s="197" t="str">
        <f>""</f>
        <v/>
      </c>
      <c r="D167" s="8" t="str">
        <f t="shared" si="1"/>
        <v>Old World Alliance</v>
      </c>
      <c r="E167" s="197">
        <v>0</v>
      </c>
      <c r="F167" s="197">
        <v>0</v>
      </c>
      <c r="G167" s="197">
        <v>0</v>
      </c>
      <c r="H167" s="197">
        <v>0</v>
      </c>
      <c r="I167" s="197">
        <v>0</v>
      </c>
      <c r="J167" s="8">
        <f>IF(Roster!$K$25="Español",V167,(IF(Roster!$K$25="Deutsch",W167,(IF(Roster!$K$25="Français",X167,U167)))))</f>
        <v>0</v>
      </c>
      <c r="K167" s="216">
        <v>0</v>
      </c>
      <c r="L167" s="7">
        <f t="shared" si="35"/>
        <v>0</v>
      </c>
      <c r="M167" s="216">
        <v>0</v>
      </c>
      <c r="N167" s="216">
        <v>0</v>
      </c>
      <c r="O167" s="197"/>
      <c r="P167" s="197"/>
      <c r="Q167" s="197"/>
      <c r="R167" s="197"/>
      <c r="S167" s="197"/>
      <c r="T167" s="13"/>
      <c r="U167" s="13">
        <v>0</v>
      </c>
      <c r="V167" s="13">
        <v>0</v>
      </c>
      <c r="W167" s="13">
        <v>0</v>
      </c>
      <c r="X167" s="13">
        <v>0</v>
      </c>
      <c r="Y167" s="13">
        <v>0</v>
      </c>
      <c r="Z167" s="13"/>
    </row>
    <row r="168" spans="1:26" ht="12.75" customHeight="1" x14ac:dyDescent="0.2">
      <c r="A168" s="8" t="s">
        <v>143</v>
      </c>
      <c r="B168" s="8" t="str">
        <f t="shared" ref="B168:B231" si="36">A168&amp;COUNTIF($A$2:$A168,A168)</f>
        <v>Old World Alliance2</v>
      </c>
      <c r="C168" s="197" t="s">
        <v>396</v>
      </c>
      <c r="D168" s="8" t="str">
        <f t="shared" si="1"/>
        <v>Old World AllianceLineman</v>
      </c>
      <c r="E168" s="197">
        <v>6</v>
      </c>
      <c r="F168" s="197">
        <v>3</v>
      </c>
      <c r="G168" s="197">
        <v>3</v>
      </c>
      <c r="H168" s="197">
        <v>4</v>
      </c>
      <c r="I168" s="197">
        <v>9</v>
      </c>
      <c r="J168" s="8" t="str">
        <f>IF(Roster!$K$25="Español",V168,(IF(Roster!$K$25="Deutsch",W168,(IF(Roster!$K$25="Français",X168,U168)))))</f>
        <v/>
      </c>
      <c r="K168" s="216">
        <v>50000</v>
      </c>
      <c r="L168" s="7">
        <f t="shared" si="35"/>
        <v>50</v>
      </c>
      <c r="M168" s="197">
        <v>12</v>
      </c>
      <c r="N168" s="197">
        <v>0</v>
      </c>
      <c r="O168" s="216" t="s">
        <v>199</v>
      </c>
      <c r="P168" s="216" t="s">
        <v>198</v>
      </c>
      <c r="Q168" s="216" t="s">
        <v>198</v>
      </c>
      <c r="R168" s="216">
        <v>0</v>
      </c>
      <c r="S168" s="216">
        <v>0</v>
      </c>
      <c r="T168" s="13" t="str">
        <f>IF(AND(R169&lt;&gt;0,S169&lt;&gt;0),"FULL",(IF(AND(R169=0,S169=0),"PM",IF(R169=0,"P",(IF(S169=0,"M"))))))</f>
        <v>PM</v>
      </c>
      <c r="U168" s="13" t="str">
        <f t="shared" ref="U168:Y168" si="37">""</f>
        <v/>
      </c>
      <c r="V168" s="13" t="str">
        <f t="shared" si="37"/>
        <v/>
      </c>
      <c r="W168" s="13" t="str">
        <f t="shared" si="37"/>
        <v/>
      </c>
      <c r="X168" s="13" t="str">
        <f t="shared" si="37"/>
        <v/>
      </c>
      <c r="Y168" s="13" t="str">
        <f t="shared" si="37"/>
        <v/>
      </c>
      <c r="Z168" s="13"/>
    </row>
    <row r="169" spans="1:26" ht="12.75" customHeight="1" x14ac:dyDescent="0.2">
      <c r="A169" s="8" t="s">
        <v>143</v>
      </c>
      <c r="B169" s="8" t="str">
        <f t="shared" si="36"/>
        <v>Old World Alliance3</v>
      </c>
      <c r="C169" s="197" t="s">
        <v>281</v>
      </c>
      <c r="D169" s="8" t="str">
        <f t="shared" si="1"/>
        <v>Old World AllianceCatcher</v>
      </c>
      <c r="E169" s="197">
        <v>8</v>
      </c>
      <c r="F169" s="197">
        <v>2</v>
      </c>
      <c r="G169" s="197">
        <v>3</v>
      </c>
      <c r="H169" s="197">
        <v>5</v>
      </c>
      <c r="I169" s="197">
        <v>8</v>
      </c>
      <c r="J169" s="8" t="str">
        <f>IF(Roster!$K$25="Español",V169,(IF(Roster!$K$25="Deutsch",W169,(IF(Roster!$K$25="Français",X169,U169)))))</f>
        <v>Animosity (all Dwarf and Halfling team-mates), Catch, Dodge</v>
      </c>
      <c r="K169" s="216">
        <v>65000</v>
      </c>
      <c r="L169" s="7">
        <f t="shared" si="35"/>
        <v>65</v>
      </c>
      <c r="M169" s="197">
        <v>1</v>
      </c>
      <c r="N169" s="197">
        <v>0</v>
      </c>
      <c r="O169" s="216" t="s">
        <v>199</v>
      </c>
      <c r="P169" s="216" t="s">
        <v>199</v>
      </c>
      <c r="Q169" s="216" t="s">
        <v>198</v>
      </c>
      <c r="R169" s="216">
        <v>0</v>
      </c>
      <c r="S169" s="216">
        <v>0</v>
      </c>
      <c r="T169" s="13" t="s">
        <v>226</v>
      </c>
      <c r="U169" s="13" t="s">
        <v>670</v>
      </c>
      <c r="V169" s="197" t="s">
        <v>671</v>
      </c>
      <c r="W169" s="13" t="s">
        <v>672</v>
      </c>
      <c r="X169" s="13" t="s">
        <v>673</v>
      </c>
      <c r="Y169" s="13"/>
      <c r="Z169" s="13"/>
    </row>
    <row r="170" spans="1:26" ht="12.75" customHeight="1" x14ac:dyDescent="0.2">
      <c r="A170" s="8" t="s">
        <v>143</v>
      </c>
      <c r="B170" s="8" t="str">
        <f t="shared" si="36"/>
        <v>Old World Alliance4</v>
      </c>
      <c r="C170" s="197" t="s">
        <v>276</v>
      </c>
      <c r="D170" s="8" t="str">
        <f t="shared" si="1"/>
        <v>Old World AllianceThrower</v>
      </c>
      <c r="E170" s="197">
        <v>6</v>
      </c>
      <c r="F170" s="197">
        <v>3</v>
      </c>
      <c r="G170" s="197">
        <v>3</v>
      </c>
      <c r="H170" s="197">
        <v>3</v>
      </c>
      <c r="I170" s="197">
        <v>9</v>
      </c>
      <c r="J170" s="8" t="str">
        <f>IF(Roster!$K$25="Español",V170,(IF(Roster!$K$25="Deutsch",W170,(IF(Roster!$K$25="Français",X170,U170)))))</f>
        <v>Animosity (all Dwarf and Halfling team-mates), Pass, Sure Hands</v>
      </c>
      <c r="K170" s="216">
        <v>80000</v>
      </c>
      <c r="L170" s="7">
        <f t="shared" si="35"/>
        <v>80</v>
      </c>
      <c r="M170" s="197">
        <v>1</v>
      </c>
      <c r="N170" s="197">
        <v>0</v>
      </c>
      <c r="O170" s="216" t="s">
        <v>199</v>
      </c>
      <c r="P170" s="216" t="s">
        <v>198</v>
      </c>
      <c r="Q170" s="216" t="s">
        <v>198</v>
      </c>
      <c r="R170" s="216" t="s">
        <v>199</v>
      </c>
      <c r="S170" s="216">
        <v>0</v>
      </c>
      <c r="T170" s="13" t="s">
        <v>200</v>
      </c>
      <c r="U170" s="13" t="s">
        <v>674</v>
      </c>
      <c r="V170" s="197" t="s">
        <v>675</v>
      </c>
      <c r="W170" s="13" t="s">
        <v>676</v>
      </c>
      <c r="X170" s="13" t="s">
        <v>677</v>
      </c>
      <c r="Y170" s="13"/>
      <c r="Z170" s="13"/>
    </row>
    <row r="171" spans="1:26" ht="12.75" customHeight="1" x14ac:dyDescent="0.2">
      <c r="A171" s="8" t="s">
        <v>143</v>
      </c>
      <c r="B171" s="8" t="str">
        <f t="shared" si="36"/>
        <v>Old World Alliance5</v>
      </c>
      <c r="C171" s="197" t="s">
        <v>286</v>
      </c>
      <c r="D171" s="8" t="str">
        <f t="shared" si="1"/>
        <v>Old World AllianceBlitzer</v>
      </c>
      <c r="E171" s="197">
        <v>7</v>
      </c>
      <c r="F171" s="197">
        <v>3</v>
      </c>
      <c r="G171" s="197">
        <v>3</v>
      </c>
      <c r="H171" s="197">
        <v>4</v>
      </c>
      <c r="I171" s="197">
        <v>9</v>
      </c>
      <c r="J171" s="8" t="str">
        <f>IF(Roster!$K$25="Español",V171,(IF(Roster!$K$25="Deutsch",W171,(IF(Roster!$K$25="Français",X171,U171)))))</f>
        <v>Animosity (all Dwarf and Halfling team-mates), Block</v>
      </c>
      <c r="K171" s="216">
        <v>90000</v>
      </c>
      <c r="L171" s="7">
        <f t="shared" si="35"/>
        <v>90</v>
      </c>
      <c r="M171" s="197">
        <v>1</v>
      </c>
      <c r="N171" s="197">
        <v>0</v>
      </c>
      <c r="O171" s="216" t="s">
        <v>199</v>
      </c>
      <c r="P171" s="216" t="s">
        <v>198</v>
      </c>
      <c r="Q171" s="216" t="s">
        <v>199</v>
      </c>
      <c r="R171" s="216">
        <v>0</v>
      </c>
      <c r="S171" s="216">
        <v>0</v>
      </c>
      <c r="T171" s="13" t="str">
        <f>IF(AND(R172&lt;&gt;0,S172&lt;&gt;0),"FULL",(IF(AND(R172=0,S172=0),"PM",IF(R172=0,"P",(IF(S172=0,"M"))))))</f>
        <v>PM</v>
      </c>
      <c r="U171" s="13" t="s">
        <v>678</v>
      </c>
      <c r="V171" s="197" t="s">
        <v>679</v>
      </c>
      <c r="W171" s="13" t="s">
        <v>680</v>
      </c>
      <c r="X171" s="13" t="s">
        <v>681</v>
      </c>
      <c r="Y171" s="13"/>
      <c r="Z171" s="13"/>
    </row>
    <row r="172" spans="1:26" ht="12.75" customHeight="1" x14ac:dyDescent="0.2">
      <c r="A172" s="8" t="s">
        <v>143</v>
      </c>
      <c r="B172" s="8" t="str">
        <f t="shared" si="36"/>
        <v>Old World Alliance6</v>
      </c>
      <c r="C172" s="197" t="s">
        <v>490</v>
      </c>
      <c r="D172" s="8" t="str">
        <f t="shared" si="1"/>
        <v>Old World AllianceHalfling Hopeful</v>
      </c>
      <c r="E172" s="197">
        <v>5</v>
      </c>
      <c r="F172" s="197">
        <v>2</v>
      </c>
      <c r="G172" s="197">
        <v>3</v>
      </c>
      <c r="H172" s="197">
        <v>4</v>
      </c>
      <c r="I172" s="197">
        <v>7</v>
      </c>
      <c r="J172" s="8" t="str">
        <f>IF(Roster!$K$25="Español",V172,(IF(Roster!$K$25="Deutsch",W172,(IF(Roster!$K$25="Français",X172,U172)))))</f>
        <v>Animosity (all Dwarf and Human team-mates), Dodge, Right Stuff, Stunty</v>
      </c>
      <c r="K172" s="216">
        <v>30000</v>
      </c>
      <c r="L172" s="7">
        <f t="shared" si="35"/>
        <v>30</v>
      </c>
      <c r="M172" s="197">
        <v>2</v>
      </c>
      <c r="N172" s="197">
        <v>0</v>
      </c>
      <c r="O172" s="216" t="s">
        <v>198</v>
      </c>
      <c r="P172" s="216" t="s">
        <v>199</v>
      </c>
      <c r="Q172" s="216" t="s">
        <v>198</v>
      </c>
      <c r="R172" s="216">
        <v>0</v>
      </c>
      <c r="S172" s="216">
        <v>0</v>
      </c>
      <c r="T172" s="13" t="str">
        <f>IF(AND(R173&lt;&gt;0,S173&lt;&gt;0),"FULL",(IF(AND(R173=0,S173=0),"PM",IF(R173=0,"P",(IF(S173=0,"M"))))))</f>
        <v>PM</v>
      </c>
      <c r="U172" s="13" t="s">
        <v>682</v>
      </c>
      <c r="V172" s="197" t="s">
        <v>683</v>
      </c>
      <c r="W172" s="13" t="s">
        <v>684</v>
      </c>
      <c r="X172" s="13" t="s">
        <v>685</v>
      </c>
      <c r="Y172" s="13"/>
      <c r="Z172" s="13"/>
    </row>
    <row r="173" spans="1:26" ht="12.75" customHeight="1" x14ac:dyDescent="0.2">
      <c r="A173" s="8" t="s">
        <v>143</v>
      </c>
      <c r="B173" s="8" t="str">
        <f t="shared" si="36"/>
        <v>Old World Alliance7</v>
      </c>
      <c r="C173" s="197" t="s">
        <v>686</v>
      </c>
      <c r="D173" s="8" t="str">
        <f t="shared" si="1"/>
        <v>Old World AllianceDwarf Blocker</v>
      </c>
      <c r="E173" s="197">
        <v>4</v>
      </c>
      <c r="F173" s="197">
        <v>3</v>
      </c>
      <c r="G173" s="197">
        <v>4</v>
      </c>
      <c r="H173" s="197">
        <v>5</v>
      </c>
      <c r="I173" s="197">
        <v>10</v>
      </c>
      <c r="J173" s="8" t="str">
        <f>IF(Roster!$K$25="Español",V173,(IF(Roster!$K$25="Deutsch",W173,(IF(Roster!$K$25="Français",X173,U173)))))</f>
        <v>Arm Bar, Brawler, Loner (3+), Thick Skull</v>
      </c>
      <c r="K173" s="216">
        <v>75000</v>
      </c>
      <c r="L173" s="7">
        <f t="shared" si="35"/>
        <v>75</v>
      </c>
      <c r="M173" s="271">
        <v>2</v>
      </c>
      <c r="N173" s="271">
        <v>0</v>
      </c>
      <c r="O173" s="216" t="s">
        <v>199</v>
      </c>
      <c r="P173" s="216" t="s">
        <v>198</v>
      </c>
      <c r="Q173" s="216" t="s">
        <v>199</v>
      </c>
      <c r="R173" s="216">
        <v>0</v>
      </c>
      <c r="S173" s="216">
        <v>0</v>
      </c>
      <c r="T173" s="13" t="s">
        <v>226</v>
      </c>
      <c r="U173" s="13" t="s">
        <v>687</v>
      </c>
      <c r="V173" s="197" t="s">
        <v>688</v>
      </c>
      <c r="W173" s="13" t="s">
        <v>689</v>
      </c>
      <c r="X173" s="13" t="s">
        <v>690</v>
      </c>
      <c r="Y173" s="13"/>
      <c r="Z173" s="13"/>
    </row>
    <row r="174" spans="1:26" ht="12.75" customHeight="1" x14ac:dyDescent="0.2">
      <c r="A174" s="8" t="s">
        <v>143</v>
      </c>
      <c r="B174" s="8" t="str">
        <f t="shared" si="36"/>
        <v>Old World Alliance8</v>
      </c>
      <c r="C174" s="197" t="s">
        <v>691</v>
      </c>
      <c r="D174" s="8" t="str">
        <f t="shared" si="1"/>
        <v>Old World AllianceDwarf Runner</v>
      </c>
      <c r="E174" s="197">
        <v>6</v>
      </c>
      <c r="F174" s="197">
        <v>3</v>
      </c>
      <c r="G174" s="197">
        <v>3</v>
      </c>
      <c r="H174" s="197">
        <v>4</v>
      </c>
      <c r="I174" s="197">
        <v>9</v>
      </c>
      <c r="J174" s="8" t="str">
        <f>IF(Roster!$K$25="Español",V174,(IF(Roster!$K$25="Deutsch",W174,(IF(Roster!$K$25="Français",X174,U174)))))</f>
        <v>Loner (3+), Sure Hands, Thick Skull</v>
      </c>
      <c r="K174" s="216">
        <v>85000</v>
      </c>
      <c r="L174" s="7">
        <f t="shared" si="35"/>
        <v>85</v>
      </c>
      <c r="M174" s="216">
        <v>1</v>
      </c>
      <c r="N174" s="216">
        <v>0</v>
      </c>
      <c r="O174" s="216" t="s">
        <v>199</v>
      </c>
      <c r="P174" s="216" t="s">
        <v>198</v>
      </c>
      <c r="Q174" s="216" t="s">
        <v>198</v>
      </c>
      <c r="R174" s="216" t="s">
        <v>199</v>
      </c>
      <c r="S174" s="216">
        <v>0</v>
      </c>
      <c r="T174" s="13" t="s">
        <v>200</v>
      </c>
      <c r="U174" s="13" t="s">
        <v>692</v>
      </c>
      <c r="V174" s="197" t="s">
        <v>693</v>
      </c>
      <c r="W174" s="13" t="s">
        <v>694</v>
      </c>
      <c r="X174" s="13" t="s">
        <v>695</v>
      </c>
      <c r="Y174" s="13"/>
      <c r="Z174" s="13"/>
    </row>
    <row r="175" spans="1:26" ht="12.75" customHeight="1" x14ac:dyDescent="0.2">
      <c r="A175" s="8" t="s">
        <v>143</v>
      </c>
      <c r="B175" s="8" t="str">
        <f t="shared" si="36"/>
        <v>Old World Alliance9</v>
      </c>
      <c r="C175" s="197" t="s">
        <v>696</v>
      </c>
      <c r="D175" s="8" t="str">
        <f t="shared" si="1"/>
        <v>Old World AllianceDwarf Blitzer</v>
      </c>
      <c r="E175" s="197">
        <v>5</v>
      </c>
      <c r="F175" s="197">
        <v>3</v>
      </c>
      <c r="G175" s="197">
        <v>3</v>
      </c>
      <c r="H175" s="197">
        <v>4</v>
      </c>
      <c r="I175" s="197">
        <v>10</v>
      </c>
      <c r="J175" s="8" t="str">
        <f>IF(Roster!$K$25="Español",V175,(IF(Roster!$K$25="Deutsch",W175,(IF(Roster!$K$25="Français",X175,U175)))))</f>
        <v>Block, Loner (3+), Thick Skull</v>
      </c>
      <c r="K175" s="216">
        <v>80000</v>
      </c>
      <c r="L175" s="7">
        <f t="shared" si="35"/>
        <v>80</v>
      </c>
      <c r="M175" s="216">
        <v>1</v>
      </c>
      <c r="N175" s="216">
        <v>0</v>
      </c>
      <c r="O175" s="216" t="s">
        <v>199</v>
      </c>
      <c r="P175" s="216" t="s">
        <v>198</v>
      </c>
      <c r="Q175" s="216" t="s">
        <v>199</v>
      </c>
      <c r="R175" s="216">
        <v>0</v>
      </c>
      <c r="S175" s="216">
        <v>0</v>
      </c>
      <c r="T175" s="13" t="str">
        <f>IF(AND(R176&lt;&gt;0,S176&lt;&gt;0),"FULL",(IF(AND(R176=0,S176=0),"PM",IF(R176=0,"P",(IF(S176=0,"M"))))))</f>
        <v>PM</v>
      </c>
      <c r="U175" s="13" t="s">
        <v>697</v>
      </c>
      <c r="V175" s="197" t="s">
        <v>698</v>
      </c>
      <c r="W175" s="13" t="s">
        <v>699</v>
      </c>
      <c r="X175" s="13" t="s">
        <v>700</v>
      </c>
      <c r="Y175" s="13"/>
      <c r="Z175" s="13"/>
    </row>
    <row r="176" spans="1:26" ht="12.75" customHeight="1" x14ac:dyDescent="0.2">
      <c r="A176" s="8" t="s">
        <v>143</v>
      </c>
      <c r="B176" s="8" t="str">
        <f t="shared" si="36"/>
        <v>Old World Alliance10</v>
      </c>
      <c r="C176" s="197" t="s">
        <v>701</v>
      </c>
      <c r="D176" s="8" t="str">
        <f t="shared" si="1"/>
        <v>Old World AllianceDwarf Troll Slayer</v>
      </c>
      <c r="E176" s="197">
        <v>5</v>
      </c>
      <c r="F176" s="197">
        <v>3</v>
      </c>
      <c r="G176" s="197">
        <v>4</v>
      </c>
      <c r="H176" s="197">
        <v>0</v>
      </c>
      <c r="I176" s="197">
        <v>9</v>
      </c>
      <c r="J176" s="8" t="str">
        <f>IF(Roster!$K$25="Español",V176,(IF(Roster!$K$25="Deutsch",W176,(IF(Roster!$K$25="Français",X176,U176)))))</f>
        <v>Block, Dauntless, Frenzy, Loner (3+), Thick Skull</v>
      </c>
      <c r="K176" s="216">
        <v>95000</v>
      </c>
      <c r="L176" s="7">
        <f t="shared" si="35"/>
        <v>95</v>
      </c>
      <c r="M176" s="216">
        <v>1</v>
      </c>
      <c r="N176" s="216">
        <v>0</v>
      </c>
      <c r="O176" s="216" t="s">
        <v>199</v>
      </c>
      <c r="P176" s="216" t="s">
        <v>198</v>
      </c>
      <c r="Q176" s="216" t="s">
        <v>199</v>
      </c>
      <c r="R176" s="226">
        <v>0</v>
      </c>
      <c r="S176" s="216">
        <v>0</v>
      </c>
      <c r="T176" s="13" t="s">
        <v>226</v>
      </c>
      <c r="U176" s="13" t="s">
        <v>702</v>
      </c>
      <c r="V176" s="13" t="s">
        <v>703</v>
      </c>
      <c r="W176" s="13" t="s">
        <v>704</v>
      </c>
      <c r="X176" s="13" t="s">
        <v>705</v>
      </c>
      <c r="Y176" s="13"/>
      <c r="Z176" s="13"/>
    </row>
    <row r="177" spans="1:26" ht="12.75" customHeight="1" x14ac:dyDescent="0.2">
      <c r="A177" s="8" t="s">
        <v>143</v>
      </c>
      <c r="B177" s="8" t="str">
        <f t="shared" si="36"/>
        <v>Old World Alliance11</v>
      </c>
      <c r="C177" s="197" t="s">
        <v>137</v>
      </c>
      <c r="D177" s="8" t="str">
        <f t="shared" si="1"/>
        <v>Old World AllianceOgre</v>
      </c>
      <c r="E177" s="197">
        <v>5</v>
      </c>
      <c r="F177" s="197">
        <v>5</v>
      </c>
      <c r="G177" s="197">
        <v>4</v>
      </c>
      <c r="H177" s="197">
        <v>5</v>
      </c>
      <c r="I177" s="197">
        <v>10</v>
      </c>
      <c r="J177" s="8" t="str">
        <f>IF(Roster!$K$25="Español",V177,(IF(Roster!$K$25="Deutsch",W177,(IF(Roster!$K$25="Français",X177,U177)))))</f>
        <v>Bone Head, Loner (4+), Mighty Blow (+1), Thick Skull, Throw Team-mate</v>
      </c>
      <c r="K177" s="216">
        <v>140000</v>
      </c>
      <c r="L177" s="7">
        <f t="shared" si="35"/>
        <v>140</v>
      </c>
      <c r="M177" s="197">
        <v>1</v>
      </c>
      <c r="N177" s="197">
        <v>1</v>
      </c>
      <c r="O177" s="216" t="s">
        <v>198</v>
      </c>
      <c r="P177" s="216" t="s">
        <v>198</v>
      </c>
      <c r="Q177" s="216" t="s">
        <v>199</v>
      </c>
      <c r="R177" s="216">
        <v>0</v>
      </c>
      <c r="S177" s="216">
        <v>0</v>
      </c>
      <c r="T177" s="13" t="s">
        <v>226</v>
      </c>
      <c r="U177" s="13" t="s">
        <v>326</v>
      </c>
      <c r="V177" s="13" t="s">
        <v>327</v>
      </c>
      <c r="W177" s="13" t="s">
        <v>328</v>
      </c>
      <c r="X177" s="13" t="s">
        <v>329</v>
      </c>
      <c r="Y177" s="13"/>
      <c r="Z177" s="13"/>
    </row>
    <row r="178" spans="1:26" ht="12.75" customHeight="1" x14ac:dyDescent="0.2">
      <c r="A178" s="8" t="s">
        <v>143</v>
      </c>
      <c r="B178" s="8" t="str">
        <f t="shared" si="36"/>
        <v>Old World Alliance12</v>
      </c>
      <c r="C178" s="197" t="s">
        <v>501</v>
      </c>
      <c r="D178" s="8" t="str">
        <f t="shared" si="1"/>
        <v>Old World AllianceForest Treeman</v>
      </c>
      <c r="E178" s="197">
        <v>2</v>
      </c>
      <c r="F178" s="197">
        <v>6</v>
      </c>
      <c r="G178" s="197">
        <v>5</v>
      </c>
      <c r="H178" s="197">
        <v>5</v>
      </c>
      <c r="I178" s="197">
        <v>11</v>
      </c>
      <c r="J178" s="8" t="str">
        <f>IF(Roster!$K$25="Español",V178,(IF(Roster!$K$25="Deutsch",W178,(IF(Roster!$K$25="Français",X178,U178)))))</f>
        <v>Mighty Blow (+1), Loner (4+), Stand Firm, Strong Arm, Take Root, Thick Skull, Throw Team-mate, Timmm-ber!</v>
      </c>
      <c r="K178" s="216">
        <v>120000</v>
      </c>
      <c r="L178" s="7">
        <f t="shared" si="35"/>
        <v>120</v>
      </c>
      <c r="M178" s="216">
        <v>1</v>
      </c>
      <c r="N178" s="216">
        <v>1</v>
      </c>
      <c r="O178" s="216" t="s">
        <v>198</v>
      </c>
      <c r="P178" s="216" t="s">
        <v>198</v>
      </c>
      <c r="Q178" s="216" t="s">
        <v>199</v>
      </c>
      <c r="R178" s="216" t="s">
        <v>198</v>
      </c>
      <c r="S178" s="216">
        <v>0</v>
      </c>
      <c r="T178" s="13" t="s">
        <v>200</v>
      </c>
      <c r="U178" s="50" t="s">
        <v>706</v>
      </c>
      <c r="V178" s="50" t="s">
        <v>707</v>
      </c>
      <c r="W178" s="50" t="s">
        <v>708</v>
      </c>
      <c r="X178" s="276" t="s">
        <v>709</v>
      </c>
      <c r="Y178" s="13"/>
      <c r="Z178" s="13"/>
    </row>
    <row r="179" spans="1:26" ht="12.75" customHeight="1" x14ac:dyDescent="0.2">
      <c r="A179" s="8" t="s">
        <v>143</v>
      </c>
      <c r="B179" s="8" t="str">
        <f t="shared" si="36"/>
        <v>Old World Alliance13</v>
      </c>
      <c r="C179" s="197" t="s">
        <v>522</v>
      </c>
      <c r="D179" s="8" t="str">
        <f t="shared" si="1"/>
        <v>Old World AllianceJourneyman</v>
      </c>
      <c r="E179" s="197">
        <v>6</v>
      </c>
      <c r="F179" s="197">
        <v>3</v>
      </c>
      <c r="G179" s="197">
        <v>3</v>
      </c>
      <c r="H179" s="197">
        <v>4</v>
      </c>
      <c r="I179" s="197">
        <v>9</v>
      </c>
      <c r="J179" s="8" t="str">
        <f>IF(Roster!$K$25="Español",V179,(IF(Roster!$K$25="Deutsch",W179,(IF(Roster!$K$25="Français",X179,U179)))))</f>
        <v>Loner (4+)</v>
      </c>
      <c r="K179" s="216">
        <v>0</v>
      </c>
      <c r="L179" s="7">
        <v>50</v>
      </c>
      <c r="M179" s="197">
        <v>11</v>
      </c>
      <c r="N179" s="197">
        <v>0</v>
      </c>
      <c r="O179" s="216" t="s">
        <v>199</v>
      </c>
      <c r="P179" s="216" t="s">
        <v>198</v>
      </c>
      <c r="Q179" s="216" t="s">
        <v>198</v>
      </c>
      <c r="R179" s="216">
        <v>0</v>
      </c>
      <c r="S179" s="216">
        <v>0</v>
      </c>
      <c r="T179" s="13" t="str">
        <f>IF(AND(R180&lt;&gt;0,S180&lt;&gt;0),"FULL",(IF(AND(R180=0,S180=0),"PM",IF(R180=0,"P",(IF(S180=0,"M"))))))</f>
        <v>PM</v>
      </c>
      <c r="U179" s="13" t="s">
        <v>357</v>
      </c>
      <c r="V179" s="13" t="s">
        <v>358</v>
      </c>
      <c r="W179" s="13" t="s">
        <v>359</v>
      </c>
      <c r="X179" s="13" t="s">
        <v>360</v>
      </c>
      <c r="Y179" s="13"/>
      <c r="Z179" s="13"/>
    </row>
    <row r="180" spans="1:26" ht="12.75" customHeight="1" x14ac:dyDescent="0.2">
      <c r="A180" s="8" t="s">
        <v>150</v>
      </c>
      <c r="B180" s="8" t="str">
        <f t="shared" si="36"/>
        <v>Orc1</v>
      </c>
      <c r="C180" s="197" t="str">
        <f>""</f>
        <v/>
      </c>
      <c r="D180" s="8" t="str">
        <f t="shared" si="1"/>
        <v>Orc</v>
      </c>
      <c r="E180" s="197">
        <v>0</v>
      </c>
      <c r="F180" s="197">
        <v>0</v>
      </c>
      <c r="G180" s="197">
        <v>0</v>
      </c>
      <c r="H180" s="197">
        <v>0</v>
      </c>
      <c r="I180" s="197">
        <v>0</v>
      </c>
      <c r="J180" s="8">
        <f>IF(Roster!$K$25="Español",V180,(IF(Roster!$K$25="Deutsch",W180,(IF(Roster!$K$25="Français",X180,U180)))))</f>
        <v>0</v>
      </c>
      <c r="K180" s="216">
        <v>0</v>
      </c>
      <c r="L180" s="7">
        <f t="shared" si="35"/>
        <v>0</v>
      </c>
      <c r="M180" s="216">
        <v>0</v>
      </c>
      <c r="N180" s="216">
        <v>0</v>
      </c>
      <c r="O180" s="216"/>
      <c r="P180" s="216"/>
      <c r="Q180" s="216"/>
      <c r="R180" s="216"/>
      <c r="S180" s="216"/>
      <c r="T180" s="13"/>
      <c r="U180" s="13">
        <v>0</v>
      </c>
      <c r="V180" s="13">
        <v>0</v>
      </c>
      <c r="W180" s="13">
        <v>0</v>
      </c>
      <c r="X180" s="13">
        <v>0</v>
      </c>
      <c r="Y180" s="13">
        <v>0</v>
      </c>
      <c r="Z180" s="13"/>
    </row>
    <row r="181" spans="1:26" ht="12.75" customHeight="1" x14ac:dyDescent="0.2">
      <c r="A181" s="8" t="s">
        <v>150</v>
      </c>
      <c r="B181" s="8" t="str">
        <f t="shared" si="36"/>
        <v>Orc2</v>
      </c>
      <c r="C181" s="197" t="s">
        <v>396</v>
      </c>
      <c r="D181" s="8" t="str">
        <f t="shared" si="1"/>
        <v>OrcLineman</v>
      </c>
      <c r="E181" s="197">
        <v>5</v>
      </c>
      <c r="F181" s="197">
        <v>3</v>
      </c>
      <c r="G181" s="197">
        <v>3</v>
      </c>
      <c r="H181" s="197">
        <v>4</v>
      </c>
      <c r="I181" s="197">
        <v>10</v>
      </c>
      <c r="J181" s="8" t="str">
        <f>IF(Roster!$K$25="Español",V181,(IF(Roster!$K$25="Deutsch",W181,(IF(Roster!$K$25="Français",X181,U181)))))</f>
        <v>Animosity (Orc Linemen)</v>
      </c>
      <c r="K181" s="216">
        <v>50000</v>
      </c>
      <c r="L181" s="7">
        <f t="shared" si="35"/>
        <v>50</v>
      </c>
      <c r="M181" s="197">
        <v>16</v>
      </c>
      <c r="N181" s="197">
        <v>0</v>
      </c>
      <c r="O181" s="216" t="s">
        <v>199</v>
      </c>
      <c r="P181" s="216" t="s">
        <v>198</v>
      </c>
      <c r="Q181" s="216" t="s">
        <v>198</v>
      </c>
      <c r="R181" s="216">
        <v>0</v>
      </c>
      <c r="S181" s="216">
        <v>0</v>
      </c>
      <c r="T181" s="13" t="str">
        <f>IF(AND(R182&lt;&gt;0,S182&lt;&gt;0),"FULL",(IF(AND(R182=0,S182=0),"PM",IF(R182=0,"P",(IF(S182=0,"M"))))))</f>
        <v>PM</v>
      </c>
      <c r="U181" s="13" t="s">
        <v>710</v>
      </c>
      <c r="V181" s="13" t="s">
        <v>711</v>
      </c>
      <c r="W181" s="13" t="s">
        <v>712</v>
      </c>
      <c r="X181" s="13" t="s">
        <v>713</v>
      </c>
      <c r="Y181" s="13"/>
      <c r="Z181" s="13"/>
    </row>
    <row r="182" spans="1:26" ht="12.75" customHeight="1" x14ac:dyDescent="0.2">
      <c r="A182" s="8" t="s">
        <v>150</v>
      </c>
      <c r="B182" s="8" t="str">
        <f t="shared" si="36"/>
        <v>Orc3</v>
      </c>
      <c r="C182" s="197" t="s">
        <v>714</v>
      </c>
      <c r="D182" s="8" t="str">
        <f t="shared" si="1"/>
        <v xml:space="preserve">OrcGoblin </v>
      </c>
      <c r="E182" s="197">
        <v>6</v>
      </c>
      <c r="F182" s="197">
        <v>2</v>
      </c>
      <c r="G182" s="197">
        <v>3</v>
      </c>
      <c r="H182" s="197">
        <v>4</v>
      </c>
      <c r="I182" s="197">
        <v>8</v>
      </c>
      <c r="J182" s="8" t="str">
        <f>IF(Roster!$K$25="Español",V182,(IF(Roster!$K$25="Deutsch",W182,(IF(Roster!$K$25="Français",X182,U182)))))</f>
        <v>Dodge, Right Stuff, Stunty</v>
      </c>
      <c r="K182" s="216">
        <v>40000</v>
      </c>
      <c r="L182" s="7">
        <f t="shared" si="35"/>
        <v>40</v>
      </c>
      <c r="M182" s="197">
        <v>4</v>
      </c>
      <c r="N182" s="197">
        <v>0</v>
      </c>
      <c r="O182" s="216" t="s">
        <v>198</v>
      </c>
      <c r="P182" s="216" t="s">
        <v>199</v>
      </c>
      <c r="Q182" s="216" t="s">
        <v>198</v>
      </c>
      <c r="R182" s="216">
        <v>0</v>
      </c>
      <c r="S182" s="216">
        <v>0</v>
      </c>
      <c r="T182" s="13" t="s">
        <v>226</v>
      </c>
      <c r="U182" s="13" t="s">
        <v>451</v>
      </c>
      <c r="V182" s="13" t="s">
        <v>452</v>
      </c>
      <c r="W182" s="13" t="s">
        <v>453</v>
      </c>
      <c r="X182" s="13" t="s">
        <v>454</v>
      </c>
      <c r="Y182" s="13"/>
      <c r="Z182" s="13"/>
    </row>
    <row r="183" spans="1:26" ht="12.75" customHeight="1" x14ac:dyDescent="0.2">
      <c r="A183" s="8" t="s">
        <v>150</v>
      </c>
      <c r="B183" s="8" t="str">
        <f t="shared" si="36"/>
        <v>Orc4</v>
      </c>
      <c r="C183" s="197" t="s">
        <v>276</v>
      </c>
      <c r="D183" s="8" t="str">
        <f t="shared" si="1"/>
        <v>OrcThrower</v>
      </c>
      <c r="E183" s="197">
        <v>5</v>
      </c>
      <c r="F183" s="197">
        <v>3</v>
      </c>
      <c r="G183" s="197">
        <v>3</v>
      </c>
      <c r="H183" s="197">
        <v>3</v>
      </c>
      <c r="I183" s="197">
        <v>9</v>
      </c>
      <c r="J183" s="8" t="str">
        <f>IF(Roster!$K$25="Español",V183,(IF(Roster!$K$25="Deutsch",W183,(IF(Roster!$K$25="Français",X183,U183)))))</f>
        <v>Animosity (all team), Pass, Sure Hands</v>
      </c>
      <c r="K183" s="216">
        <v>65000</v>
      </c>
      <c r="L183" s="7">
        <f t="shared" si="35"/>
        <v>65</v>
      </c>
      <c r="M183" s="197">
        <v>2</v>
      </c>
      <c r="N183" s="197">
        <v>0</v>
      </c>
      <c r="O183" s="216" t="s">
        <v>199</v>
      </c>
      <c r="P183" s="216" t="s">
        <v>198</v>
      </c>
      <c r="Q183" s="216" t="s">
        <v>199</v>
      </c>
      <c r="R183" s="216" t="s">
        <v>199</v>
      </c>
      <c r="S183" s="216">
        <v>0</v>
      </c>
      <c r="T183" s="13" t="s">
        <v>200</v>
      </c>
      <c r="U183" s="13" t="s">
        <v>1373</v>
      </c>
      <c r="V183" s="13" t="s">
        <v>715</v>
      </c>
      <c r="W183" s="13" t="s">
        <v>716</v>
      </c>
      <c r="X183" s="13" t="s">
        <v>717</v>
      </c>
      <c r="Y183" s="13"/>
      <c r="Z183" s="13"/>
    </row>
    <row r="184" spans="1:26" ht="12.75" customHeight="1" x14ac:dyDescent="0.2">
      <c r="A184" s="8" t="s">
        <v>150</v>
      </c>
      <c r="B184" s="8" t="str">
        <f t="shared" si="36"/>
        <v>Orc5</v>
      </c>
      <c r="C184" s="197" t="s">
        <v>718</v>
      </c>
      <c r="D184" s="8" t="str">
        <f t="shared" si="1"/>
        <v>OrcBig Un</v>
      </c>
      <c r="E184" s="197">
        <v>5</v>
      </c>
      <c r="F184" s="197">
        <v>4</v>
      </c>
      <c r="G184" s="197">
        <v>4</v>
      </c>
      <c r="H184" s="197">
        <v>0</v>
      </c>
      <c r="I184" s="197">
        <v>10</v>
      </c>
      <c r="J184" s="8" t="str">
        <f>IF(Roster!$K$25="Español",V184,(IF(Roster!$K$25="Deutsch",W184,(IF(Roster!$K$25="Français",X184,U184)))))</f>
        <v>Animosity (Big Un Blockers)</v>
      </c>
      <c r="K184" s="216">
        <v>90000</v>
      </c>
      <c r="L184" s="7">
        <f t="shared" si="35"/>
        <v>90</v>
      </c>
      <c r="M184" s="197">
        <v>4</v>
      </c>
      <c r="N184" s="197">
        <v>0</v>
      </c>
      <c r="O184" s="216" t="s">
        <v>199</v>
      </c>
      <c r="P184" s="216" t="s">
        <v>198</v>
      </c>
      <c r="Q184" s="216" t="s">
        <v>199</v>
      </c>
      <c r="R184" s="226">
        <v>0</v>
      </c>
      <c r="S184" s="216">
        <v>0</v>
      </c>
      <c r="T184" s="13" t="s">
        <v>226</v>
      </c>
      <c r="U184" s="13" t="s">
        <v>719</v>
      </c>
      <c r="V184" s="13" t="s">
        <v>720</v>
      </c>
      <c r="W184" s="13" t="s">
        <v>721</v>
      </c>
      <c r="X184" s="13" t="s">
        <v>722</v>
      </c>
      <c r="Y184" s="13"/>
      <c r="Z184" s="13"/>
    </row>
    <row r="185" spans="1:26" ht="12.75" customHeight="1" x14ac:dyDescent="0.2">
      <c r="A185" s="8" t="s">
        <v>150</v>
      </c>
      <c r="B185" s="8" t="str">
        <f t="shared" si="36"/>
        <v>Orc6</v>
      </c>
      <c r="C185" s="197" t="s">
        <v>286</v>
      </c>
      <c r="D185" s="8" t="str">
        <f t="shared" si="1"/>
        <v>OrcBlitzer</v>
      </c>
      <c r="E185" s="197">
        <v>6</v>
      </c>
      <c r="F185" s="197">
        <v>3</v>
      </c>
      <c r="G185" s="197">
        <v>3</v>
      </c>
      <c r="H185" s="197">
        <v>4</v>
      </c>
      <c r="I185" s="197">
        <v>10</v>
      </c>
      <c r="J185" s="8" t="str">
        <f>IF(Roster!$K$25="Español",V185,(IF(Roster!$K$25="Deutsch",W185,(IF(Roster!$K$25="Français",X185,U185)))))</f>
        <v>Animosity (all team), Block</v>
      </c>
      <c r="K185" s="216">
        <v>80000</v>
      </c>
      <c r="L185" s="7">
        <f t="shared" si="35"/>
        <v>80</v>
      </c>
      <c r="M185" s="197">
        <v>4</v>
      </c>
      <c r="N185" s="197">
        <v>0</v>
      </c>
      <c r="O185" s="216" t="s">
        <v>199</v>
      </c>
      <c r="P185" s="216" t="s">
        <v>198</v>
      </c>
      <c r="Q185" s="216" t="s">
        <v>199</v>
      </c>
      <c r="R185" s="216" t="s">
        <v>198</v>
      </c>
      <c r="S185" s="216">
        <v>0</v>
      </c>
      <c r="T185" s="13" t="str">
        <f>IF(AND(R186&lt;&gt;0,S186&lt;&gt;0),"FULL",(IF(AND(R186=0,S186=0),"PM",IF(R186=0,"P",(IF(S186=0,"M"))))))</f>
        <v>M</v>
      </c>
      <c r="U185" s="13" t="s">
        <v>1374</v>
      </c>
      <c r="V185" s="197" t="s">
        <v>723</v>
      </c>
      <c r="W185" s="13" t="s">
        <v>724</v>
      </c>
      <c r="X185" s="13" t="s">
        <v>725</v>
      </c>
      <c r="Y185" s="13"/>
      <c r="Z185" s="13"/>
    </row>
    <row r="186" spans="1:26" ht="12.75" customHeight="1" x14ac:dyDescent="0.2">
      <c r="A186" s="8" t="s">
        <v>150</v>
      </c>
      <c r="B186" s="8" t="str">
        <f t="shared" si="36"/>
        <v>Orc7</v>
      </c>
      <c r="C186" s="197" t="s">
        <v>726</v>
      </c>
      <c r="D186" s="8" t="str">
        <f t="shared" si="1"/>
        <v>OrcUntrained Troll</v>
      </c>
      <c r="E186" s="197">
        <v>4</v>
      </c>
      <c r="F186" s="197">
        <v>5</v>
      </c>
      <c r="G186" s="197">
        <v>5</v>
      </c>
      <c r="H186" s="197">
        <v>5</v>
      </c>
      <c r="I186" s="197">
        <v>10</v>
      </c>
      <c r="J186" s="8" t="str">
        <f>IF(Roster!$K$25="Español",V186,(IF(Roster!$K$25="Deutsch",W186,(IF(Roster!$K$25="Français",X186,U186)))))</f>
        <v>Always Hungry, Loner (4+), Mighty Blow (+1), Projectile Vomit, Really Stupid, Regeneration, Throw Team-mate</v>
      </c>
      <c r="K186" s="216">
        <v>115000</v>
      </c>
      <c r="L186" s="7">
        <f t="shared" si="35"/>
        <v>115</v>
      </c>
      <c r="M186" s="197">
        <v>1</v>
      </c>
      <c r="N186" s="197">
        <v>1</v>
      </c>
      <c r="O186" s="216" t="s">
        <v>198</v>
      </c>
      <c r="P186" s="216" t="s">
        <v>198</v>
      </c>
      <c r="Q186" s="216" t="s">
        <v>199</v>
      </c>
      <c r="R186" s="216" t="s">
        <v>198</v>
      </c>
      <c r="S186" s="216">
        <v>0</v>
      </c>
      <c r="T186" s="13" t="s">
        <v>200</v>
      </c>
      <c r="U186" s="13" t="s">
        <v>321</v>
      </c>
      <c r="V186" s="197" t="s">
        <v>322</v>
      </c>
      <c r="W186" s="13" t="s">
        <v>323</v>
      </c>
      <c r="X186" s="13" t="s">
        <v>324</v>
      </c>
      <c r="Y186" s="13"/>
      <c r="Z186" s="13"/>
    </row>
    <row r="187" spans="1:26" ht="12.75" customHeight="1" x14ac:dyDescent="0.2">
      <c r="A187" s="8" t="s">
        <v>150</v>
      </c>
      <c r="B187" s="8" t="str">
        <f t="shared" si="36"/>
        <v>Orc8</v>
      </c>
      <c r="C187" s="197" t="s">
        <v>727</v>
      </c>
      <c r="D187" s="8" t="str">
        <f t="shared" si="1"/>
        <v>OrcJourney Orc</v>
      </c>
      <c r="E187" s="197">
        <v>5</v>
      </c>
      <c r="F187" s="197">
        <v>3</v>
      </c>
      <c r="G187" s="197">
        <v>3</v>
      </c>
      <c r="H187" s="197">
        <v>4</v>
      </c>
      <c r="I187" s="197">
        <v>10</v>
      </c>
      <c r="J187" s="8" t="str">
        <f>IF(Roster!$K$25="Español",V187,(IF(Roster!$K$25="Deutsch",W187,(IF(Roster!$K$25="Français",X187,U187)))))</f>
        <v>Loner (4+), Animosity (Orc Linemen)</v>
      </c>
      <c r="K187" s="216">
        <v>0</v>
      </c>
      <c r="L187" s="7">
        <v>50</v>
      </c>
      <c r="M187" s="197">
        <v>11</v>
      </c>
      <c r="N187" s="197">
        <v>0</v>
      </c>
      <c r="O187" s="216" t="s">
        <v>199</v>
      </c>
      <c r="P187" s="216" t="s">
        <v>198</v>
      </c>
      <c r="Q187" s="216" t="s">
        <v>198</v>
      </c>
      <c r="R187" s="216">
        <v>0</v>
      </c>
      <c r="S187" s="216">
        <v>0</v>
      </c>
      <c r="T187" s="13" t="str">
        <f>IF(AND(R188&lt;&gt;0,S188&lt;&gt;0),"FULL",(IF(AND(R188=0,S188=0),"PM",IF(R188=0,"P",(IF(S188=0,"M"))))))</f>
        <v>PM</v>
      </c>
      <c r="U187" s="13" t="s">
        <v>728</v>
      </c>
      <c r="V187" s="13" t="s">
        <v>729</v>
      </c>
      <c r="W187" s="13" t="s">
        <v>730</v>
      </c>
      <c r="X187" s="13" t="s">
        <v>731</v>
      </c>
      <c r="Y187" s="13"/>
      <c r="Z187" s="13"/>
    </row>
    <row r="188" spans="1:26" ht="12.75" customHeight="1" x14ac:dyDescent="0.2">
      <c r="A188" s="8" t="s">
        <v>155</v>
      </c>
      <c r="B188" s="8" t="str">
        <f t="shared" si="36"/>
        <v>Shambling Undead1</v>
      </c>
      <c r="C188" s="197" t="str">
        <f>""</f>
        <v/>
      </c>
      <c r="D188" s="8" t="str">
        <f t="shared" si="1"/>
        <v>Shambling Undead</v>
      </c>
      <c r="E188" s="197">
        <v>0</v>
      </c>
      <c r="F188" s="197">
        <v>0</v>
      </c>
      <c r="G188" s="197">
        <v>0</v>
      </c>
      <c r="H188" s="197">
        <v>0</v>
      </c>
      <c r="I188" s="197">
        <v>0</v>
      </c>
      <c r="J188" s="8">
        <f>IF(Roster!$K$25="Español",V188,(IF(Roster!$K$25="Deutsch",W188,(IF(Roster!$K$25="Français",X188,U188)))))</f>
        <v>0</v>
      </c>
      <c r="K188" s="216">
        <v>0</v>
      </c>
      <c r="L188" s="7">
        <f t="shared" si="35"/>
        <v>0</v>
      </c>
      <c r="M188" s="216">
        <v>0</v>
      </c>
      <c r="N188" s="216">
        <v>0</v>
      </c>
      <c r="O188" s="216"/>
      <c r="P188" s="216"/>
      <c r="Q188" s="216"/>
      <c r="R188" s="216"/>
      <c r="S188" s="216"/>
      <c r="T188" s="13"/>
      <c r="U188" s="13">
        <v>0</v>
      </c>
      <c r="V188" s="13">
        <v>0</v>
      </c>
      <c r="W188" s="13">
        <v>0</v>
      </c>
      <c r="X188" s="13">
        <v>0</v>
      </c>
      <c r="Y188" s="13">
        <v>0</v>
      </c>
      <c r="Z188" s="13"/>
    </row>
    <row r="189" spans="1:26" ht="12.75" customHeight="1" x14ac:dyDescent="0.2">
      <c r="A189" s="8" t="s">
        <v>155</v>
      </c>
      <c r="B189" s="8" t="str">
        <f t="shared" si="36"/>
        <v>Shambling Undead2</v>
      </c>
      <c r="C189" s="197" t="s">
        <v>732</v>
      </c>
      <c r="D189" s="8" t="str">
        <f t="shared" si="1"/>
        <v>Shambling UndeadSkeleton</v>
      </c>
      <c r="E189" s="197">
        <v>5</v>
      </c>
      <c r="F189" s="197">
        <v>3</v>
      </c>
      <c r="G189" s="197">
        <v>4</v>
      </c>
      <c r="H189" s="197">
        <v>6</v>
      </c>
      <c r="I189" s="197">
        <v>8</v>
      </c>
      <c r="J189" s="8" t="str">
        <f>IF(Roster!$K$25="Español",V189,(IF(Roster!$K$25="Deutsch",W189,(IF(Roster!$K$25="Français",X189,U189)))))</f>
        <v>Regeneration, Thick Skull</v>
      </c>
      <c r="K189" s="216">
        <v>40000</v>
      </c>
      <c r="L189" s="7">
        <f t="shared" si="35"/>
        <v>40</v>
      </c>
      <c r="M189" s="197">
        <v>16</v>
      </c>
      <c r="N189" s="197">
        <v>0</v>
      </c>
      <c r="O189" s="216" t="s">
        <v>199</v>
      </c>
      <c r="P189" s="216" t="s">
        <v>198</v>
      </c>
      <c r="Q189" s="216" t="s">
        <v>198</v>
      </c>
      <c r="R189" s="216">
        <v>0</v>
      </c>
      <c r="S189" s="216">
        <v>0</v>
      </c>
      <c r="T189" s="13" t="str">
        <f>IF(AND(R190&lt;&gt;0,S190&lt;&gt;0),"FULL",(IF(AND(R190=0,S190=0),"PM",IF(R190=0,"P",(IF(S190=0,"M"))))))</f>
        <v>PM</v>
      </c>
      <c r="U189" s="13" t="s">
        <v>733</v>
      </c>
      <c r="V189" s="197" t="s">
        <v>734</v>
      </c>
      <c r="W189" s="13" t="s">
        <v>735</v>
      </c>
      <c r="X189" s="13" t="s">
        <v>736</v>
      </c>
      <c r="Y189" s="13"/>
      <c r="Z189" s="13"/>
    </row>
    <row r="190" spans="1:26" ht="12.75" customHeight="1" x14ac:dyDescent="0.2">
      <c r="A190" s="8" t="s">
        <v>155</v>
      </c>
      <c r="B190" s="8" t="str">
        <f t="shared" si="36"/>
        <v>Shambling Undead3</v>
      </c>
      <c r="C190" s="197" t="s">
        <v>578</v>
      </c>
      <c r="D190" s="8" t="str">
        <f t="shared" si="1"/>
        <v>Shambling UndeadZombie</v>
      </c>
      <c r="E190" s="197">
        <v>4</v>
      </c>
      <c r="F190" s="197">
        <v>3</v>
      </c>
      <c r="G190" s="197">
        <v>4</v>
      </c>
      <c r="H190" s="197">
        <v>0</v>
      </c>
      <c r="I190" s="197">
        <v>9</v>
      </c>
      <c r="J190" s="8" t="str">
        <f>IF(Roster!$K$25="Español",V190,(IF(Roster!$K$25="Deutsch",W190,(IF(Roster!$K$25="Français",X190,U190)))))</f>
        <v>Regeneration</v>
      </c>
      <c r="K190" s="216">
        <v>40000</v>
      </c>
      <c r="L190" s="7">
        <f t="shared" si="35"/>
        <v>40</v>
      </c>
      <c r="M190" s="197">
        <v>16</v>
      </c>
      <c r="N190" s="197">
        <v>0</v>
      </c>
      <c r="O190" s="216" t="s">
        <v>199</v>
      </c>
      <c r="P190" s="216" t="s">
        <v>198</v>
      </c>
      <c r="Q190" s="216" t="s">
        <v>198</v>
      </c>
      <c r="R190" s="226">
        <v>0</v>
      </c>
      <c r="S190" s="216">
        <v>0</v>
      </c>
      <c r="T190" s="13" t="s">
        <v>226</v>
      </c>
      <c r="U190" s="13" t="s">
        <v>579</v>
      </c>
      <c r="V190" s="197" t="s">
        <v>580</v>
      </c>
      <c r="W190" s="13" t="s">
        <v>579</v>
      </c>
      <c r="X190" s="13" t="s">
        <v>581</v>
      </c>
      <c r="Y190" s="13"/>
      <c r="Z190" s="13"/>
    </row>
    <row r="191" spans="1:26" ht="12.75" customHeight="1" x14ac:dyDescent="0.2">
      <c r="A191" s="8" t="s">
        <v>155</v>
      </c>
      <c r="B191" s="8" t="str">
        <f t="shared" si="36"/>
        <v>Shambling Undead4</v>
      </c>
      <c r="C191" s="197" t="s">
        <v>582</v>
      </c>
      <c r="D191" s="8" t="str">
        <f t="shared" si="1"/>
        <v>Shambling UndeadGhoul</v>
      </c>
      <c r="E191" s="197">
        <v>7</v>
      </c>
      <c r="F191" s="197">
        <v>3</v>
      </c>
      <c r="G191" s="197">
        <v>3</v>
      </c>
      <c r="H191" s="197">
        <v>4</v>
      </c>
      <c r="I191" s="197">
        <v>8</v>
      </c>
      <c r="J191" s="8" t="str">
        <f>IF(Roster!$K$25="Español",V191,(IF(Roster!$K$25="Deutsch",W191,(IF(Roster!$K$25="Français",X191,U191)))))</f>
        <v>Dodge</v>
      </c>
      <c r="K191" s="216">
        <v>75000</v>
      </c>
      <c r="L191" s="7">
        <f t="shared" si="35"/>
        <v>75</v>
      </c>
      <c r="M191" s="197">
        <v>4</v>
      </c>
      <c r="N191" s="197">
        <v>0</v>
      </c>
      <c r="O191" s="216" t="s">
        <v>199</v>
      </c>
      <c r="P191" s="216" t="s">
        <v>199</v>
      </c>
      <c r="Q191" s="216" t="s">
        <v>198</v>
      </c>
      <c r="R191" s="216" t="s">
        <v>198</v>
      </c>
      <c r="S191" s="216">
        <v>0</v>
      </c>
      <c r="T191" s="13" t="str">
        <f>IF(AND(R192&lt;&gt;0,S192&lt;&gt;0),"FULL",(IF(AND(R192=0,S192=0),"PM",IF(R192=0,"P",(IF(S192=0,"M"))))))</f>
        <v>M</v>
      </c>
      <c r="U191" s="13" t="s">
        <v>272</v>
      </c>
      <c r="V191" s="13" t="s">
        <v>273</v>
      </c>
      <c r="W191" s="13" t="s">
        <v>274</v>
      </c>
      <c r="X191" s="13" t="s">
        <v>275</v>
      </c>
      <c r="Y191" s="13"/>
      <c r="Z191" s="13"/>
    </row>
    <row r="192" spans="1:26" ht="12.75" customHeight="1" x14ac:dyDescent="0.2">
      <c r="A192" s="8" t="s">
        <v>155</v>
      </c>
      <c r="B192" s="8" t="str">
        <f t="shared" si="36"/>
        <v>Shambling Undead5</v>
      </c>
      <c r="C192" s="197" t="s">
        <v>737</v>
      </c>
      <c r="D192" s="8" t="str">
        <f t="shared" si="1"/>
        <v>Shambling UndeadWight</v>
      </c>
      <c r="E192" s="197">
        <v>6</v>
      </c>
      <c r="F192" s="197">
        <v>3</v>
      </c>
      <c r="G192" s="197">
        <v>3</v>
      </c>
      <c r="H192" s="197">
        <v>5</v>
      </c>
      <c r="I192" s="197">
        <v>9</v>
      </c>
      <c r="J192" s="8" t="str">
        <f>IF(Roster!$K$25="Español",V192,(IF(Roster!$K$25="Deutsch",W192,(IF(Roster!$K$25="Français",X192,U192)))))</f>
        <v>Block, Regeneration</v>
      </c>
      <c r="K192" s="216">
        <v>90000</v>
      </c>
      <c r="L192" s="7">
        <f t="shared" si="35"/>
        <v>90</v>
      </c>
      <c r="M192" s="197">
        <v>2</v>
      </c>
      <c r="N192" s="197">
        <v>0</v>
      </c>
      <c r="O192" s="216" t="s">
        <v>199</v>
      </c>
      <c r="P192" s="216" t="s">
        <v>198</v>
      </c>
      <c r="Q192" s="216" t="s">
        <v>199</v>
      </c>
      <c r="R192" s="216" t="s">
        <v>198</v>
      </c>
      <c r="S192" s="216">
        <v>0</v>
      </c>
      <c r="T192" s="13" t="s">
        <v>200</v>
      </c>
      <c r="U192" s="13" t="s">
        <v>738</v>
      </c>
      <c r="V192" s="13" t="s">
        <v>739</v>
      </c>
      <c r="W192" s="13" t="s">
        <v>738</v>
      </c>
      <c r="X192" s="13" t="s">
        <v>740</v>
      </c>
      <c r="Y192" s="13"/>
      <c r="Z192" s="13"/>
    </row>
    <row r="193" spans="1:26" ht="12.75" customHeight="1" x14ac:dyDescent="0.2">
      <c r="A193" s="8" t="s">
        <v>155</v>
      </c>
      <c r="B193" s="8" t="str">
        <f t="shared" si="36"/>
        <v>Shambling Undead6</v>
      </c>
      <c r="C193" s="197" t="s">
        <v>741</v>
      </c>
      <c r="D193" s="8" t="str">
        <f t="shared" si="1"/>
        <v>Shambling UndeadMummy</v>
      </c>
      <c r="E193" s="197">
        <v>3</v>
      </c>
      <c r="F193" s="197">
        <v>5</v>
      </c>
      <c r="G193" s="197">
        <v>5</v>
      </c>
      <c r="H193" s="197">
        <v>0</v>
      </c>
      <c r="I193" s="197">
        <v>10</v>
      </c>
      <c r="J193" s="8" t="str">
        <f>IF(Roster!$K$25="Español",V193,(IF(Roster!$K$25="Deutsch",W193,(IF(Roster!$K$25="Français",X193,U193)))))</f>
        <v>Mighty Blow (+1), Regeneration</v>
      </c>
      <c r="K193" s="216">
        <v>125000</v>
      </c>
      <c r="L193" s="7">
        <f t="shared" si="35"/>
        <v>125</v>
      </c>
      <c r="M193" s="216">
        <v>2</v>
      </c>
      <c r="N193" s="216">
        <v>0</v>
      </c>
      <c r="O193" s="216" t="s">
        <v>198</v>
      </c>
      <c r="P193" s="216" t="s">
        <v>198</v>
      </c>
      <c r="Q193" s="216" t="s">
        <v>199</v>
      </c>
      <c r="R193" s="226">
        <v>0</v>
      </c>
      <c r="S193" s="216">
        <v>0</v>
      </c>
      <c r="T193" s="13" t="str">
        <f>IF(AND(R194&lt;&gt;0,S194&lt;&gt;0),"FULL",(IF(AND(R194=0,S194=0),"PM",IF(R194=0,"P",(IF(S194=0,"M"))))))</f>
        <v>PM</v>
      </c>
      <c r="U193" s="13" t="s">
        <v>742</v>
      </c>
      <c r="V193" s="197" t="s">
        <v>743</v>
      </c>
      <c r="W193" s="13" t="s">
        <v>744</v>
      </c>
      <c r="X193" s="13" t="s">
        <v>745</v>
      </c>
      <c r="Y193" s="13"/>
      <c r="Z193" s="13"/>
    </row>
    <row r="194" spans="1:26" ht="12.75" customHeight="1" x14ac:dyDescent="0.2">
      <c r="A194" s="8" t="s">
        <v>155</v>
      </c>
      <c r="B194" s="8" t="str">
        <f t="shared" si="36"/>
        <v>Shambling Undead7</v>
      </c>
      <c r="C194" s="197" t="s">
        <v>746</v>
      </c>
      <c r="D194" s="8" t="str">
        <f t="shared" si="1"/>
        <v>Shambling UndeadSkeleton Journeyman</v>
      </c>
      <c r="E194" s="197">
        <v>5</v>
      </c>
      <c r="F194" s="197">
        <v>3</v>
      </c>
      <c r="G194" s="197">
        <v>4</v>
      </c>
      <c r="H194" s="197">
        <v>6</v>
      </c>
      <c r="I194" s="197">
        <v>8</v>
      </c>
      <c r="J194" s="8" t="str">
        <f>IF(Roster!$K$25="Español",V194,(IF(Roster!$K$25="Deutsch",W194,(IF(Roster!$K$25="Français",X194,U194)))))</f>
        <v>Loner (4+), Regeneration, Thick Skull</v>
      </c>
      <c r="K194" s="216">
        <v>40000</v>
      </c>
      <c r="L194" s="7">
        <f t="shared" si="35"/>
        <v>40</v>
      </c>
      <c r="M194" s="197">
        <v>11</v>
      </c>
      <c r="N194" s="197">
        <v>0</v>
      </c>
      <c r="O194" s="216" t="s">
        <v>199</v>
      </c>
      <c r="P194" s="216" t="s">
        <v>198</v>
      </c>
      <c r="Q194" s="216" t="s">
        <v>198</v>
      </c>
      <c r="R194" s="226">
        <v>0</v>
      </c>
      <c r="S194" s="216">
        <v>0</v>
      </c>
      <c r="T194" s="13" t="str">
        <f>IF(AND(R195&lt;&gt;0,S195&lt;&gt;0),"FULL",(IF(AND(R195=0,S195=0),"PM",IF(R195=0,"P",(IF(S195=0,"M"))))))</f>
        <v>PM</v>
      </c>
      <c r="U194" s="13" t="s">
        <v>747</v>
      </c>
      <c r="V194" s="197" t="s">
        <v>748</v>
      </c>
      <c r="W194" s="13" t="s">
        <v>749</v>
      </c>
      <c r="X194" s="13" t="s">
        <v>750</v>
      </c>
      <c r="Y194" s="13"/>
      <c r="Z194" s="13"/>
    </row>
    <row r="195" spans="1:26" ht="12.75" customHeight="1" x14ac:dyDescent="0.2">
      <c r="A195" s="8" t="s">
        <v>155</v>
      </c>
      <c r="B195" s="8" t="str">
        <f t="shared" si="36"/>
        <v>Shambling Undead8</v>
      </c>
      <c r="C195" s="197" t="s">
        <v>751</v>
      </c>
      <c r="D195" s="8" t="str">
        <f t="shared" si="1"/>
        <v>Shambling UndeadZombie Journeyman</v>
      </c>
      <c r="E195" s="197">
        <v>4</v>
      </c>
      <c r="F195" s="197">
        <v>3</v>
      </c>
      <c r="G195" s="197">
        <v>4</v>
      </c>
      <c r="H195" s="197">
        <v>0</v>
      </c>
      <c r="I195" s="197">
        <v>9</v>
      </c>
      <c r="J195" s="8" t="str">
        <f>IF(Roster!$K$25="Español",V195,(IF(Roster!$K$25="Deutsch",W195,(IF(Roster!$K$25="Français",X195,U195)))))</f>
        <v>Loner (4+), Regeneration</v>
      </c>
      <c r="K195" s="216">
        <v>0</v>
      </c>
      <c r="L195" s="7">
        <v>40</v>
      </c>
      <c r="M195" s="197">
        <v>11</v>
      </c>
      <c r="N195" s="197">
        <v>0</v>
      </c>
      <c r="O195" s="216" t="s">
        <v>199</v>
      </c>
      <c r="P195" s="216" t="s">
        <v>198</v>
      </c>
      <c r="Q195" s="216" t="s">
        <v>198</v>
      </c>
      <c r="R195" s="216">
        <v>0</v>
      </c>
      <c r="S195" s="216">
        <v>0</v>
      </c>
      <c r="T195" s="13" t="str">
        <f>IF(AND(R196&lt;&gt;0,S196&lt;&gt;0),"FULL",(IF(AND(R196=0,S196=0),"PM",IF(R196=0,"P",(IF(S196=0,"M"))))))</f>
        <v>PM</v>
      </c>
      <c r="U195" s="13" t="s">
        <v>599</v>
      </c>
      <c r="V195" s="197" t="s">
        <v>600</v>
      </c>
      <c r="W195" s="13" t="s">
        <v>601</v>
      </c>
      <c r="X195" s="13" t="s">
        <v>602</v>
      </c>
      <c r="Y195" s="13"/>
      <c r="Z195" s="13"/>
    </row>
    <row r="196" spans="1:26" ht="12.75" customHeight="1" x14ac:dyDescent="0.2">
      <c r="A196" s="8" t="s">
        <v>160</v>
      </c>
      <c r="B196" s="8" t="str">
        <f t="shared" si="36"/>
        <v>Slann1</v>
      </c>
      <c r="C196" s="197" t="str">
        <f>""</f>
        <v/>
      </c>
      <c r="D196" s="8" t="str">
        <f t="shared" si="1"/>
        <v>Slann</v>
      </c>
      <c r="E196" s="197">
        <v>0</v>
      </c>
      <c r="F196" s="197">
        <v>0</v>
      </c>
      <c r="G196" s="197">
        <v>0</v>
      </c>
      <c r="H196" s="197">
        <v>0</v>
      </c>
      <c r="I196" s="197">
        <v>0</v>
      </c>
      <c r="J196" s="8" t="str">
        <f>IF(Roster!$K$25="Español",V196,(IF(Roster!$K$25="Deutsch",W196,(IF(Roster!$K$25="Français",X196,U196)))))</f>
        <v>Regeneration</v>
      </c>
      <c r="K196" s="216">
        <v>0</v>
      </c>
      <c r="L196" s="7">
        <f t="shared" si="35"/>
        <v>0</v>
      </c>
      <c r="M196" s="216">
        <v>0</v>
      </c>
      <c r="N196" s="216">
        <v>0</v>
      </c>
      <c r="O196" s="216"/>
      <c r="P196" s="216"/>
      <c r="Q196" s="216"/>
      <c r="R196" s="226"/>
      <c r="S196" s="216"/>
      <c r="T196" s="13"/>
      <c r="U196" s="13" t="s">
        <v>579</v>
      </c>
      <c r="V196" s="197" t="s">
        <v>580</v>
      </c>
      <c r="W196" s="13" t="s">
        <v>579</v>
      </c>
      <c r="X196" s="13" t="s">
        <v>581</v>
      </c>
      <c r="Y196" s="13">
        <v>0</v>
      </c>
      <c r="Z196" s="13"/>
    </row>
    <row r="197" spans="1:26" ht="12.75" customHeight="1" x14ac:dyDescent="0.2">
      <c r="A197" s="8" t="s">
        <v>160</v>
      </c>
      <c r="B197" s="8" t="str">
        <f t="shared" si="36"/>
        <v>Slann2</v>
      </c>
      <c r="C197" s="197" t="s">
        <v>396</v>
      </c>
      <c r="D197" s="8" t="str">
        <f t="shared" si="1"/>
        <v>SlannLineman</v>
      </c>
      <c r="E197" s="197">
        <v>6</v>
      </c>
      <c r="F197" s="197">
        <v>3</v>
      </c>
      <c r="G197" s="197">
        <v>3</v>
      </c>
      <c r="H197" s="197">
        <v>4</v>
      </c>
      <c r="I197" s="197">
        <v>9</v>
      </c>
      <c r="J197" s="8" t="str">
        <f>IF(Roster!$K$25="Español",V197,(IF(Roster!$K$25="Deutsch",W197,(IF(Roster!$K$25="Français",X197,U197)))))</f>
        <v>Pogo Stick, Very Long Legs</v>
      </c>
      <c r="K197" s="216">
        <v>60000</v>
      </c>
      <c r="L197" s="7">
        <f t="shared" si="35"/>
        <v>60</v>
      </c>
      <c r="M197" s="197">
        <v>16</v>
      </c>
      <c r="N197" s="197">
        <v>0</v>
      </c>
      <c r="O197" s="216" t="s">
        <v>199</v>
      </c>
      <c r="P197" s="216" t="s">
        <v>198</v>
      </c>
      <c r="Q197" s="216" t="s">
        <v>198</v>
      </c>
      <c r="R197" s="216">
        <v>0</v>
      </c>
      <c r="S197" s="216">
        <v>0</v>
      </c>
      <c r="T197" s="13" t="s">
        <v>226</v>
      </c>
      <c r="U197" s="13" t="s">
        <v>752</v>
      </c>
      <c r="V197" s="197" t="s">
        <v>753</v>
      </c>
      <c r="W197" s="13" t="s">
        <v>754</v>
      </c>
      <c r="X197" s="13" t="s">
        <v>755</v>
      </c>
      <c r="Y197" s="13"/>
      <c r="Z197" s="13"/>
    </row>
    <row r="198" spans="1:26" ht="12.75" customHeight="1" x14ac:dyDescent="0.2">
      <c r="A198" s="8" t="s">
        <v>160</v>
      </c>
      <c r="B198" s="8" t="str">
        <f t="shared" si="36"/>
        <v>Slann3</v>
      </c>
      <c r="C198" s="197" t="s">
        <v>281</v>
      </c>
      <c r="D198" s="8" t="str">
        <f t="shared" si="1"/>
        <v>SlannCatcher</v>
      </c>
      <c r="E198" s="197">
        <v>7</v>
      </c>
      <c r="F198" s="197">
        <v>2</v>
      </c>
      <c r="G198" s="197">
        <v>2</v>
      </c>
      <c r="H198" s="197">
        <v>4</v>
      </c>
      <c r="I198" s="197">
        <v>8</v>
      </c>
      <c r="J198" s="8" t="str">
        <f>IF(Roster!$K$25="Español",V198,(IF(Roster!$K$25="Deutsch",W198,(IF(Roster!$K$25="Français",X198,U198)))))</f>
        <v>Diving Catch, Pogo Stick, Very Long Legs</v>
      </c>
      <c r="K198" s="216">
        <v>80000</v>
      </c>
      <c r="L198" s="7">
        <f t="shared" si="35"/>
        <v>80</v>
      </c>
      <c r="M198" s="197">
        <v>4</v>
      </c>
      <c r="N198" s="197">
        <v>0</v>
      </c>
      <c r="O198" s="216" t="s">
        <v>199</v>
      </c>
      <c r="P198" s="216" t="s">
        <v>199</v>
      </c>
      <c r="Q198" s="216" t="s">
        <v>198</v>
      </c>
      <c r="R198" s="216" t="s">
        <v>198</v>
      </c>
      <c r="S198" s="216">
        <v>0</v>
      </c>
      <c r="T198" s="13" t="s">
        <v>200</v>
      </c>
      <c r="U198" s="13" t="s">
        <v>756</v>
      </c>
      <c r="V198" s="13" t="s">
        <v>757</v>
      </c>
      <c r="W198" s="13" t="s">
        <v>758</v>
      </c>
      <c r="X198" s="13" t="s">
        <v>759</v>
      </c>
      <c r="Y198" s="13"/>
      <c r="Z198" s="13"/>
    </row>
    <row r="199" spans="1:26" ht="12.75" customHeight="1" x14ac:dyDescent="0.2">
      <c r="A199" s="8" t="s">
        <v>160</v>
      </c>
      <c r="B199" s="8" t="str">
        <f t="shared" si="36"/>
        <v>Slann4</v>
      </c>
      <c r="C199" s="197" t="s">
        <v>286</v>
      </c>
      <c r="D199" s="8" t="str">
        <f t="shared" si="1"/>
        <v>SlannBlitzer</v>
      </c>
      <c r="E199" s="197">
        <v>7</v>
      </c>
      <c r="F199" s="197">
        <v>3</v>
      </c>
      <c r="G199" s="197">
        <v>3</v>
      </c>
      <c r="H199" s="197">
        <v>4</v>
      </c>
      <c r="I199" s="197">
        <v>9</v>
      </c>
      <c r="J199" s="8" t="str">
        <f>IF(Roster!$K$25="Español",V199,(IF(Roster!$K$25="Deutsch",W199,(IF(Roster!$K$25="Français",X199,U199)))))</f>
        <v>Diving Tackle, Jump Up, Pogo Stick, Very Long Legs</v>
      </c>
      <c r="K199" s="216">
        <v>110000</v>
      </c>
      <c r="L199" s="7">
        <f t="shared" si="35"/>
        <v>110</v>
      </c>
      <c r="M199" s="197">
        <v>4</v>
      </c>
      <c r="N199" s="197">
        <v>0</v>
      </c>
      <c r="O199" s="216" t="s">
        <v>199</v>
      </c>
      <c r="P199" s="216" t="s">
        <v>199</v>
      </c>
      <c r="Q199" s="216" t="s">
        <v>199</v>
      </c>
      <c r="R199" s="216" t="s">
        <v>198</v>
      </c>
      <c r="S199" s="216">
        <v>0</v>
      </c>
      <c r="T199" s="13" t="s">
        <v>200</v>
      </c>
      <c r="U199" s="13" t="s">
        <v>760</v>
      </c>
      <c r="V199" s="13" t="s">
        <v>761</v>
      </c>
      <c r="W199" s="13" t="s">
        <v>762</v>
      </c>
      <c r="X199" s="13" t="s">
        <v>763</v>
      </c>
      <c r="Y199" s="13"/>
      <c r="Z199" s="13"/>
    </row>
    <row r="200" spans="1:26" ht="12.75" customHeight="1" x14ac:dyDescent="0.2">
      <c r="A200" s="8" t="s">
        <v>160</v>
      </c>
      <c r="B200" s="8" t="str">
        <f t="shared" si="36"/>
        <v>Slann5</v>
      </c>
      <c r="C200" s="197" t="s">
        <v>568</v>
      </c>
      <c r="D200" s="8" t="str">
        <f t="shared" si="1"/>
        <v>SlannKroxigor</v>
      </c>
      <c r="E200" s="197">
        <v>6</v>
      </c>
      <c r="F200" s="197">
        <v>5</v>
      </c>
      <c r="G200" s="197">
        <v>5</v>
      </c>
      <c r="H200" s="197">
        <v>0</v>
      </c>
      <c r="I200" s="197">
        <v>10</v>
      </c>
      <c r="J200" s="8" t="str">
        <f>IF(Roster!$K$25="Español",V200,(IF(Roster!$K$25="Deutsch",W200,(IF(Roster!$K$25="Français",X200,U200)))))</f>
        <v>Bonehead, Loner (4+), Mighty Blow (+1), Prehensile Tail, Thick Skull</v>
      </c>
      <c r="K200" s="216">
        <v>140000</v>
      </c>
      <c r="L200" s="7">
        <f t="shared" si="35"/>
        <v>140</v>
      </c>
      <c r="M200" s="197">
        <v>1</v>
      </c>
      <c r="N200" s="197">
        <v>1</v>
      </c>
      <c r="O200" s="216" t="s">
        <v>198</v>
      </c>
      <c r="P200" s="216" t="s">
        <v>198</v>
      </c>
      <c r="Q200" s="216" t="s">
        <v>199</v>
      </c>
      <c r="R200" s="226">
        <v>0</v>
      </c>
      <c r="S200" s="216">
        <v>0</v>
      </c>
      <c r="T200" s="13" t="str">
        <f>IF(AND(R202&lt;&gt;0,S202&lt;&gt;0),"FULL",(IF(AND(R202=0,S202=0),"PM",IF(R202=0,"P",(IF(S202=0,"M"))))))</f>
        <v>PM</v>
      </c>
      <c r="U200" s="13" t="s">
        <v>764</v>
      </c>
      <c r="V200" s="13" t="s">
        <v>570</v>
      </c>
      <c r="W200" s="13" t="s">
        <v>765</v>
      </c>
      <c r="X200" s="13" t="s">
        <v>766</v>
      </c>
      <c r="Y200" s="13"/>
      <c r="Z200" s="13"/>
    </row>
    <row r="201" spans="1:26" ht="12.75" customHeight="1" x14ac:dyDescent="0.2">
      <c r="A201" s="8" t="s">
        <v>160</v>
      </c>
      <c r="B201" s="8" t="str">
        <f t="shared" si="36"/>
        <v>Slann6</v>
      </c>
      <c r="C201" s="197" t="s">
        <v>767</v>
      </c>
      <c r="D201" s="8" t="str">
        <f t="shared" si="1"/>
        <v>SlannJourney Slann</v>
      </c>
      <c r="E201" s="197">
        <v>6</v>
      </c>
      <c r="F201" s="197">
        <v>3</v>
      </c>
      <c r="G201" s="197">
        <v>3</v>
      </c>
      <c r="H201" s="197">
        <v>4</v>
      </c>
      <c r="I201" s="197">
        <v>9</v>
      </c>
      <c r="J201" s="8" t="str">
        <f>IF(Roster!$K$25="Español",V201,(IF(Roster!$K$25="Deutsch",W201,(IF(Roster!$K$25="Français",X201,U201)))))</f>
        <v>Loner (4+), Pogo Stick, Very Long Legs</v>
      </c>
      <c r="K201" s="216">
        <v>0</v>
      </c>
      <c r="L201" s="7">
        <v>60</v>
      </c>
      <c r="M201" s="197">
        <v>11</v>
      </c>
      <c r="N201" s="197">
        <v>0</v>
      </c>
      <c r="O201" s="216" t="s">
        <v>199</v>
      </c>
      <c r="P201" s="216" t="s">
        <v>198</v>
      </c>
      <c r="Q201" s="216" t="s">
        <v>198</v>
      </c>
      <c r="R201" s="216">
        <v>0</v>
      </c>
      <c r="S201" s="216">
        <v>0</v>
      </c>
      <c r="T201" s="13" t="s">
        <v>226</v>
      </c>
      <c r="U201" s="13" t="s">
        <v>768</v>
      </c>
      <c r="V201" s="197" t="s">
        <v>769</v>
      </c>
      <c r="W201" s="13" t="s">
        <v>770</v>
      </c>
      <c r="X201" s="13" t="s">
        <v>771</v>
      </c>
      <c r="Y201" s="13"/>
      <c r="Z201" s="13"/>
    </row>
    <row r="202" spans="1:26" ht="12.75" customHeight="1" x14ac:dyDescent="0.2">
      <c r="A202" s="8" t="s">
        <v>165</v>
      </c>
      <c r="B202" s="8" t="str">
        <f t="shared" si="36"/>
        <v>Skaven1</v>
      </c>
      <c r="C202" s="197" t="str">
        <f>""</f>
        <v/>
      </c>
      <c r="D202" s="8" t="str">
        <f t="shared" si="1"/>
        <v>Skaven</v>
      </c>
      <c r="E202" s="197">
        <v>0</v>
      </c>
      <c r="F202" s="197">
        <v>0</v>
      </c>
      <c r="G202" s="197">
        <v>0</v>
      </c>
      <c r="H202" s="197">
        <v>0</v>
      </c>
      <c r="I202" s="197">
        <v>0</v>
      </c>
      <c r="J202" s="8">
        <f>IF(Roster!$K$25="Español",V202,(IF(Roster!$K$25="Deutsch",W202,(IF(Roster!$K$25="Français",X202,U202)))))</f>
        <v>0</v>
      </c>
      <c r="K202" s="216">
        <v>0</v>
      </c>
      <c r="L202" s="7">
        <f t="shared" si="35"/>
        <v>0</v>
      </c>
      <c r="M202" s="216">
        <v>0</v>
      </c>
      <c r="N202" s="216">
        <v>0</v>
      </c>
      <c r="O202" s="216"/>
      <c r="P202" s="216"/>
      <c r="Q202" s="216"/>
      <c r="R202" s="216"/>
      <c r="S202" s="216"/>
      <c r="T202" s="13"/>
      <c r="U202" s="13">
        <v>0</v>
      </c>
      <c r="V202" s="13">
        <v>0</v>
      </c>
      <c r="W202" s="13">
        <v>0</v>
      </c>
      <c r="X202" s="13">
        <v>0</v>
      </c>
      <c r="Y202" s="13">
        <v>0</v>
      </c>
      <c r="Z202" s="13"/>
    </row>
    <row r="203" spans="1:26" ht="12.75" customHeight="1" x14ac:dyDescent="0.2">
      <c r="A203" s="8" t="s">
        <v>165</v>
      </c>
      <c r="B203" s="8" t="str">
        <f t="shared" si="36"/>
        <v>Skaven2</v>
      </c>
      <c r="C203" s="197" t="s">
        <v>396</v>
      </c>
      <c r="D203" s="8" t="str">
        <f t="shared" si="1"/>
        <v>SkavenLineman</v>
      </c>
      <c r="E203" s="197">
        <v>7</v>
      </c>
      <c r="F203" s="197">
        <v>3</v>
      </c>
      <c r="G203" s="197">
        <v>3</v>
      </c>
      <c r="H203" s="197">
        <v>4</v>
      </c>
      <c r="I203" s="197">
        <v>8</v>
      </c>
      <c r="J203" s="8" t="str">
        <f>IF(Roster!$K$25="Español",V203,(IF(Roster!$K$25="Deutsch",W203,(IF(Roster!$K$25="Français",X203,U203)))))</f>
        <v/>
      </c>
      <c r="K203" s="216">
        <v>50000</v>
      </c>
      <c r="L203" s="7">
        <f t="shared" si="35"/>
        <v>50</v>
      </c>
      <c r="M203" s="197">
        <v>16</v>
      </c>
      <c r="N203" s="197">
        <v>0</v>
      </c>
      <c r="O203" s="216" t="s">
        <v>199</v>
      </c>
      <c r="P203" s="216" t="s">
        <v>198</v>
      </c>
      <c r="Q203" s="216" t="s">
        <v>198</v>
      </c>
      <c r="R203" s="216">
        <v>0</v>
      </c>
      <c r="S203" s="216" t="s">
        <v>198</v>
      </c>
      <c r="T203" s="13" t="s">
        <v>199</v>
      </c>
      <c r="U203" s="13" t="str">
        <f t="shared" ref="U203:Y203" si="38">""</f>
        <v/>
      </c>
      <c r="V203" s="13" t="str">
        <f t="shared" si="38"/>
        <v/>
      </c>
      <c r="W203" s="13" t="str">
        <f t="shared" si="38"/>
        <v/>
      </c>
      <c r="X203" s="13" t="str">
        <f t="shared" si="38"/>
        <v/>
      </c>
      <c r="Y203" s="13" t="str">
        <f t="shared" si="38"/>
        <v/>
      </c>
      <c r="Z203" s="13"/>
    </row>
    <row r="204" spans="1:26" ht="12.75" customHeight="1" x14ac:dyDescent="0.2">
      <c r="A204" s="8" t="s">
        <v>165</v>
      </c>
      <c r="B204" s="8" t="str">
        <f t="shared" si="36"/>
        <v>Skaven3</v>
      </c>
      <c r="C204" s="197" t="s">
        <v>276</v>
      </c>
      <c r="D204" s="8" t="str">
        <f t="shared" si="1"/>
        <v>SkavenThrower</v>
      </c>
      <c r="E204" s="197">
        <v>7</v>
      </c>
      <c r="F204" s="197">
        <v>3</v>
      </c>
      <c r="G204" s="197">
        <v>3</v>
      </c>
      <c r="H204" s="197">
        <v>2</v>
      </c>
      <c r="I204" s="197">
        <v>8</v>
      </c>
      <c r="J204" s="8" t="str">
        <f>IF(Roster!$K$25="Español",V204,(IF(Roster!$K$25="Deutsch",W204,(IF(Roster!$K$25="Français",X204,U204)))))</f>
        <v>Pass, Sure Hands</v>
      </c>
      <c r="K204" s="216">
        <v>85000</v>
      </c>
      <c r="L204" s="7">
        <f t="shared" si="35"/>
        <v>85</v>
      </c>
      <c r="M204" s="197">
        <v>2</v>
      </c>
      <c r="N204" s="197">
        <v>0</v>
      </c>
      <c r="O204" s="216" t="s">
        <v>199</v>
      </c>
      <c r="P204" s="216" t="s">
        <v>198</v>
      </c>
      <c r="Q204" s="216" t="s">
        <v>198</v>
      </c>
      <c r="R204" s="216" t="s">
        <v>199</v>
      </c>
      <c r="S204" s="216" t="s">
        <v>198</v>
      </c>
      <c r="T204" s="13" t="str">
        <f>IF(AND(R206&lt;&gt;0,S206&lt;&gt;0),"FULL",(IF(AND(R206=0,S206=0),"PM",IF(R206=0,"P",(IF(S206=0,"M"))))))</f>
        <v>FULL</v>
      </c>
      <c r="U204" s="13" t="s">
        <v>518</v>
      </c>
      <c r="V204" s="197" t="s">
        <v>519</v>
      </c>
      <c r="W204" s="13" t="s">
        <v>520</v>
      </c>
      <c r="X204" s="13" t="s">
        <v>521</v>
      </c>
      <c r="Y204" s="13"/>
      <c r="Z204" s="13"/>
    </row>
    <row r="205" spans="1:26" ht="12.75" customHeight="1" x14ac:dyDescent="0.2">
      <c r="A205" s="8" t="s">
        <v>165</v>
      </c>
      <c r="B205" s="8" t="str">
        <f t="shared" si="36"/>
        <v>Skaven4</v>
      </c>
      <c r="C205" s="197" t="s">
        <v>772</v>
      </c>
      <c r="D205" s="8" t="str">
        <f t="shared" si="1"/>
        <v>SkavenGutter Runner</v>
      </c>
      <c r="E205" s="197">
        <v>9</v>
      </c>
      <c r="F205" s="197">
        <v>2</v>
      </c>
      <c r="G205" s="197">
        <v>2</v>
      </c>
      <c r="H205" s="197">
        <v>4</v>
      </c>
      <c r="I205" s="197">
        <v>8</v>
      </c>
      <c r="J205" s="8" t="str">
        <f>IF(Roster!$K$25="Español",V205,(IF(Roster!$K$25="Deutsch",W205,(IF(Roster!$K$25="Français",X205,U205)))))</f>
        <v>Dodge</v>
      </c>
      <c r="K205" s="216">
        <v>85000</v>
      </c>
      <c r="L205" s="7">
        <f t="shared" si="35"/>
        <v>85</v>
      </c>
      <c r="M205" s="197">
        <v>4</v>
      </c>
      <c r="N205" s="197">
        <v>0</v>
      </c>
      <c r="O205" s="216" t="s">
        <v>199</v>
      </c>
      <c r="P205" s="216" t="s">
        <v>199</v>
      </c>
      <c r="Q205" s="216" t="s">
        <v>198</v>
      </c>
      <c r="R205" s="216" t="s">
        <v>198</v>
      </c>
      <c r="S205" s="216" t="s">
        <v>198</v>
      </c>
      <c r="T205" s="13" t="s">
        <v>225</v>
      </c>
      <c r="U205" s="13" t="s">
        <v>272</v>
      </c>
      <c r="V205" s="13" t="s">
        <v>273</v>
      </c>
      <c r="W205" s="13" t="s">
        <v>274</v>
      </c>
      <c r="X205" s="13" t="s">
        <v>275</v>
      </c>
      <c r="Y205" s="13"/>
      <c r="Z205" s="13"/>
    </row>
    <row r="206" spans="1:26" ht="12.75" customHeight="1" x14ac:dyDescent="0.2">
      <c r="A206" s="8" t="s">
        <v>165</v>
      </c>
      <c r="B206" s="8" t="str">
        <f t="shared" si="36"/>
        <v>Skaven5</v>
      </c>
      <c r="C206" s="197" t="s">
        <v>286</v>
      </c>
      <c r="D206" s="8" t="str">
        <f t="shared" si="1"/>
        <v>SkavenBlitzer</v>
      </c>
      <c r="E206" s="197">
        <v>7</v>
      </c>
      <c r="F206" s="197">
        <v>3</v>
      </c>
      <c r="G206" s="197">
        <v>3</v>
      </c>
      <c r="H206" s="197">
        <v>5</v>
      </c>
      <c r="I206" s="197">
        <v>9</v>
      </c>
      <c r="J206" s="8" t="str">
        <f>IF(Roster!$K$25="Español",V206,(IF(Roster!$K$25="Deutsch",W206,(IF(Roster!$K$25="Français",X206,U206)))))</f>
        <v>Block</v>
      </c>
      <c r="K206" s="216">
        <v>90000</v>
      </c>
      <c r="L206" s="7">
        <f t="shared" si="35"/>
        <v>90</v>
      </c>
      <c r="M206" s="197">
        <v>2</v>
      </c>
      <c r="N206" s="197">
        <v>0</v>
      </c>
      <c r="O206" s="216" t="s">
        <v>199</v>
      </c>
      <c r="P206" s="216" t="s">
        <v>198</v>
      </c>
      <c r="Q206" s="216" t="s">
        <v>199</v>
      </c>
      <c r="R206" s="216" t="s">
        <v>198</v>
      </c>
      <c r="S206" s="216" t="s">
        <v>198</v>
      </c>
      <c r="T206" s="13" t="s">
        <v>225</v>
      </c>
      <c r="U206" s="13" t="s">
        <v>407</v>
      </c>
      <c r="V206" s="197" t="s">
        <v>408</v>
      </c>
      <c r="W206" s="13" t="s">
        <v>407</v>
      </c>
      <c r="X206" s="13" t="s">
        <v>409</v>
      </c>
      <c r="Y206" s="13"/>
      <c r="Z206" s="13"/>
    </row>
    <row r="207" spans="1:26" ht="12.75" customHeight="1" x14ac:dyDescent="0.2">
      <c r="A207" s="8" t="s">
        <v>165</v>
      </c>
      <c r="B207" s="8" t="str">
        <f t="shared" si="36"/>
        <v>Skaven6</v>
      </c>
      <c r="C207" s="197" t="s">
        <v>773</v>
      </c>
      <c r="D207" s="8" t="str">
        <f t="shared" si="1"/>
        <v>SkavenRat Ogre</v>
      </c>
      <c r="E207" s="197">
        <v>6</v>
      </c>
      <c r="F207" s="197">
        <v>5</v>
      </c>
      <c r="G207" s="197">
        <v>4</v>
      </c>
      <c r="H207" s="197">
        <v>0</v>
      </c>
      <c r="I207" s="197">
        <v>9</v>
      </c>
      <c r="J207" s="8" t="str">
        <f>IF(Roster!$K$25="Español",V207,(IF(Roster!$K$25="Deutsch",W207,(IF(Roster!$K$25="Français",X207,U207)))))</f>
        <v>Animal Savagery, Frenzy, Loner (4+), Mighty Blow (+1), Prehensile Tail</v>
      </c>
      <c r="K207" s="216">
        <v>150000</v>
      </c>
      <c r="L207" s="7">
        <f t="shared" si="35"/>
        <v>150</v>
      </c>
      <c r="M207" s="197">
        <v>1</v>
      </c>
      <c r="N207" s="197">
        <v>1</v>
      </c>
      <c r="O207" s="216" t="s">
        <v>198</v>
      </c>
      <c r="P207" s="216" t="s">
        <v>198</v>
      </c>
      <c r="Q207" s="216" t="s">
        <v>199</v>
      </c>
      <c r="R207" s="226">
        <v>0</v>
      </c>
      <c r="S207" s="216" t="s">
        <v>198</v>
      </c>
      <c r="T207" s="13" t="s">
        <v>199</v>
      </c>
      <c r="U207" s="13" t="s">
        <v>383</v>
      </c>
      <c r="V207" s="197" t="s">
        <v>384</v>
      </c>
      <c r="W207" s="13" t="s">
        <v>385</v>
      </c>
      <c r="X207" s="13" t="s">
        <v>386</v>
      </c>
      <c r="Y207" s="13"/>
      <c r="Z207" s="13"/>
    </row>
    <row r="208" spans="1:26" ht="12.75" customHeight="1" x14ac:dyDescent="0.2">
      <c r="A208" s="8" t="s">
        <v>165</v>
      </c>
      <c r="B208" s="8" t="str">
        <f t="shared" si="36"/>
        <v>Skaven7</v>
      </c>
      <c r="C208" s="197" t="s">
        <v>774</v>
      </c>
      <c r="D208" s="8" t="str">
        <f t="shared" si="1"/>
        <v>SkavenJourney Skaven</v>
      </c>
      <c r="E208" s="197">
        <v>7</v>
      </c>
      <c r="F208" s="197">
        <v>3</v>
      </c>
      <c r="G208" s="197">
        <v>3</v>
      </c>
      <c r="H208" s="197">
        <v>4</v>
      </c>
      <c r="I208" s="197">
        <v>8</v>
      </c>
      <c r="J208" s="8" t="str">
        <f>IF(Roster!$K$25="Español",V208,(IF(Roster!$K$25="Deutsch",W208,(IF(Roster!$K$25="Français",X208,U208)))))</f>
        <v>Loner (4+)</v>
      </c>
      <c r="K208" s="216">
        <v>0</v>
      </c>
      <c r="L208" s="7">
        <v>50</v>
      </c>
      <c r="M208" s="197">
        <v>11</v>
      </c>
      <c r="N208" s="197">
        <v>0</v>
      </c>
      <c r="O208" s="216" t="s">
        <v>199</v>
      </c>
      <c r="P208" s="216" t="s">
        <v>198</v>
      </c>
      <c r="Q208" s="216" t="s">
        <v>198</v>
      </c>
      <c r="R208" s="216">
        <v>0</v>
      </c>
      <c r="S208" s="216" t="s">
        <v>198</v>
      </c>
      <c r="T208" s="13" t="s">
        <v>199</v>
      </c>
      <c r="U208" s="13" t="s">
        <v>357</v>
      </c>
      <c r="V208" s="13" t="s">
        <v>358</v>
      </c>
      <c r="W208" s="13" t="s">
        <v>359</v>
      </c>
      <c r="X208" s="13" t="s">
        <v>360</v>
      </c>
      <c r="Y208" s="13"/>
      <c r="Z208" s="13"/>
    </row>
    <row r="209" spans="1:26" ht="12.75" customHeight="1" x14ac:dyDescent="0.2">
      <c r="A209" s="8" t="s">
        <v>175</v>
      </c>
      <c r="B209" s="8" t="str">
        <f t="shared" si="36"/>
        <v>Tomb King1</v>
      </c>
      <c r="C209" s="197" t="str">
        <f>""</f>
        <v/>
      </c>
      <c r="D209" s="8" t="str">
        <f t="shared" si="1"/>
        <v>Tomb King</v>
      </c>
      <c r="E209" s="197">
        <v>0</v>
      </c>
      <c r="F209" s="197">
        <v>0</v>
      </c>
      <c r="G209" s="197">
        <v>0</v>
      </c>
      <c r="H209" s="197">
        <v>0</v>
      </c>
      <c r="I209" s="197">
        <v>0</v>
      </c>
      <c r="J209" s="8">
        <f>IF(Roster!$K$25="Español",V209,(IF(Roster!$K$25="Deutsch",W209,(IF(Roster!$K$25="Français",X209,U209)))))</f>
        <v>0</v>
      </c>
      <c r="K209" s="216">
        <v>0</v>
      </c>
      <c r="L209" s="7">
        <f t="shared" si="35"/>
        <v>0</v>
      </c>
      <c r="M209" s="216">
        <v>0</v>
      </c>
      <c r="N209" s="216">
        <v>0</v>
      </c>
      <c r="O209" s="216"/>
      <c r="P209" s="216"/>
      <c r="Q209" s="216"/>
      <c r="R209" s="216"/>
      <c r="S209" s="216"/>
      <c r="T209" s="13"/>
      <c r="U209" s="13">
        <v>0</v>
      </c>
      <c r="V209" s="13">
        <v>0</v>
      </c>
      <c r="W209" s="13">
        <v>0</v>
      </c>
      <c r="X209" s="13">
        <v>0</v>
      </c>
      <c r="Y209" s="13">
        <v>0</v>
      </c>
      <c r="Z209" s="13"/>
    </row>
    <row r="210" spans="1:26" ht="12.75" customHeight="1" x14ac:dyDescent="0.2">
      <c r="A210" s="8" t="s">
        <v>175</v>
      </c>
      <c r="B210" s="8" t="str">
        <f t="shared" si="36"/>
        <v>Tomb King2</v>
      </c>
      <c r="C210" s="197" t="s">
        <v>732</v>
      </c>
      <c r="D210" s="8" t="str">
        <f t="shared" si="1"/>
        <v>Tomb KingSkeleton</v>
      </c>
      <c r="E210" s="197">
        <v>5</v>
      </c>
      <c r="F210" s="197">
        <v>3</v>
      </c>
      <c r="G210" s="197">
        <v>4</v>
      </c>
      <c r="H210" s="197">
        <v>6</v>
      </c>
      <c r="I210" s="197">
        <v>8</v>
      </c>
      <c r="J210" s="8" t="str">
        <f>IF(Roster!$K$25="Español",V210,(IF(Roster!$K$25="Deutsch",W210,(IF(Roster!$K$25="Français",X210,U210)))))</f>
        <v>Regeneration, Thick Skull</v>
      </c>
      <c r="K210" s="216">
        <v>40000</v>
      </c>
      <c r="L210" s="7">
        <f t="shared" si="35"/>
        <v>40</v>
      </c>
      <c r="M210" s="197">
        <v>16</v>
      </c>
      <c r="N210" s="197">
        <v>0</v>
      </c>
      <c r="O210" s="216" t="s">
        <v>199</v>
      </c>
      <c r="P210" s="216" t="s">
        <v>198</v>
      </c>
      <c r="Q210" s="216" t="s">
        <v>198</v>
      </c>
      <c r="R210" s="216">
        <v>0</v>
      </c>
      <c r="S210" s="216">
        <v>0</v>
      </c>
      <c r="T210" s="13" t="s">
        <v>226</v>
      </c>
      <c r="U210" s="13" t="s">
        <v>733</v>
      </c>
      <c r="V210" s="197" t="s">
        <v>734</v>
      </c>
      <c r="W210" s="13" t="s">
        <v>735</v>
      </c>
      <c r="X210" s="13" t="s">
        <v>736</v>
      </c>
      <c r="Y210" s="13"/>
      <c r="Z210" s="13"/>
    </row>
    <row r="211" spans="1:26" ht="12.75" customHeight="1" x14ac:dyDescent="0.2">
      <c r="A211" s="8" t="s">
        <v>175</v>
      </c>
      <c r="B211" s="8" t="str">
        <f t="shared" si="36"/>
        <v>Tomb King3</v>
      </c>
      <c r="C211" s="197" t="s">
        <v>775</v>
      </c>
      <c r="D211" s="8" t="str">
        <f t="shared" si="1"/>
        <v>Tomb KingAnointed Throwers</v>
      </c>
      <c r="E211" s="197">
        <v>6</v>
      </c>
      <c r="F211" s="197">
        <v>3</v>
      </c>
      <c r="G211" s="197">
        <v>4</v>
      </c>
      <c r="H211" s="197">
        <v>3</v>
      </c>
      <c r="I211" s="197">
        <v>8</v>
      </c>
      <c r="J211" s="8" t="str">
        <f>IF(Roster!$K$25="Español",V211,(IF(Roster!$K$25="Deutsch",W211,(IF(Roster!$K$25="Français",X211,U211)))))</f>
        <v>Pass, Regeneration, Sure Hands, Thick Skull</v>
      </c>
      <c r="K211" s="216">
        <v>70000</v>
      </c>
      <c r="L211" s="7">
        <f t="shared" si="35"/>
        <v>70</v>
      </c>
      <c r="M211" s="197">
        <v>2</v>
      </c>
      <c r="N211" s="197">
        <v>0</v>
      </c>
      <c r="O211" s="216" t="s">
        <v>199</v>
      </c>
      <c r="P211" s="216" t="s">
        <v>198</v>
      </c>
      <c r="Q211" s="216" t="s">
        <v>198</v>
      </c>
      <c r="R211" s="216" t="s">
        <v>199</v>
      </c>
      <c r="S211" s="216">
        <v>0</v>
      </c>
      <c r="T211" s="13" t="s">
        <v>200</v>
      </c>
      <c r="U211" s="13" t="s">
        <v>776</v>
      </c>
      <c r="V211" s="13" t="s">
        <v>777</v>
      </c>
      <c r="W211" s="13" t="s">
        <v>778</v>
      </c>
      <c r="X211" s="13" t="s">
        <v>779</v>
      </c>
      <c r="Y211" s="13"/>
      <c r="Z211" s="13"/>
    </row>
    <row r="212" spans="1:26" ht="12.75" customHeight="1" x14ac:dyDescent="0.2">
      <c r="A212" s="8" t="s">
        <v>175</v>
      </c>
      <c r="B212" s="8" t="str">
        <f t="shared" si="36"/>
        <v>Tomb King4</v>
      </c>
      <c r="C212" s="197" t="s">
        <v>780</v>
      </c>
      <c r="D212" s="8" t="str">
        <f t="shared" si="1"/>
        <v>Tomb KingAnointed Blitzers</v>
      </c>
      <c r="E212" s="197">
        <v>6</v>
      </c>
      <c r="F212" s="197">
        <v>3</v>
      </c>
      <c r="G212" s="197">
        <v>4</v>
      </c>
      <c r="H212" s="197">
        <v>6</v>
      </c>
      <c r="I212" s="197">
        <v>9</v>
      </c>
      <c r="J212" s="8" t="str">
        <f>IF(Roster!$K$25="Español",V212,(IF(Roster!$K$25="Deutsch",W212,(IF(Roster!$K$25="Français",X212,U212)))))</f>
        <v>Block, Regeneration, Thick Skull</v>
      </c>
      <c r="K212" s="216">
        <v>90000</v>
      </c>
      <c r="L212" s="7">
        <f t="shared" si="35"/>
        <v>90</v>
      </c>
      <c r="M212" s="216">
        <v>2</v>
      </c>
      <c r="N212" s="216">
        <v>0</v>
      </c>
      <c r="O212" s="216" t="s">
        <v>199</v>
      </c>
      <c r="P212" s="216" t="s">
        <v>198</v>
      </c>
      <c r="Q212" s="216" t="s">
        <v>199</v>
      </c>
      <c r="R212" s="216" t="s">
        <v>198</v>
      </c>
      <c r="S212" s="216">
        <v>0</v>
      </c>
      <c r="T212" s="13" t="s">
        <v>200</v>
      </c>
      <c r="U212" s="13" t="s">
        <v>781</v>
      </c>
      <c r="V212" s="197" t="s">
        <v>782</v>
      </c>
      <c r="W212" s="13" t="s">
        <v>783</v>
      </c>
      <c r="X212" s="13" t="s">
        <v>784</v>
      </c>
      <c r="Y212" s="13"/>
      <c r="Z212" s="13"/>
    </row>
    <row r="213" spans="1:26" ht="12.75" customHeight="1" x14ac:dyDescent="0.2">
      <c r="A213" s="8" t="s">
        <v>175</v>
      </c>
      <c r="B213" s="8" t="str">
        <f t="shared" si="36"/>
        <v>Tomb King5</v>
      </c>
      <c r="C213" s="197" t="s">
        <v>785</v>
      </c>
      <c r="D213" s="8" t="str">
        <f t="shared" si="1"/>
        <v>Tomb KingTomb Guardian</v>
      </c>
      <c r="E213" s="197">
        <v>4</v>
      </c>
      <c r="F213" s="197">
        <v>5</v>
      </c>
      <c r="G213" s="197">
        <v>5</v>
      </c>
      <c r="H213" s="197">
        <v>0</v>
      </c>
      <c r="I213" s="197">
        <v>10</v>
      </c>
      <c r="J213" s="8" t="str">
        <f>IF(Roster!$K$25="Español",V213,(IF(Roster!$K$25="Deutsch",W213,(IF(Roster!$K$25="Français",X213,U213)))))</f>
        <v>Decay, Regeneration</v>
      </c>
      <c r="K213" s="216">
        <v>100000</v>
      </c>
      <c r="L213" s="7">
        <f t="shared" si="35"/>
        <v>100</v>
      </c>
      <c r="M213" s="216">
        <v>4</v>
      </c>
      <c r="N213" s="216">
        <v>0</v>
      </c>
      <c r="O213" s="216" t="s">
        <v>198</v>
      </c>
      <c r="P213" s="216" t="s">
        <v>198</v>
      </c>
      <c r="Q213" s="216" t="s">
        <v>199</v>
      </c>
      <c r="R213" s="226">
        <v>0</v>
      </c>
      <c r="S213" s="216">
        <v>0</v>
      </c>
      <c r="T213" s="13" t="str">
        <f>IF(AND(R215&lt;&gt;0,S215&lt;&gt;0),"FULL",(IF(AND(R215=0,S215=0),"PM",IF(R215=0,"P",(IF(S215=0,"M"))))))</f>
        <v>PM</v>
      </c>
      <c r="U213" s="13" t="s">
        <v>786</v>
      </c>
      <c r="V213" s="197" t="s">
        <v>787</v>
      </c>
      <c r="W213" s="13" t="s">
        <v>788</v>
      </c>
      <c r="X213" s="13" t="s">
        <v>789</v>
      </c>
      <c r="Y213" s="13"/>
      <c r="Z213" s="13"/>
    </row>
    <row r="214" spans="1:26" ht="12.75" customHeight="1" x14ac:dyDescent="0.2">
      <c r="A214" s="8" t="s">
        <v>175</v>
      </c>
      <c r="B214" s="8" t="str">
        <f t="shared" si="36"/>
        <v>Tomb King6</v>
      </c>
      <c r="C214" s="197" t="s">
        <v>790</v>
      </c>
      <c r="D214" s="8" t="str">
        <f t="shared" si="1"/>
        <v>Tomb KingJourney Skeleton</v>
      </c>
      <c r="E214" s="197">
        <v>5</v>
      </c>
      <c r="F214" s="197">
        <v>3</v>
      </c>
      <c r="G214" s="197">
        <v>4</v>
      </c>
      <c r="H214" s="197">
        <v>6</v>
      </c>
      <c r="I214" s="197">
        <v>8</v>
      </c>
      <c r="J214" s="8" t="str">
        <f>IF(Roster!$K$25="Español",V214,(IF(Roster!$K$25="Deutsch",W214,(IF(Roster!$K$25="Français",X214,U214)))))</f>
        <v>Loner (4+), Regeneration, Thick Skull</v>
      </c>
      <c r="K214" s="216">
        <v>0</v>
      </c>
      <c r="L214" s="7">
        <v>40</v>
      </c>
      <c r="M214" s="216">
        <v>11</v>
      </c>
      <c r="N214" s="216">
        <v>0</v>
      </c>
      <c r="O214" s="216" t="s">
        <v>199</v>
      </c>
      <c r="P214" s="216" t="s">
        <v>198</v>
      </c>
      <c r="Q214" s="216" t="s">
        <v>198</v>
      </c>
      <c r="R214" s="216">
        <v>0</v>
      </c>
      <c r="S214" s="216">
        <v>0</v>
      </c>
      <c r="T214" s="13" t="str">
        <f>IF(AND(R216&lt;&gt;0,S216&lt;&gt;0),"FULL",(IF(AND(R216=0,S216=0),"PM",IF(R216=0,"P",(IF(S216=0,"M"))))))</f>
        <v>PM</v>
      </c>
      <c r="U214" s="13" t="s">
        <v>747</v>
      </c>
      <c r="V214" s="197" t="s">
        <v>748</v>
      </c>
      <c r="W214" s="13" t="s">
        <v>749</v>
      </c>
      <c r="X214" s="13" t="s">
        <v>750</v>
      </c>
      <c r="Y214" s="13"/>
      <c r="Z214" s="13"/>
    </row>
    <row r="215" spans="1:26" ht="12.75" customHeight="1" x14ac:dyDescent="0.2">
      <c r="A215" s="8" t="s">
        <v>171</v>
      </c>
      <c r="B215" s="8" t="str">
        <f t="shared" si="36"/>
        <v>Snotling1</v>
      </c>
      <c r="C215" s="197" t="str">
        <f>""</f>
        <v/>
      </c>
      <c r="D215" s="8" t="str">
        <f t="shared" si="1"/>
        <v>Snotling</v>
      </c>
      <c r="E215" s="197">
        <v>0</v>
      </c>
      <c r="F215" s="197">
        <v>0</v>
      </c>
      <c r="G215" s="197">
        <v>0</v>
      </c>
      <c r="H215" s="197">
        <v>0</v>
      </c>
      <c r="I215" s="197">
        <v>0</v>
      </c>
      <c r="J215" s="8">
        <f>IF(Roster!$K$25="Español",V215,(IF(Roster!$K$25="Deutsch",W215,(IF(Roster!$K$25="Français",X215,U215)))))</f>
        <v>0</v>
      </c>
      <c r="K215" s="216">
        <v>0</v>
      </c>
      <c r="L215" s="7">
        <f t="shared" ref="L215:L249" si="39">K215/1000</f>
        <v>0</v>
      </c>
      <c r="M215" s="216">
        <v>0</v>
      </c>
      <c r="N215" s="216">
        <v>0</v>
      </c>
      <c r="O215" s="216"/>
      <c r="P215" s="216"/>
      <c r="Q215" s="216"/>
      <c r="R215" s="216"/>
      <c r="S215" s="216"/>
      <c r="T215" s="13"/>
      <c r="U215" s="13">
        <v>0</v>
      </c>
      <c r="V215" s="13">
        <v>0</v>
      </c>
      <c r="W215" s="13">
        <v>0</v>
      </c>
      <c r="X215" s="13">
        <v>0</v>
      </c>
      <c r="Y215" s="13">
        <v>0</v>
      </c>
      <c r="Z215" s="13"/>
    </row>
    <row r="216" spans="1:26" ht="12.75" customHeight="1" x14ac:dyDescent="0.2">
      <c r="A216" s="8" t="s">
        <v>171</v>
      </c>
      <c r="B216" s="8" t="str">
        <f t="shared" si="36"/>
        <v>Snotling2</v>
      </c>
      <c r="C216" s="197" t="s">
        <v>171</v>
      </c>
      <c r="D216" s="8" t="str">
        <f t="shared" si="1"/>
        <v>SnotlingSnotling</v>
      </c>
      <c r="E216" s="197">
        <v>5</v>
      </c>
      <c r="F216" s="197">
        <v>1</v>
      </c>
      <c r="G216" s="197">
        <v>3</v>
      </c>
      <c r="H216" s="197">
        <v>5</v>
      </c>
      <c r="I216" s="197">
        <v>6</v>
      </c>
      <c r="J216" s="8" t="str">
        <f>IF(Roster!$K$25="Español",V216,(IF(Roster!$K$25="Deutsch",W216,(IF(Roster!$K$25="Français",X216,U216)))))</f>
        <v>Dodge, Right Stuff, Side Step, Stunty, Swarming, Titchy</v>
      </c>
      <c r="K216" s="216">
        <v>15000</v>
      </c>
      <c r="L216" s="7">
        <v>0</v>
      </c>
      <c r="M216" s="216">
        <v>16</v>
      </c>
      <c r="N216" s="216">
        <v>0</v>
      </c>
      <c r="O216" s="216" t="s">
        <v>198</v>
      </c>
      <c r="P216" s="216" t="s">
        <v>199</v>
      </c>
      <c r="Q216" s="216" t="s">
        <v>198</v>
      </c>
      <c r="R216" s="216">
        <v>0</v>
      </c>
      <c r="S216" s="216">
        <v>0</v>
      </c>
      <c r="T216" s="13" t="str">
        <f>IF(AND(R218&lt;&gt;0,S218&lt;&gt;0),"FULL",(IF(AND(R218=0,S218=0),"PM",IF(R218=0,"P",(IF(S218=0,"M"))))))</f>
        <v>PM</v>
      </c>
      <c r="U216" s="13" t="s">
        <v>791</v>
      </c>
      <c r="V216" s="197" t="s">
        <v>792</v>
      </c>
      <c r="W216" s="13" t="s">
        <v>793</v>
      </c>
      <c r="X216" s="13" t="s">
        <v>794</v>
      </c>
      <c r="Y216" s="13"/>
      <c r="Z216" s="13"/>
    </row>
    <row r="217" spans="1:26" ht="12.75" customHeight="1" x14ac:dyDescent="0.2">
      <c r="A217" s="8" t="s">
        <v>171</v>
      </c>
      <c r="B217" s="8" t="str">
        <f t="shared" si="36"/>
        <v>Snotling3</v>
      </c>
      <c r="C217" s="197" t="s">
        <v>795</v>
      </c>
      <c r="D217" s="8" t="str">
        <f t="shared" si="1"/>
        <v>SnotlingFungus Flinga</v>
      </c>
      <c r="E217" s="197">
        <v>5</v>
      </c>
      <c r="F217" s="197">
        <v>1</v>
      </c>
      <c r="G217" s="197">
        <v>3</v>
      </c>
      <c r="H217" s="197">
        <v>4</v>
      </c>
      <c r="I217" s="197">
        <v>6</v>
      </c>
      <c r="J217" s="8" t="str">
        <f>IF(Roster!$K$25="Español",V217,(IF(Roster!$K$25="Deutsch",W217,(IF(Roster!$K$25="Français",X217,U217)))))</f>
        <v>Bombardier, Dodge, Right Stuff, Secret Weapon, Side Step, Stunty</v>
      </c>
      <c r="K217" s="216">
        <v>30000</v>
      </c>
      <c r="L217" s="7">
        <f t="shared" si="39"/>
        <v>30</v>
      </c>
      <c r="M217" s="216">
        <v>2</v>
      </c>
      <c r="N217" s="216">
        <v>0</v>
      </c>
      <c r="O217" s="216" t="s">
        <v>198</v>
      </c>
      <c r="P217" s="216" t="s">
        <v>199</v>
      </c>
      <c r="Q217" s="216" t="s">
        <v>198</v>
      </c>
      <c r="R217" s="216" t="s">
        <v>199</v>
      </c>
      <c r="S217" s="216">
        <v>0</v>
      </c>
      <c r="T217" s="13" t="s">
        <v>200</v>
      </c>
      <c r="U217" s="13" t="s">
        <v>796</v>
      </c>
      <c r="V217" s="197" t="s">
        <v>797</v>
      </c>
      <c r="W217" s="13" t="s">
        <v>798</v>
      </c>
      <c r="X217" s="13" t="s">
        <v>799</v>
      </c>
      <c r="Y217" s="13"/>
      <c r="Z217" s="13"/>
    </row>
    <row r="218" spans="1:26" ht="12.75" customHeight="1" x14ac:dyDescent="0.2">
      <c r="A218" s="8" t="s">
        <v>171</v>
      </c>
      <c r="B218" s="8" t="str">
        <f t="shared" si="36"/>
        <v>Snotling4</v>
      </c>
      <c r="C218" s="197" t="s">
        <v>800</v>
      </c>
      <c r="D218" s="8" t="str">
        <f t="shared" si="1"/>
        <v>SnotlingFun-hoppa</v>
      </c>
      <c r="E218" s="197">
        <v>6</v>
      </c>
      <c r="F218" s="197">
        <v>1</v>
      </c>
      <c r="G218" s="197">
        <v>3</v>
      </c>
      <c r="H218" s="197">
        <v>5</v>
      </c>
      <c r="I218" s="197">
        <v>6</v>
      </c>
      <c r="J218" s="8" t="str">
        <f>IF(Roster!$K$25="Español",V218,(IF(Roster!$K$25="Deutsch",W218,(IF(Roster!$K$25="Français",X218,U218)))))</f>
        <v>Dodge, Pogo Stick, Right Stuff, Side Step, Stunty</v>
      </c>
      <c r="K218" s="216">
        <v>20000</v>
      </c>
      <c r="L218" s="7">
        <f t="shared" si="39"/>
        <v>20</v>
      </c>
      <c r="M218" s="216">
        <v>2</v>
      </c>
      <c r="N218" s="216">
        <v>0</v>
      </c>
      <c r="O218" s="216" t="s">
        <v>198</v>
      </c>
      <c r="P218" s="216" t="s">
        <v>199</v>
      </c>
      <c r="Q218" s="216" t="s">
        <v>198</v>
      </c>
      <c r="R218" s="216">
        <v>0</v>
      </c>
      <c r="S218" s="216">
        <v>0</v>
      </c>
      <c r="T218" s="13" t="str">
        <f>IF(AND(R220&lt;&gt;0,S220&lt;&gt;0),"FULL",(IF(AND(R220=0,S220=0),"PM",IF(R220=0,"P",(IF(S220=0,"M"))))))</f>
        <v>PM</v>
      </c>
      <c r="U218" s="13" t="s">
        <v>801</v>
      </c>
      <c r="V218" s="197" t="s">
        <v>802</v>
      </c>
      <c r="W218" s="13" t="s">
        <v>803</v>
      </c>
      <c r="X218" s="13" t="s">
        <v>804</v>
      </c>
      <c r="Y218" s="13"/>
      <c r="Z218" s="13"/>
    </row>
    <row r="219" spans="1:26" ht="12.75" customHeight="1" x14ac:dyDescent="0.2">
      <c r="A219" s="8" t="s">
        <v>171</v>
      </c>
      <c r="B219" s="8" t="str">
        <f t="shared" si="36"/>
        <v>Snotling5</v>
      </c>
      <c r="C219" s="197" t="s">
        <v>805</v>
      </c>
      <c r="D219" s="8" t="str">
        <f t="shared" si="1"/>
        <v>SnotlingStilty Runna</v>
      </c>
      <c r="E219" s="197">
        <v>6</v>
      </c>
      <c r="F219" s="197">
        <v>1</v>
      </c>
      <c r="G219" s="197">
        <v>3</v>
      </c>
      <c r="H219" s="197">
        <v>5</v>
      </c>
      <c r="I219" s="197">
        <v>6</v>
      </c>
      <c r="J219" s="8" t="str">
        <f>IF(Roster!$K$25="Español",V219,(IF(Roster!$K$25="Deutsch",W219,(IF(Roster!$K$25="Français",X219,U219)))))</f>
        <v>Dodge, Right Stuff, Side Step, Sprint, Stunty</v>
      </c>
      <c r="K219" s="216">
        <v>20000</v>
      </c>
      <c r="L219" s="7">
        <f t="shared" si="39"/>
        <v>20</v>
      </c>
      <c r="M219" s="216">
        <v>2</v>
      </c>
      <c r="N219" s="216">
        <v>0</v>
      </c>
      <c r="O219" s="216" t="s">
        <v>198</v>
      </c>
      <c r="P219" s="216" t="s">
        <v>199</v>
      </c>
      <c r="Q219" s="216" t="s">
        <v>198</v>
      </c>
      <c r="R219" s="216">
        <v>0</v>
      </c>
      <c r="S219" s="216">
        <v>0</v>
      </c>
      <c r="T219" s="13" t="s">
        <v>226</v>
      </c>
      <c r="U219" s="13" t="s">
        <v>806</v>
      </c>
      <c r="V219" s="13" t="s">
        <v>807</v>
      </c>
      <c r="W219" s="13" t="s">
        <v>808</v>
      </c>
      <c r="X219" s="13" t="s">
        <v>809</v>
      </c>
      <c r="Y219" s="13"/>
      <c r="Z219" s="13"/>
    </row>
    <row r="220" spans="1:26" ht="12.75" customHeight="1" x14ac:dyDescent="0.2">
      <c r="A220" s="8" t="s">
        <v>171</v>
      </c>
      <c r="B220" s="8" t="str">
        <f t="shared" si="36"/>
        <v>Snotling6</v>
      </c>
      <c r="C220" s="197" t="s">
        <v>810</v>
      </c>
      <c r="D220" s="8" t="str">
        <f t="shared" si="1"/>
        <v>SnotlingPump Wagon</v>
      </c>
      <c r="E220" s="197">
        <v>4</v>
      </c>
      <c r="F220" s="197">
        <v>5</v>
      </c>
      <c r="G220" s="197">
        <v>5</v>
      </c>
      <c r="H220" s="197">
        <v>0</v>
      </c>
      <c r="I220" s="197">
        <v>9</v>
      </c>
      <c r="J220" s="8" t="str">
        <f>IF(Roster!$K$25="Español",V220,(IF(Roster!$K$25="Deutsch",W220,(IF(Roster!$K$25="Français",X220,U220)))))</f>
        <v>Dirty Player (+1), Juggernaut, Mighty Blow (+1), Really Stupid, Secret Weapon, Stand Firm</v>
      </c>
      <c r="K220" s="216">
        <v>105000</v>
      </c>
      <c r="L220" s="7">
        <f t="shared" si="39"/>
        <v>105</v>
      </c>
      <c r="M220" s="216">
        <v>2</v>
      </c>
      <c r="N220" s="216">
        <v>1</v>
      </c>
      <c r="O220" s="216" t="s">
        <v>198</v>
      </c>
      <c r="P220" s="216" t="s">
        <v>198</v>
      </c>
      <c r="Q220" s="216" t="s">
        <v>199</v>
      </c>
      <c r="R220" s="226">
        <v>0</v>
      </c>
      <c r="S220" s="216">
        <v>0</v>
      </c>
      <c r="T220" s="13" t="s">
        <v>226</v>
      </c>
      <c r="U220" s="13" t="s">
        <v>811</v>
      </c>
      <c r="V220" s="197" t="s">
        <v>812</v>
      </c>
      <c r="W220" s="13" t="s">
        <v>813</v>
      </c>
      <c r="X220" s="13" t="s">
        <v>814</v>
      </c>
      <c r="Y220" s="13"/>
      <c r="Z220" s="13"/>
    </row>
    <row r="221" spans="1:26" ht="12.75" customHeight="1" x14ac:dyDescent="0.2">
      <c r="A221" s="8" t="s">
        <v>171</v>
      </c>
      <c r="B221" s="8" t="str">
        <f t="shared" si="36"/>
        <v>Snotling7</v>
      </c>
      <c r="C221" s="197" t="s">
        <v>304</v>
      </c>
      <c r="D221" s="8" t="str">
        <f t="shared" si="1"/>
        <v>SnotlingTrained Troll</v>
      </c>
      <c r="E221" s="197">
        <v>4</v>
      </c>
      <c r="F221" s="197">
        <v>5</v>
      </c>
      <c r="G221" s="197">
        <v>5</v>
      </c>
      <c r="H221" s="197">
        <v>5</v>
      </c>
      <c r="I221" s="197">
        <v>10</v>
      </c>
      <c r="J221" s="8" t="str">
        <f>IF(Roster!$K$25="Español",V221,(IF(Roster!$K$25="Deutsch",W221,(IF(Roster!$K$25="Français",X221,U221)))))</f>
        <v>Always Hungry, Loner (3+), Mighty Blow (+1), Projectile Vomit, Really Stupid, Regeneration, Throw Team-mate</v>
      </c>
      <c r="K221" s="216">
        <v>115000</v>
      </c>
      <c r="L221" s="7">
        <f t="shared" si="39"/>
        <v>115</v>
      </c>
      <c r="M221" s="216">
        <v>2</v>
      </c>
      <c r="N221" s="216">
        <v>1</v>
      </c>
      <c r="O221" s="216" t="s">
        <v>198</v>
      </c>
      <c r="P221" s="216" t="s">
        <v>198</v>
      </c>
      <c r="Q221" s="216" t="s">
        <v>199</v>
      </c>
      <c r="R221" s="216" t="s">
        <v>198</v>
      </c>
      <c r="S221" s="216">
        <v>0</v>
      </c>
      <c r="T221" s="13" t="s">
        <v>200</v>
      </c>
      <c r="U221" s="13" t="s">
        <v>305</v>
      </c>
      <c r="V221" s="197" t="s">
        <v>306</v>
      </c>
      <c r="W221" s="13" t="s">
        <v>307</v>
      </c>
      <c r="X221" s="13" t="s">
        <v>308</v>
      </c>
      <c r="Y221" s="13"/>
      <c r="Z221" s="13"/>
    </row>
    <row r="222" spans="1:26" ht="12.75" customHeight="1" x14ac:dyDescent="0.2">
      <c r="A222" s="8" t="s">
        <v>171</v>
      </c>
      <c r="B222" s="8" t="str">
        <f t="shared" si="36"/>
        <v>Snotling8</v>
      </c>
      <c r="C222" s="197" t="s">
        <v>815</v>
      </c>
      <c r="D222" s="8" t="str">
        <f t="shared" si="1"/>
        <v>SnotlingJourney Snotling</v>
      </c>
      <c r="E222" s="197">
        <v>5</v>
      </c>
      <c r="F222" s="197">
        <v>1</v>
      </c>
      <c r="G222" s="197">
        <v>3</v>
      </c>
      <c r="H222" s="197">
        <v>5</v>
      </c>
      <c r="I222" s="197">
        <v>6</v>
      </c>
      <c r="J222" s="8" t="str">
        <f>IF(Roster!$K$25="Español",V222,(IF(Roster!$K$25="Deutsch",W222,(IF(Roster!$K$25="Français",X222,U222)))))</f>
        <v>Loner (4+), Dodge, Right Stuff, Side Step, Stunty, Swarming, Titchy</v>
      </c>
      <c r="K222" s="216">
        <v>0</v>
      </c>
      <c r="L222" s="7">
        <v>0</v>
      </c>
      <c r="M222" s="216">
        <v>11</v>
      </c>
      <c r="N222" s="216">
        <v>0</v>
      </c>
      <c r="O222" s="216" t="s">
        <v>198</v>
      </c>
      <c r="P222" s="216" t="s">
        <v>199</v>
      </c>
      <c r="Q222" s="216" t="s">
        <v>198</v>
      </c>
      <c r="R222" s="216">
        <v>0</v>
      </c>
      <c r="S222" s="216">
        <v>0</v>
      </c>
      <c r="T222" s="13" t="s">
        <v>226</v>
      </c>
      <c r="U222" s="13" t="s">
        <v>816</v>
      </c>
      <c r="V222" s="197" t="s">
        <v>817</v>
      </c>
      <c r="W222" s="13" t="s">
        <v>818</v>
      </c>
      <c r="X222" s="13" t="s">
        <v>819</v>
      </c>
      <c r="Y222" s="13"/>
      <c r="Z222" s="13"/>
    </row>
    <row r="223" spans="1:26" ht="12.75" customHeight="1" x14ac:dyDescent="0.2">
      <c r="A223" s="8" t="s">
        <v>180</v>
      </c>
      <c r="B223" s="8" t="str">
        <f t="shared" si="36"/>
        <v>Underworld Denizens1</v>
      </c>
      <c r="C223" s="197" t="str">
        <f>""</f>
        <v/>
      </c>
      <c r="D223" s="8" t="str">
        <f t="shared" si="1"/>
        <v>Underworld Denizens</v>
      </c>
      <c r="E223" s="197">
        <v>0</v>
      </c>
      <c r="F223" s="197">
        <v>0</v>
      </c>
      <c r="G223" s="197">
        <v>0</v>
      </c>
      <c r="H223" s="197">
        <v>0</v>
      </c>
      <c r="I223" s="197">
        <v>0</v>
      </c>
      <c r="J223" s="8">
        <f>IF(Roster!$K$25="Español",V223,(IF(Roster!$K$25="Deutsch",W223,(IF(Roster!$K$25="Français",X223,U223)))))</f>
        <v>0</v>
      </c>
      <c r="K223" s="216">
        <v>0</v>
      </c>
      <c r="L223" s="7">
        <f t="shared" si="39"/>
        <v>0</v>
      </c>
      <c r="M223" s="216">
        <v>0</v>
      </c>
      <c r="N223" s="216">
        <v>0</v>
      </c>
      <c r="O223" s="216"/>
      <c r="P223" s="216"/>
      <c r="Q223" s="216"/>
      <c r="R223" s="216"/>
      <c r="S223" s="216"/>
      <c r="T223" s="13"/>
      <c r="U223" s="13">
        <v>0</v>
      </c>
      <c r="V223" s="13">
        <v>0</v>
      </c>
      <c r="W223" s="13">
        <v>0</v>
      </c>
      <c r="X223" s="13">
        <v>0</v>
      </c>
      <c r="Y223" s="13">
        <v>0</v>
      </c>
      <c r="Z223" s="13"/>
    </row>
    <row r="224" spans="1:26" ht="12.75" customHeight="1" x14ac:dyDescent="0.2">
      <c r="A224" s="8" t="s">
        <v>180</v>
      </c>
      <c r="B224" s="8" t="str">
        <f t="shared" si="36"/>
        <v>Underworld Denizens2</v>
      </c>
      <c r="C224" s="197" t="s">
        <v>86</v>
      </c>
      <c r="D224" s="8" t="str">
        <f t="shared" si="1"/>
        <v>Underworld DenizensGoblin</v>
      </c>
      <c r="E224" s="197">
        <v>6</v>
      </c>
      <c r="F224" s="197">
        <v>2</v>
      </c>
      <c r="G224" s="197">
        <v>3</v>
      </c>
      <c r="H224" s="197">
        <v>4</v>
      </c>
      <c r="I224" s="197">
        <v>8</v>
      </c>
      <c r="J224" s="8" t="str">
        <f>IF(Roster!$K$25="Español",V224,(IF(Roster!$K$25="Deutsch",W224,(IF(Roster!$K$25="Français",X224,U224)))))</f>
        <v>Dodge, Right Stuff, Stunty</v>
      </c>
      <c r="K224" s="216">
        <v>40000</v>
      </c>
      <c r="L224" s="7">
        <f t="shared" si="39"/>
        <v>40</v>
      </c>
      <c r="M224" s="197">
        <v>12</v>
      </c>
      <c r="N224" s="197">
        <v>0</v>
      </c>
      <c r="O224" s="216" t="s">
        <v>198</v>
      </c>
      <c r="P224" s="216" t="s">
        <v>199</v>
      </c>
      <c r="Q224" s="216" t="s">
        <v>198</v>
      </c>
      <c r="R224" s="216">
        <v>0</v>
      </c>
      <c r="S224" s="216" t="s">
        <v>199</v>
      </c>
      <c r="T224" s="13" t="str">
        <f>IF(AND(R226&lt;&gt;0,S226&lt;&gt;0),"FULL",(IF(AND(R226=0,S226=0),"PM",IF(R226=0,"P",(IF(S226=0,"M"))))))</f>
        <v>P</v>
      </c>
      <c r="U224" s="13" t="s">
        <v>451</v>
      </c>
      <c r="V224" s="197" t="s">
        <v>452</v>
      </c>
      <c r="W224" s="13" t="s">
        <v>453</v>
      </c>
      <c r="X224" s="13" t="s">
        <v>454</v>
      </c>
      <c r="Y224" s="13"/>
      <c r="Z224" s="13"/>
    </row>
    <row r="225" spans="1:26" ht="12.75" customHeight="1" x14ac:dyDescent="0.2">
      <c r="A225" s="8" t="s">
        <v>180</v>
      </c>
      <c r="B225" s="8" t="str">
        <f t="shared" si="36"/>
        <v>Underworld Denizens3</v>
      </c>
      <c r="C225" s="197" t="s">
        <v>171</v>
      </c>
      <c r="D225" s="8" t="str">
        <f t="shared" si="1"/>
        <v>Underworld DenizensSnotling</v>
      </c>
      <c r="E225" s="197">
        <v>5</v>
      </c>
      <c r="F225" s="197">
        <v>1</v>
      </c>
      <c r="G225" s="197">
        <v>3</v>
      </c>
      <c r="H225" s="197">
        <v>5</v>
      </c>
      <c r="I225" s="197">
        <v>6</v>
      </c>
      <c r="J225" s="8" t="str">
        <f>IF(Roster!$K$25="Español",V225,(IF(Roster!$K$25="Deutsch",W225,(IF(Roster!$K$25="Français",X225,U225)))))</f>
        <v>Dodge, Right Stuff, Side Step, Stunty, Swarming, Titchy</v>
      </c>
      <c r="K225" s="216">
        <v>15000</v>
      </c>
      <c r="L225" s="7">
        <f t="shared" si="39"/>
        <v>15</v>
      </c>
      <c r="M225" s="216">
        <v>6</v>
      </c>
      <c r="N225" s="216">
        <v>0</v>
      </c>
      <c r="O225" s="216" t="s">
        <v>198</v>
      </c>
      <c r="P225" s="216" t="s">
        <v>199</v>
      </c>
      <c r="Q225" s="216" t="s">
        <v>198</v>
      </c>
      <c r="R225" s="216">
        <v>0</v>
      </c>
      <c r="S225" s="216" t="s">
        <v>199</v>
      </c>
      <c r="T225" s="13" t="s">
        <v>199</v>
      </c>
      <c r="U225" s="13" t="s">
        <v>791</v>
      </c>
      <c r="V225" s="13" t="s">
        <v>792</v>
      </c>
      <c r="W225" s="13" t="s">
        <v>793</v>
      </c>
      <c r="X225" s="13" t="s">
        <v>794</v>
      </c>
      <c r="Y225" s="13"/>
      <c r="Z225" s="13"/>
    </row>
    <row r="226" spans="1:26" ht="12.75" customHeight="1" x14ac:dyDescent="0.2">
      <c r="A226" s="8" t="s">
        <v>180</v>
      </c>
      <c r="B226" s="8" t="str">
        <f t="shared" si="36"/>
        <v>Underworld Denizens4</v>
      </c>
      <c r="C226" s="197" t="s">
        <v>820</v>
      </c>
      <c r="D226" s="8" t="str">
        <f t="shared" si="1"/>
        <v>Underworld DenizensSkaven Clanrat</v>
      </c>
      <c r="E226" s="197">
        <v>7</v>
      </c>
      <c r="F226" s="197">
        <v>3</v>
      </c>
      <c r="G226" s="197">
        <v>3</v>
      </c>
      <c r="H226" s="197">
        <v>4</v>
      </c>
      <c r="I226" s="197">
        <v>8</v>
      </c>
      <c r="J226" s="8" t="str">
        <f>IF(Roster!$K$25="Español",V226,(IF(Roster!$K$25="Deutsch",W226,(IF(Roster!$K$25="Français",X226,U226)))))</f>
        <v>Animosity (Underworld Goblin Linemen)</v>
      </c>
      <c r="K226" s="216">
        <v>50000</v>
      </c>
      <c r="L226" s="7">
        <f t="shared" si="39"/>
        <v>50</v>
      </c>
      <c r="M226" s="197">
        <v>3</v>
      </c>
      <c r="N226" s="197">
        <v>0</v>
      </c>
      <c r="O226" s="216" t="s">
        <v>199</v>
      </c>
      <c r="P226" s="216" t="s">
        <v>198</v>
      </c>
      <c r="Q226" s="216" t="s">
        <v>198</v>
      </c>
      <c r="R226" s="216">
        <v>0</v>
      </c>
      <c r="S226" s="216" t="s">
        <v>199</v>
      </c>
      <c r="T226" s="13" t="s">
        <v>199</v>
      </c>
      <c r="U226" s="13" t="s">
        <v>821</v>
      </c>
      <c r="V226" s="13" t="s">
        <v>822</v>
      </c>
      <c r="W226" s="13" t="s">
        <v>823</v>
      </c>
      <c r="X226" s="13" t="s">
        <v>824</v>
      </c>
      <c r="Y226" s="13"/>
      <c r="Z226" s="13"/>
    </row>
    <row r="227" spans="1:26" ht="12.75" customHeight="1" x14ac:dyDescent="0.2">
      <c r="A227" s="8" t="s">
        <v>180</v>
      </c>
      <c r="B227" s="8" t="str">
        <f t="shared" si="36"/>
        <v>Underworld Denizens5</v>
      </c>
      <c r="C227" s="197" t="s">
        <v>825</v>
      </c>
      <c r="D227" s="8" t="str">
        <f t="shared" si="1"/>
        <v>Underworld DenizensSkaven Thrower</v>
      </c>
      <c r="E227" s="197">
        <v>7</v>
      </c>
      <c r="F227" s="197">
        <v>3</v>
      </c>
      <c r="G227" s="197">
        <v>3</v>
      </c>
      <c r="H227" s="197">
        <v>2</v>
      </c>
      <c r="I227" s="197">
        <v>8</v>
      </c>
      <c r="J227" s="8" t="str">
        <f>IF(Roster!$K$25="Español",V227,(IF(Roster!$K$25="Deutsch",W227,(IF(Roster!$K$25="Français",X227,U227)))))</f>
        <v>Animosity (Underworld Goblin Linemen), Pass, Sure Hands</v>
      </c>
      <c r="K227" s="216">
        <v>85000</v>
      </c>
      <c r="L227" s="7">
        <f t="shared" si="39"/>
        <v>85</v>
      </c>
      <c r="M227" s="197">
        <v>1</v>
      </c>
      <c r="N227" s="197">
        <v>0</v>
      </c>
      <c r="O227" s="216" t="s">
        <v>199</v>
      </c>
      <c r="P227" s="216" t="s">
        <v>198</v>
      </c>
      <c r="Q227" s="216" t="s">
        <v>198</v>
      </c>
      <c r="R227" s="216" t="s">
        <v>199</v>
      </c>
      <c r="S227" s="216" t="s">
        <v>199</v>
      </c>
      <c r="T227" s="13" t="str">
        <f>IF(AND(R229&lt;&gt;0,S229&lt;&gt;0),"FULL",(IF(AND(R229=0,S229=0),"PM",IF(R229=0,"P",(IF(S229=0,"M"))))))</f>
        <v>FULL</v>
      </c>
      <c r="U227" s="13" t="s">
        <v>826</v>
      </c>
      <c r="V227" s="197" t="s">
        <v>827</v>
      </c>
      <c r="W227" s="13" t="s">
        <v>828</v>
      </c>
      <c r="X227" s="13" t="s">
        <v>829</v>
      </c>
      <c r="Y227" s="13"/>
      <c r="Z227" s="13"/>
    </row>
    <row r="228" spans="1:26" ht="12.75" customHeight="1" x14ac:dyDescent="0.2">
      <c r="A228" s="8" t="s">
        <v>180</v>
      </c>
      <c r="B228" s="8" t="str">
        <f t="shared" si="36"/>
        <v>Underworld Denizens6</v>
      </c>
      <c r="C228" s="197" t="s">
        <v>772</v>
      </c>
      <c r="D228" s="8" t="str">
        <f t="shared" si="1"/>
        <v>Underworld DenizensGutter Runner</v>
      </c>
      <c r="E228" s="197">
        <v>9</v>
      </c>
      <c r="F228" s="197">
        <v>2</v>
      </c>
      <c r="G228" s="197">
        <v>2</v>
      </c>
      <c r="H228" s="197">
        <v>4</v>
      </c>
      <c r="I228" s="197">
        <v>8</v>
      </c>
      <c r="J228" s="8" t="str">
        <f>IF(Roster!$K$25="Español",V228,(IF(Roster!$K$25="Deutsch",W228,(IF(Roster!$K$25="Français",X228,U228)))))</f>
        <v>Animosity (Underworld Goblin Linemen), Dodge</v>
      </c>
      <c r="K228" s="216">
        <v>85000</v>
      </c>
      <c r="L228" s="7">
        <f t="shared" si="39"/>
        <v>85</v>
      </c>
      <c r="M228" s="197">
        <v>1</v>
      </c>
      <c r="N228" s="197">
        <v>0</v>
      </c>
      <c r="O228" s="216" t="s">
        <v>199</v>
      </c>
      <c r="P228" s="216" t="s">
        <v>199</v>
      </c>
      <c r="Q228" s="216" t="s">
        <v>198</v>
      </c>
      <c r="R228" s="216" t="s">
        <v>198</v>
      </c>
      <c r="S228" s="216" t="s">
        <v>199</v>
      </c>
      <c r="T228" s="13" t="str">
        <f>IF(AND(R230&lt;&gt;0,S230&lt;&gt;0),"FULL",(IF(AND(R230=0,S230=0),"PM",IF(R230=0,"P",(IF(S230=0,"M"))))))</f>
        <v>FULL</v>
      </c>
      <c r="U228" s="13" t="s">
        <v>830</v>
      </c>
      <c r="V228" s="197" t="s">
        <v>831</v>
      </c>
      <c r="W228" s="13" t="s">
        <v>832</v>
      </c>
      <c r="X228" s="13" t="s">
        <v>833</v>
      </c>
      <c r="Y228" s="13"/>
      <c r="Z228" s="13"/>
    </row>
    <row r="229" spans="1:26" ht="12.75" customHeight="1" x14ac:dyDescent="0.2">
      <c r="A229" s="8" t="s">
        <v>180</v>
      </c>
      <c r="B229" s="8" t="str">
        <f t="shared" si="36"/>
        <v>Underworld Denizens7</v>
      </c>
      <c r="C229" s="197" t="s">
        <v>834</v>
      </c>
      <c r="D229" s="8" t="str">
        <f t="shared" si="1"/>
        <v>Underworld DenizensSkaven Blitzer</v>
      </c>
      <c r="E229" s="197">
        <v>7</v>
      </c>
      <c r="F229" s="197">
        <v>3</v>
      </c>
      <c r="G229" s="197">
        <v>3</v>
      </c>
      <c r="H229" s="197">
        <v>5</v>
      </c>
      <c r="I229" s="197">
        <v>9</v>
      </c>
      <c r="J229" s="8" t="str">
        <f>IF(Roster!$K$25="Español",V229,(IF(Roster!$K$25="Deutsch",W229,(IF(Roster!$K$25="Français",X229,U229)))))</f>
        <v>Animosity (Underworld Goblin Linemen), Block</v>
      </c>
      <c r="K229" s="216">
        <v>90000</v>
      </c>
      <c r="L229" s="7">
        <f t="shared" si="39"/>
        <v>90</v>
      </c>
      <c r="M229" s="197">
        <v>1</v>
      </c>
      <c r="N229" s="197">
        <v>0</v>
      </c>
      <c r="O229" s="216" t="s">
        <v>199</v>
      </c>
      <c r="P229" s="216" t="s">
        <v>198</v>
      </c>
      <c r="Q229" s="216" t="s">
        <v>199</v>
      </c>
      <c r="R229" s="216" t="s">
        <v>198</v>
      </c>
      <c r="S229" s="216" t="s">
        <v>199</v>
      </c>
      <c r="T229" s="13" t="s">
        <v>225</v>
      </c>
      <c r="U229" s="13" t="s">
        <v>835</v>
      </c>
      <c r="V229" s="13" t="s">
        <v>836</v>
      </c>
      <c r="W229" s="13" t="s">
        <v>837</v>
      </c>
      <c r="X229" s="13" t="s">
        <v>838</v>
      </c>
      <c r="Y229" s="13"/>
      <c r="Z229" s="13"/>
    </row>
    <row r="230" spans="1:26" ht="12.75" customHeight="1" x14ac:dyDescent="0.2">
      <c r="A230" s="8" t="s">
        <v>180</v>
      </c>
      <c r="B230" s="8" t="str">
        <f t="shared" si="36"/>
        <v>Underworld Denizens8</v>
      </c>
      <c r="C230" s="197" t="s">
        <v>839</v>
      </c>
      <c r="D230" s="8" t="str">
        <f t="shared" si="1"/>
        <v>Underworld DenizensUnderworld Troll</v>
      </c>
      <c r="E230" s="197">
        <v>4</v>
      </c>
      <c r="F230" s="197">
        <v>5</v>
      </c>
      <c r="G230" s="197">
        <v>5</v>
      </c>
      <c r="H230" s="197">
        <v>5</v>
      </c>
      <c r="I230" s="197">
        <v>10</v>
      </c>
      <c r="J230" s="8" t="str">
        <f>IF(Roster!$K$25="Español",V230,(IF(Roster!$K$25="Deutsch",W230,(IF(Roster!$K$25="Français",X230,U230)))))</f>
        <v>Always Hungry, Loner (4+), Mighty Blow (+1), Projectile Vomit, Really Stupid, Regeneration, Throw Team-mate</v>
      </c>
      <c r="K230" s="216">
        <v>115000</v>
      </c>
      <c r="L230" s="7">
        <f t="shared" si="39"/>
        <v>115</v>
      </c>
      <c r="M230" s="197">
        <v>1</v>
      </c>
      <c r="N230" s="197">
        <v>1</v>
      </c>
      <c r="O230" s="216" t="s">
        <v>198</v>
      </c>
      <c r="P230" s="216" t="s">
        <v>198</v>
      </c>
      <c r="Q230" s="216" t="s">
        <v>199</v>
      </c>
      <c r="R230" s="216" t="s">
        <v>198</v>
      </c>
      <c r="S230" s="216" t="s">
        <v>199</v>
      </c>
      <c r="T230" s="13" t="s">
        <v>225</v>
      </c>
      <c r="U230" s="13" t="s">
        <v>321</v>
      </c>
      <c r="V230" s="197" t="s">
        <v>322</v>
      </c>
      <c r="W230" s="13" t="s">
        <v>323</v>
      </c>
      <c r="X230" s="13" t="s">
        <v>324</v>
      </c>
      <c r="Y230" s="13"/>
      <c r="Z230" s="13"/>
    </row>
    <row r="231" spans="1:26" ht="12.75" customHeight="1" x14ac:dyDescent="0.2">
      <c r="A231" s="8" t="s">
        <v>180</v>
      </c>
      <c r="B231" s="8" t="str">
        <f t="shared" si="36"/>
        <v>Underworld Denizens9</v>
      </c>
      <c r="C231" s="197" t="s">
        <v>840</v>
      </c>
      <c r="D231" s="8" t="str">
        <f t="shared" si="1"/>
        <v>Underworld DenizensMutant Rat Ogre</v>
      </c>
      <c r="E231" s="197">
        <v>6</v>
      </c>
      <c r="F231" s="197">
        <v>5</v>
      </c>
      <c r="G231" s="197">
        <v>4</v>
      </c>
      <c r="H231" s="197">
        <v>0</v>
      </c>
      <c r="I231" s="197">
        <v>9</v>
      </c>
      <c r="J231" s="8" t="str">
        <f>IF(Roster!$K$25="Español",V231,(IF(Roster!$K$25="Deutsch",W231,(IF(Roster!$K$25="Français",X231,U231)))))</f>
        <v>Animal Savagery, Frenzy, Loner (4+), Mighty Blow (+1), Prehensile Tail</v>
      </c>
      <c r="K231" s="216">
        <v>150000</v>
      </c>
      <c r="L231" s="7">
        <f t="shared" si="39"/>
        <v>150</v>
      </c>
      <c r="M231" s="197">
        <v>1</v>
      </c>
      <c r="N231" s="197">
        <v>1</v>
      </c>
      <c r="O231" s="216" t="s">
        <v>198</v>
      </c>
      <c r="P231" s="216" t="s">
        <v>198</v>
      </c>
      <c r="Q231" s="216" t="s">
        <v>199</v>
      </c>
      <c r="R231" s="226">
        <v>0</v>
      </c>
      <c r="S231" s="216" t="s">
        <v>199</v>
      </c>
      <c r="T231" s="13" t="s">
        <v>199</v>
      </c>
      <c r="U231" s="13" t="s">
        <v>383</v>
      </c>
      <c r="V231" s="197" t="s">
        <v>384</v>
      </c>
      <c r="W231" s="13" t="s">
        <v>385</v>
      </c>
      <c r="X231" s="13" t="s">
        <v>386</v>
      </c>
      <c r="Y231" s="13"/>
      <c r="Z231" s="13"/>
    </row>
    <row r="232" spans="1:26" ht="12.75" customHeight="1" x14ac:dyDescent="0.2">
      <c r="A232" s="8" t="s">
        <v>180</v>
      </c>
      <c r="B232" s="8" t="str">
        <f t="shared" ref="B232:B235" si="40">A232&amp;COUNTIF($A$2:$A232,A232)</f>
        <v>Underworld Denizens10</v>
      </c>
      <c r="C232" s="197" t="s">
        <v>309</v>
      </c>
      <c r="D232" s="8" t="str">
        <f t="shared" si="1"/>
        <v>Underworld DenizensJourney Goblin</v>
      </c>
      <c r="E232" s="197">
        <v>6</v>
      </c>
      <c r="F232" s="197">
        <v>2</v>
      </c>
      <c r="G232" s="197">
        <v>3</v>
      </c>
      <c r="H232" s="197">
        <v>4</v>
      </c>
      <c r="I232" s="197">
        <v>8</v>
      </c>
      <c r="J232" s="8" t="str">
        <f>IF(Roster!$K$25="Español",V232,(IF(Roster!$K$25="Deutsch",W232,(IF(Roster!$K$25="Français",X232,U232)))))</f>
        <v>Loner (4+), Dodge, Right Stuff, Stunty</v>
      </c>
      <c r="K232" s="216">
        <v>0</v>
      </c>
      <c r="L232" s="7">
        <v>40</v>
      </c>
      <c r="M232" s="197">
        <v>11</v>
      </c>
      <c r="N232" s="197">
        <v>0</v>
      </c>
      <c r="O232" s="216" t="s">
        <v>198</v>
      </c>
      <c r="P232" s="216" t="s">
        <v>199</v>
      </c>
      <c r="Q232" s="216" t="s">
        <v>198</v>
      </c>
      <c r="R232" s="216">
        <v>0</v>
      </c>
      <c r="S232" s="216" t="s">
        <v>199</v>
      </c>
      <c r="T232" s="13" t="s">
        <v>199</v>
      </c>
      <c r="U232" s="13" t="s">
        <v>486</v>
      </c>
      <c r="V232" s="197" t="s">
        <v>487</v>
      </c>
      <c r="W232" s="13" t="s">
        <v>488</v>
      </c>
      <c r="X232" s="13" t="s">
        <v>489</v>
      </c>
      <c r="Y232" s="13"/>
      <c r="Z232" s="13"/>
    </row>
    <row r="233" spans="1:26" ht="12.75" customHeight="1" x14ac:dyDescent="0.2">
      <c r="A233" s="8" t="s">
        <v>186</v>
      </c>
      <c r="B233" s="8" t="str">
        <f t="shared" si="40"/>
        <v>Vampire1</v>
      </c>
      <c r="C233" s="197" t="str">
        <f>""</f>
        <v/>
      </c>
      <c r="D233" s="8" t="str">
        <f t="shared" si="1"/>
        <v>Vampire</v>
      </c>
      <c r="E233" s="197">
        <v>0</v>
      </c>
      <c r="F233" s="197">
        <v>0</v>
      </c>
      <c r="G233" s="197">
        <v>0</v>
      </c>
      <c r="H233" s="197">
        <v>0</v>
      </c>
      <c r="I233" s="197">
        <v>0</v>
      </c>
      <c r="J233" s="8">
        <f>IF(Roster!$K$25="Español",V233,(IF(Roster!$K$25="Deutsch",W233,(IF(Roster!$K$25="Français",X233,U233)))))</f>
        <v>0</v>
      </c>
      <c r="K233" s="216">
        <v>0</v>
      </c>
      <c r="L233" s="7">
        <f t="shared" si="39"/>
        <v>0</v>
      </c>
      <c r="M233" s="216">
        <v>0</v>
      </c>
      <c r="N233" s="216">
        <v>0</v>
      </c>
      <c r="O233" s="216"/>
      <c r="P233" s="216"/>
      <c r="Q233" s="216"/>
      <c r="R233" s="216"/>
      <c r="S233" s="216"/>
      <c r="T233" s="13"/>
      <c r="U233" s="13">
        <v>0</v>
      </c>
      <c r="V233" s="13">
        <v>0</v>
      </c>
      <c r="W233" s="13">
        <v>0</v>
      </c>
      <c r="X233" s="13">
        <v>0</v>
      </c>
      <c r="Y233" s="13">
        <v>0</v>
      </c>
      <c r="Z233" s="13"/>
    </row>
    <row r="234" spans="1:26" ht="12.75" customHeight="1" x14ac:dyDescent="0.2">
      <c r="A234" s="8" t="s">
        <v>186</v>
      </c>
      <c r="B234" s="8" t="str">
        <f t="shared" si="40"/>
        <v>Vampire2</v>
      </c>
      <c r="C234" s="197" t="s">
        <v>841</v>
      </c>
      <c r="D234" s="8" t="str">
        <f t="shared" si="1"/>
        <v>VampireThrall</v>
      </c>
      <c r="E234" s="197">
        <v>6</v>
      </c>
      <c r="F234" s="197">
        <v>3</v>
      </c>
      <c r="G234" s="197">
        <v>3</v>
      </c>
      <c r="H234" s="197">
        <v>5</v>
      </c>
      <c r="I234" s="197">
        <v>8</v>
      </c>
      <c r="J234" s="8" t="str">
        <f>IF(Roster!$K$25="Español",V234,(IF(Roster!$K$25="Deutsch",W234,(IF(Roster!$K$25="Français",X234,U234)))))</f>
        <v/>
      </c>
      <c r="K234" s="216">
        <v>40000</v>
      </c>
      <c r="L234" s="7">
        <f t="shared" si="39"/>
        <v>40</v>
      </c>
      <c r="M234" s="197">
        <v>16</v>
      </c>
      <c r="N234" s="197">
        <v>0</v>
      </c>
      <c r="O234" s="216" t="s">
        <v>199</v>
      </c>
      <c r="P234" s="216" t="s">
        <v>198</v>
      </c>
      <c r="Q234" s="216" t="s">
        <v>198</v>
      </c>
      <c r="R234" s="216">
        <v>0</v>
      </c>
      <c r="S234" s="216">
        <v>0</v>
      </c>
      <c r="T234" s="13" t="str">
        <f>IF(AND(R236&lt;&gt;0,S236&lt;&gt;0),"FULL",(IF(AND(R236=0,S236=0),"PM",IF(R236=0,"P",(IF(S236=0,"M"))))))</f>
        <v>PM</v>
      </c>
      <c r="U234" s="13" t="str">
        <f t="shared" ref="U234:Y234" si="41">""</f>
        <v/>
      </c>
      <c r="V234" s="13" t="str">
        <f t="shared" si="41"/>
        <v/>
      </c>
      <c r="W234" s="13" t="str">
        <f t="shared" si="41"/>
        <v/>
      </c>
      <c r="X234" s="13" t="str">
        <f t="shared" si="41"/>
        <v/>
      </c>
      <c r="Y234" s="13" t="str">
        <f t="shared" si="41"/>
        <v/>
      </c>
      <c r="Z234" s="13"/>
    </row>
    <row r="235" spans="1:26" ht="12.75" customHeight="1" x14ac:dyDescent="0.2">
      <c r="A235" s="8" t="s">
        <v>186</v>
      </c>
      <c r="B235" s="8" t="str">
        <f t="shared" si="40"/>
        <v>Vampire3</v>
      </c>
      <c r="C235" s="197" t="s">
        <v>186</v>
      </c>
      <c r="D235" s="8" t="str">
        <f t="shared" si="1"/>
        <v>VampireVampire</v>
      </c>
      <c r="E235" s="197">
        <v>6</v>
      </c>
      <c r="F235" s="197">
        <v>4</v>
      </c>
      <c r="G235" s="197">
        <v>2</v>
      </c>
      <c r="H235" s="197">
        <v>3</v>
      </c>
      <c r="I235" s="197">
        <v>9</v>
      </c>
      <c r="J235" s="8" t="str">
        <f>IF(Roster!$K$25="Español",V235,(IF(Roster!$K$25="Deutsch",W235,(IF(Roster!$K$25="Français",X235,U235)))))</f>
        <v>Animal Savagery, Hypnotic Gaze, Regeneration</v>
      </c>
      <c r="K235" s="216">
        <v>110000</v>
      </c>
      <c r="L235" s="7">
        <f t="shared" si="39"/>
        <v>110</v>
      </c>
      <c r="M235" s="197">
        <v>6</v>
      </c>
      <c r="N235" s="197">
        <v>0</v>
      </c>
      <c r="O235" s="216" t="s">
        <v>199</v>
      </c>
      <c r="P235" s="216" t="s">
        <v>199</v>
      </c>
      <c r="Q235" s="216" t="s">
        <v>199</v>
      </c>
      <c r="R235" s="216" t="s">
        <v>198</v>
      </c>
      <c r="S235" s="216">
        <v>0</v>
      </c>
      <c r="T235" s="13" t="s">
        <v>200</v>
      </c>
      <c r="U235" s="13" t="s">
        <v>842</v>
      </c>
      <c r="V235" s="197" t="s">
        <v>843</v>
      </c>
      <c r="W235" s="13" t="s">
        <v>844</v>
      </c>
      <c r="X235" s="13" t="s">
        <v>845</v>
      </c>
      <c r="Y235" s="13"/>
      <c r="Z235" s="13"/>
    </row>
    <row r="236" spans="1:26" ht="12.75" customHeight="1" x14ac:dyDescent="0.2">
      <c r="A236" s="8" t="s">
        <v>186</v>
      </c>
      <c r="B236" s="8" t="str">
        <f>A236&amp;COUNTIF($A$2:$A236,A236)</f>
        <v>Vampire4</v>
      </c>
      <c r="C236" s="197" t="s">
        <v>846</v>
      </c>
      <c r="D236" s="8" t="str">
        <f t="shared" si="1"/>
        <v>VampireJourney Thrall</v>
      </c>
      <c r="E236" s="197">
        <v>6</v>
      </c>
      <c r="F236" s="197">
        <v>3</v>
      </c>
      <c r="G236" s="197">
        <v>3</v>
      </c>
      <c r="H236" s="197">
        <v>5</v>
      </c>
      <c r="I236" s="197">
        <v>8</v>
      </c>
      <c r="J236" s="8" t="str">
        <f>IF(Roster!$K$25="Español",V236,(IF(Roster!$K$25="Deutsch",W236,(IF(Roster!$K$25="Français",X236,U236)))))</f>
        <v>Loner (4+)</v>
      </c>
      <c r="K236" s="216">
        <v>0</v>
      </c>
      <c r="L236" s="7">
        <v>40</v>
      </c>
      <c r="M236" s="197">
        <v>11</v>
      </c>
      <c r="N236" s="197">
        <v>0</v>
      </c>
      <c r="O236" s="216" t="s">
        <v>199</v>
      </c>
      <c r="P236" s="216" t="s">
        <v>198</v>
      </c>
      <c r="Q236" s="216" t="s">
        <v>198</v>
      </c>
      <c r="R236" s="216">
        <v>0</v>
      </c>
      <c r="S236" s="216">
        <v>0</v>
      </c>
      <c r="T236" s="13" t="s">
        <v>226</v>
      </c>
      <c r="U236" s="13" t="s">
        <v>357</v>
      </c>
      <c r="V236" s="13" t="s">
        <v>358</v>
      </c>
      <c r="W236" s="13" t="s">
        <v>359</v>
      </c>
      <c r="X236" s="13" t="s">
        <v>360</v>
      </c>
      <c r="Y236" s="13"/>
      <c r="Z236" s="13"/>
    </row>
    <row r="237" spans="1:26" ht="12.75" customHeight="1" x14ac:dyDescent="0.2">
      <c r="A237" s="8" t="s">
        <v>1661</v>
      </c>
      <c r="B237" s="8" t="str">
        <f>A237&amp;COUNTIF($A$2:$A237,A237)</f>
        <v>Vampire GW1</v>
      </c>
      <c r="C237" s="197"/>
      <c r="D237" s="8" t="str">
        <f t="shared" si="1"/>
        <v>Vampire GW</v>
      </c>
      <c r="E237" s="197">
        <v>0</v>
      </c>
      <c r="F237" s="197">
        <v>0</v>
      </c>
      <c r="G237" s="197">
        <v>0</v>
      </c>
      <c r="H237" s="197">
        <v>0</v>
      </c>
      <c r="I237" s="197">
        <v>0</v>
      </c>
      <c r="J237" s="8">
        <f>IF(Roster!$K$25="Español",V237,(IF(Roster!$K$25="Deutsch",W237,(IF(Roster!$K$25="Français",X237,U237)))))</f>
        <v>0</v>
      </c>
      <c r="K237" s="216">
        <v>0</v>
      </c>
      <c r="L237" s="7">
        <f t="shared" si="39"/>
        <v>0</v>
      </c>
      <c r="M237" s="197">
        <v>0</v>
      </c>
      <c r="N237" s="197">
        <v>0</v>
      </c>
      <c r="O237" s="216"/>
      <c r="P237" s="216"/>
      <c r="Q237" s="216"/>
      <c r="R237" s="216"/>
      <c r="S237" s="216"/>
      <c r="T237" s="13"/>
      <c r="U237" s="13"/>
      <c r="V237" s="13"/>
      <c r="W237" s="13"/>
      <c r="X237" s="13"/>
      <c r="Y237" s="13"/>
      <c r="Z237" s="13"/>
    </row>
    <row r="238" spans="1:26" ht="12.75" customHeight="1" x14ac:dyDescent="0.2">
      <c r="A238" s="8" t="s">
        <v>1661</v>
      </c>
      <c r="B238" s="8" t="str">
        <f>A238&amp;COUNTIF($A$2:$A238,A238)</f>
        <v>Vampire GW2</v>
      </c>
      <c r="C238" s="197" t="s">
        <v>841</v>
      </c>
      <c r="D238" s="8" t="str">
        <f t="shared" si="1"/>
        <v>Vampire GWThrall</v>
      </c>
      <c r="E238" s="197">
        <v>6</v>
      </c>
      <c r="F238" s="197">
        <v>3</v>
      </c>
      <c r="G238" s="197">
        <v>3</v>
      </c>
      <c r="H238" s="197">
        <v>4</v>
      </c>
      <c r="I238" s="197">
        <v>8</v>
      </c>
      <c r="J238" s="8" t="str">
        <f>IF(Roster!$K$25="Español",V238,(IF(Roster!$K$25="Deutsch",W238,(IF(Roster!$K$25="Français",X238,U238)))))</f>
        <v/>
      </c>
      <c r="K238" s="216">
        <v>40000</v>
      </c>
      <c r="L238" s="7">
        <f t="shared" si="39"/>
        <v>40</v>
      </c>
      <c r="M238" s="197">
        <v>16</v>
      </c>
      <c r="N238" s="197">
        <v>0</v>
      </c>
      <c r="O238" s="216" t="s">
        <v>199</v>
      </c>
      <c r="P238" s="216" t="s">
        <v>198</v>
      </c>
      <c r="Q238" s="216" t="s">
        <v>198</v>
      </c>
      <c r="R238" s="216" t="s">
        <v>198</v>
      </c>
      <c r="S238" s="216">
        <v>0</v>
      </c>
      <c r="T238" s="13" t="str">
        <f>IF(AND(R240&lt;&gt;0,S240&lt;&gt;0),"FULL",(IF(AND(R240=0,S240=0),"PM",IF(R240=0,"P",(IF(S240=0,"M"))))))</f>
        <v>M</v>
      </c>
      <c r="U238" s="13" t="str">
        <f t="shared" ref="U238:Y238" si="42">""</f>
        <v/>
      </c>
      <c r="V238" s="13" t="str">
        <f t="shared" si="42"/>
        <v/>
      </c>
      <c r="W238" s="13" t="str">
        <f t="shared" si="42"/>
        <v/>
      </c>
      <c r="X238" s="13" t="str">
        <f t="shared" si="42"/>
        <v/>
      </c>
      <c r="Y238" s="13" t="str">
        <f t="shared" si="42"/>
        <v/>
      </c>
      <c r="Z238" s="13"/>
    </row>
    <row r="239" spans="1:26" ht="12.75" customHeight="1" x14ac:dyDescent="0.2">
      <c r="A239" s="8" t="s">
        <v>1661</v>
      </c>
      <c r="B239" s="8" t="str">
        <f>A239&amp;COUNTIF($A$2:$A239,A239)</f>
        <v>Vampire GW3</v>
      </c>
      <c r="C239" s="197" t="s">
        <v>1657</v>
      </c>
      <c r="D239" s="8" t="str">
        <f t="shared" si="1"/>
        <v>Vampire GWVampire Runner</v>
      </c>
      <c r="E239" s="197">
        <v>8</v>
      </c>
      <c r="F239" s="197">
        <v>3</v>
      </c>
      <c r="G239" s="197">
        <v>2</v>
      </c>
      <c r="H239" s="197">
        <v>4</v>
      </c>
      <c r="I239" s="197">
        <v>8</v>
      </c>
      <c r="J239" s="8" t="str">
        <f>IF(Roster!$K$25="Español",V239,(IF(Roster!$K$25="Deutsch",W239,(IF(Roster!$K$25="Français",X239,U239)))))</f>
        <v>Hypnotic Gaze, Regeneration, Bloodlust (2+)</v>
      </c>
      <c r="K239" s="216">
        <v>100000</v>
      </c>
      <c r="L239" s="7">
        <f t="shared" si="39"/>
        <v>100</v>
      </c>
      <c r="M239" s="197">
        <v>2</v>
      </c>
      <c r="N239" s="197">
        <v>0</v>
      </c>
      <c r="O239" s="216" t="s">
        <v>199</v>
      </c>
      <c r="P239" s="216" t="s">
        <v>199</v>
      </c>
      <c r="Q239" s="216" t="s">
        <v>198</v>
      </c>
      <c r="R239" s="216" t="s">
        <v>198</v>
      </c>
      <c r="S239" s="216">
        <v>0</v>
      </c>
      <c r="T239" s="13" t="str">
        <f>IF(AND(R241&lt;&gt;0,S241&lt;&gt;0),"FULL",(IF(AND(R241=0,S241=0),"PM",IF(R241=0,"P",(IF(S241=0,"M"))))))</f>
        <v>M</v>
      </c>
      <c r="U239" s="13" t="s">
        <v>1662</v>
      </c>
      <c r="V239" s="13" t="s">
        <v>1663</v>
      </c>
      <c r="W239" s="13" t="s">
        <v>1664</v>
      </c>
      <c r="X239" s="13" t="s">
        <v>1665</v>
      </c>
      <c r="Y239" s="13"/>
      <c r="Z239" s="13"/>
    </row>
    <row r="240" spans="1:26" ht="12.75" customHeight="1" x14ac:dyDescent="0.2">
      <c r="A240" s="8" t="s">
        <v>1661</v>
      </c>
      <c r="B240" s="8" t="str">
        <f>A240&amp;COUNTIF($A$2:$A240,A240)</f>
        <v>Vampire GW4</v>
      </c>
      <c r="C240" s="197" t="s">
        <v>1658</v>
      </c>
      <c r="D240" s="8" t="str">
        <f t="shared" si="1"/>
        <v>Vampire GWVampire Thrower</v>
      </c>
      <c r="E240" s="197">
        <v>6</v>
      </c>
      <c r="F240" s="197">
        <v>4</v>
      </c>
      <c r="G240" s="197">
        <v>2</v>
      </c>
      <c r="H240" s="197">
        <v>2</v>
      </c>
      <c r="I240" s="197">
        <v>9</v>
      </c>
      <c r="J240" s="8" t="str">
        <f>IF(Roster!$K$25="Español",V240,(IF(Roster!$K$25="Deutsch",W240,(IF(Roster!$K$25="Français",X240,U240)))))</f>
        <v>Pass, Hypnotic Gaze, Regeneration, Bloodlust (2+)</v>
      </c>
      <c r="K240" s="216">
        <v>110000</v>
      </c>
      <c r="L240" s="7">
        <f t="shared" si="39"/>
        <v>110</v>
      </c>
      <c r="M240" s="197">
        <v>2</v>
      </c>
      <c r="N240" s="197">
        <v>0</v>
      </c>
      <c r="O240" s="216" t="s">
        <v>199</v>
      </c>
      <c r="P240" s="216" t="s">
        <v>199</v>
      </c>
      <c r="Q240" s="216" t="s">
        <v>198</v>
      </c>
      <c r="R240" s="216" t="s">
        <v>199</v>
      </c>
      <c r="S240" s="216">
        <v>0</v>
      </c>
      <c r="T240" s="13" t="str">
        <f>IF(AND(R242&lt;&gt;0,S242&lt;&gt;0),"FULL",(IF(AND(R242=0,S242=0),"PM",IF(R242=0,"P",(IF(S242=0,"M"))))))</f>
        <v>M</v>
      </c>
      <c r="U240" s="13" t="s">
        <v>1666</v>
      </c>
      <c r="V240" s="13" t="s">
        <v>1667</v>
      </c>
      <c r="W240" s="13" t="s">
        <v>1668</v>
      </c>
      <c r="X240" s="13" t="s">
        <v>1669</v>
      </c>
      <c r="Y240" s="13"/>
      <c r="Z240" s="13"/>
    </row>
    <row r="241" spans="1:26" ht="12.75" customHeight="1" x14ac:dyDescent="0.2">
      <c r="A241" s="8" t="s">
        <v>1661</v>
      </c>
      <c r="B241" s="8" t="str">
        <f>A241&amp;COUNTIF($A$2:$A241,A241)</f>
        <v>Vampire GW5</v>
      </c>
      <c r="C241" s="197" t="s">
        <v>1659</v>
      </c>
      <c r="D241" s="8" t="str">
        <f t="shared" si="1"/>
        <v>Vampire GWVampire Blitzer</v>
      </c>
      <c r="E241" s="197">
        <v>6</v>
      </c>
      <c r="F241" s="197">
        <v>4</v>
      </c>
      <c r="G241" s="197">
        <v>2</v>
      </c>
      <c r="H241" s="197">
        <v>5</v>
      </c>
      <c r="I241" s="197">
        <v>9</v>
      </c>
      <c r="J241" s="8" t="str">
        <f>IF(Roster!$K$25="Español",V241,(IF(Roster!$K$25="Deutsch",W241,(IF(Roster!$K$25="Français",X241,U241)))))</f>
        <v>Juggernaut, Hypnotic Gaze, Regeneration, Bloodlust (3+)</v>
      </c>
      <c r="K241" s="216">
        <v>110000</v>
      </c>
      <c r="L241" s="7">
        <f t="shared" si="39"/>
        <v>110</v>
      </c>
      <c r="M241" s="197">
        <v>2</v>
      </c>
      <c r="N241" s="197">
        <v>0</v>
      </c>
      <c r="O241" s="216" t="s">
        <v>199</v>
      </c>
      <c r="P241" s="216" t="s">
        <v>199</v>
      </c>
      <c r="Q241" s="216" t="s">
        <v>199</v>
      </c>
      <c r="R241" s="216" t="s">
        <v>198</v>
      </c>
      <c r="S241" s="216">
        <v>0</v>
      </c>
      <c r="T241" s="13" t="str">
        <f>IF(AND(R243&lt;&gt;0,S243&lt;&gt;0),"FULL",(IF(AND(R243=0,S243=0),"PM",IF(R243=0,"P",(IF(S243=0,"M"))))))</f>
        <v>M</v>
      </c>
      <c r="U241" s="13" t="s">
        <v>1670</v>
      </c>
      <c r="V241" s="13" t="s">
        <v>1671</v>
      </c>
      <c r="W241" s="13" t="s">
        <v>1672</v>
      </c>
      <c r="X241" s="13" t="s">
        <v>1673</v>
      </c>
      <c r="Y241" s="13"/>
      <c r="Z241" s="13"/>
    </row>
    <row r="242" spans="1:26" ht="12.75" customHeight="1" x14ac:dyDescent="0.2">
      <c r="A242" s="8" t="s">
        <v>1661</v>
      </c>
      <c r="B242" s="8" t="str">
        <f>A242&amp;COUNTIF($A$2:$A242,A242)</f>
        <v>Vampire GW6</v>
      </c>
      <c r="C242" s="197" t="s">
        <v>1660</v>
      </c>
      <c r="D242" s="8" t="str">
        <f t="shared" si="1"/>
        <v>Vampire GWVargheist</v>
      </c>
      <c r="E242" s="197">
        <v>5</v>
      </c>
      <c r="F242" s="197">
        <v>5</v>
      </c>
      <c r="G242" s="197">
        <v>4</v>
      </c>
      <c r="H242" s="197">
        <v>0</v>
      </c>
      <c r="I242" s="197">
        <v>10</v>
      </c>
      <c r="J242" s="8" t="str">
        <f>IF(Roster!$K$25="Español",V242,(IF(Roster!$K$25="Deutsch",W242,(IF(Roster!$K$25="Français",X242,U242)))))</f>
        <v>Claws, Frenzy, Bloodlust (3+), Regeneration, Loner (4+)</v>
      </c>
      <c r="K242" s="216">
        <v>150000</v>
      </c>
      <c r="L242" s="7">
        <f t="shared" si="39"/>
        <v>150</v>
      </c>
      <c r="M242" s="197">
        <v>1</v>
      </c>
      <c r="N242" s="197">
        <v>1</v>
      </c>
      <c r="O242" s="216" t="s">
        <v>198</v>
      </c>
      <c r="P242" s="216" t="s">
        <v>198</v>
      </c>
      <c r="Q242" s="216" t="s">
        <v>199</v>
      </c>
      <c r="R242" s="216" t="s">
        <v>198</v>
      </c>
      <c r="S242" s="216">
        <v>0</v>
      </c>
      <c r="T242" s="13" t="s">
        <v>200</v>
      </c>
      <c r="U242" s="13" t="s">
        <v>1674</v>
      </c>
      <c r="V242" s="13" t="s">
        <v>1675</v>
      </c>
      <c r="W242" s="13" t="s">
        <v>1676</v>
      </c>
      <c r="X242" s="13" t="s">
        <v>1677</v>
      </c>
      <c r="Y242" s="13"/>
      <c r="Z242" s="13"/>
    </row>
    <row r="243" spans="1:26" ht="12.75" customHeight="1" x14ac:dyDescent="0.2">
      <c r="A243" s="8" t="s">
        <v>1661</v>
      </c>
      <c r="B243" s="8" t="str">
        <f>A243&amp;COUNTIF($A$2:$A243,A243)</f>
        <v>Vampire GW7</v>
      </c>
      <c r="C243" s="197" t="s">
        <v>846</v>
      </c>
      <c r="D243" s="8" t="str">
        <f t="shared" si="1"/>
        <v>Vampire GWJourney Thrall</v>
      </c>
      <c r="E243" s="197">
        <v>6</v>
      </c>
      <c r="F243" s="197">
        <v>3</v>
      </c>
      <c r="G243" s="197">
        <v>3</v>
      </c>
      <c r="H243" s="197">
        <v>4</v>
      </c>
      <c r="I243" s="197">
        <v>8</v>
      </c>
      <c r="J243" s="8" t="str">
        <f>IF(Roster!$K$25="Español",V243,(IF(Roster!$K$25="Deutsch",W243,(IF(Roster!$K$25="Français",X243,U243)))))</f>
        <v>Loner (4+)</v>
      </c>
      <c r="K243" s="216">
        <v>0</v>
      </c>
      <c r="L243" s="7">
        <v>40</v>
      </c>
      <c r="M243" s="197">
        <v>11</v>
      </c>
      <c r="N243" s="197">
        <v>0</v>
      </c>
      <c r="O243" s="216" t="s">
        <v>199</v>
      </c>
      <c r="P243" s="216" t="s">
        <v>198</v>
      </c>
      <c r="Q243" s="216" t="s">
        <v>198</v>
      </c>
      <c r="R243" s="216" t="s">
        <v>198</v>
      </c>
      <c r="S243" s="216">
        <v>0</v>
      </c>
      <c r="T243" s="13" t="s">
        <v>200</v>
      </c>
      <c r="U243" s="13" t="s">
        <v>357</v>
      </c>
      <c r="V243" s="13" t="s">
        <v>358</v>
      </c>
      <c r="W243" s="13" t="s">
        <v>359</v>
      </c>
      <c r="X243" s="13" t="s">
        <v>360</v>
      </c>
      <c r="Y243" s="13" t="str">
        <f t="shared" ref="V243:Y245" si="43">""</f>
        <v/>
      </c>
      <c r="Z243" s="13"/>
    </row>
    <row r="244" spans="1:26" ht="12.75" customHeight="1" x14ac:dyDescent="0.2">
      <c r="A244" s="8" t="s">
        <v>190</v>
      </c>
      <c r="B244" s="8" t="str">
        <f>A244&amp;COUNTIF($A$2:$A244,A244)</f>
        <v>Wood Elf1</v>
      </c>
      <c r="C244" s="197" t="str">
        <f>""</f>
        <v/>
      </c>
      <c r="D244" s="8" t="str">
        <f t="shared" si="1"/>
        <v>Wood Elf</v>
      </c>
      <c r="E244" s="197">
        <v>0</v>
      </c>
      <c r="F244" s="197">
        <v>0</v>
      </c>
      <c r="G244" s="197">
        <v>0</v>
      </c>
      <c r="H244" s="197">
        <v>0</v>
      </c>
      <c r="I244" s="197">
        <v>0</v>
      </c>
      <c r="J244" s="8">
        <f>IF(Roster!$K$25="Español",V244,(IF(Roster!$K$25="Deutsch",W244,(IF(Roster!$K$25="Français",X244,U244)))))</f>
        <v>0</v>
      </c>
      <c r="K244" s="216">
        <v>0</v>
      </c>
      <c r="L244" s="7">
        <f t="shared" si="39"/>
        <v>0</v>
      </c>
      <c r="M244" s="216">
        <v>0</v>
      </c>
      <c r="N244" s="216">
        <v>0</v>
      </c>
      <c r="O244" s="216"/>
      <c r="P244" s="216"/>
      <c r="Q244" s="216"/>
      <c r="R244" s="216"/>
      <c r="S244" s="216"/>
      <c r="U244" s="13">
        <v>0</v>
      </c>
      <c r="V244" s="13">
        <v>0</v>
      </c>
      <c r="W244" s="13">
        <v>0</v>
      </c>
      <c r="X244" s="13">
        <v>0</v>
      </c>
      <c r="Y244" s="13">
        <v>0</v>
      </c>
      <c r="Z244" s="13"/>
    </row>
    <row r="245" spans="1:26" ht="12.75" customHeight="1" x14ac:dyDescent="0.2">
      <c r="A245" s="8" t="s">
        <v>190</v>
      </c>
      <c r="B245" s="8" t="str">
        <f>A245&amp;COUNTIF($A$2:$A245,A245)</f>
        <v>Wood Elf2</v>
      </c>
      <c r="C245" s="197" t="s">
        <v>396</v>
      </c>
      <c r="D245" s="8" t="str">
        <f t="shared" si="1"/>
        <v>Wood ElfLineman</v>
      </c>
      <c r="E245" s="197">
        <v>7</v>
      </c>
      <c r="F245" s="197">
        <v>3</v>
      </c>
      <c r="G245" s="197">
        <v>2</v>
      </c>
      <c r="H245" s="197">
        <v>4</v>
      </c>
      <c r="I245" s="197">
        <v>8</v>
      </c>
      <c r="J245" s="8" t="str">
        <f>IF(Roster!$K$25="Español",V245,(IF(Roster!$K$25="Deutsch",W245,(IF(Roster!$K$25="Français",X245,U245)))))</f>
        <v/>
      </c>
      <c r="K245" s="216">
        <v>70000</v>
      </c>
      <c r="L245" s="7">
        <f t="shared" si="39"/>
        <v>70</v>
      </c>
      <c r="M245" s="197">
        <v>16</v>
      </c>
      <c r="N245" s="197">
        <v>0</v>
      </c>
      <c r="O245" s="216" t="s">
        <v>199</v>
      </c>
      <c r="P245" s="216" t="s">
        <v>199</v>
      </c>
      <c r="Q245" s="216" t="s">
        <v>198</v>
      </c>
      <c r="R245" s="216">
        <v>0</v>
      </c>
      <c r="S245" s="216">
        <v>0</v>
      </c>
      <c r="T245" s="216" t="s">
        <v>226</v>
      </c>
      <c r="U245" s="13" t="str">
        <f>""</f>
        <v/>
      </c>
      <c r="V245" s="13" t="str">
        <f t="shared" si="43"/>
        <v/>
      </c>
      <c r="W245" s="13" t="str">
        <f t="shared" si="43"/>
        <v/>
      </c>
      <c r="X245" s="13" t="str">
        <f t="shared" si="43"/>
        <v/>
      </c>
      <c r="Y245" s="13" t="str">
        <f t="shared" si="43"/>
        <v/>
      </c>
      <c r="Z245" s="13"/>
    </row>
    <row r="246" spans="1:26" ht="12.75" customHeight="1" x14ac:dyDescent="0.2">
      <c r="A246" s="8" t="s">
        <v>190</v>
      </c>
      <c r="B246" s="8" t="str">
        <f>A246&amp;COUNTIF($A$2:$A246,A246)</f>
        <v>Wood Elf3</v>
      </c>
      <c r="C246" s="197" t="s">
        <v>281</v>
      </c>
      <c r="D246" s="8" t="str">
        <f t="shared" ref="D246:D250" si="44">A246&amp;C246</f>
        <v>Wood ElfCatcher</v>
      </c>
      <c r="E246" s="197">
        <v>8</v>
      </c>
      <c r="F246" s="197">
        <v>2</v>
      </c>
      <c r="G246" s="197">
        <v>2</v>
      </c>
      <c r="H246" s="197">
        <v>4</v>
      </c>
      <c r="I246" s="197">
        <v>8</v>
      </c>
      <c r="J246" s="8" t="str">
        <f>IF(Roster!$K$25="Español",V246,(IF(Roster!$K$25="Deutsch",W246,(IF(Roster!$K$25="Français",X246,U246)))))</f>
        <v>Catch, Dodge</v>
      </c>
      <c r="K246" s="216">
        <v>90000</v>
      </c>
      <c r="L246" s="7">
        <f t="shared" si="39"/>
        <v>90</v>
      </c>
      <c r="M246" s="216">
        <v>4</v>
      </c>
      <c r="N246" s="216">
        <v>0</v>
      </c>
      <c r="O246" s="216" t="s">
        <v>199</v>
      </c>
      <c r="P246" s="216" t="s">
        <v>199</v>
      </c>
      <c r="Q246" s="216" t="s">
        <v>198</v>
      </c>
      <c r="R246" s="216" t="s">
        <v>198</v>
      </c>
      <c r="S246" s="216">
        <v>0</v>
      </c>
      <c r="T246" s="13" t="str">
        <f>IF(AND(R246&lt;&gt;0,S246&lt;&gt;0),"FULL",(IF(AND(R246=0,S246=0),"PM",IF(R246=0,"P",(IF(S246=0,"M"))))))</f>
        <v>M</v>
      </c>
      <c r="U246" s="13" t="s">
        <v>514</v>
      </c>
      <c r="V246" s="197" t="s">
        <v>515</v>
      </c>
      <c r="W246" s="13" t="s">
        <v>516</v>
      </c>
      <c r="X246" s="13" t="s">
        <v>517</v>
      </c>
      <c r="Y246" s="13"/>
      <c r="Z246" s="13"/>
    </row>
    <row r="247" spans="1:26" ht="12.75" customHeight="1" x14ac:dyDescent="0.2">
      <c r="A247" s="8" t="s">
        <v>190</v>
      </c>
      <c r="B247" s="8" t="str">
        <f>A247&amp;COUNTIF($A$2:$A247,A247)</f>
        <v>Wood Elf4</v>
      </c>
      <c r="C247" s="197" t="s">
        <v>276</v>
      </c>
      <c r="D247" s="8" t="str">
        <f t="shared" si="44"/>
        <v>Wood ElfThrower</v>
      </c>
      <c r="E247" s="197">
        <v>7</v>
      </c>
      <c r="F247" s="197">
        <v>3</v>
      </c>
      <c r="G247" s="197">
        <v>2</v>
      </c>
      <c r="H247" s="197">
        <v>2</v>
      </c>
      <c r="I247" s="197">
        <v>8</v>
      </c>
      <c r="J247" s="8" t="str">
        <f>IF(Roster!$K$25="Español",V247,(IF(Roster!$K$25="Deutsch",W247,(IF(Roster!$K$25="Français",X247,U247)))))</f>
        <v>Pass</v>
      </c>
      <c r="K247" s="216">
        <v>95000</v>
      </c>
      <c r="L247" s="7">
        <f t="shared" si="39"/>
        <v>95</v>
      </c>
      <c r="M247" s="197">
        <v>2</v>
      </c>
      <c r="N247" s="197">
        <v>0</v>
      </c>
      <c r="O247" s="216" t="s">
        <v>199</v>
      </c>
      <c r="P247" s="216" t="s">
        <v>199</v>
      </c>
      <c r="Q247" s="216" t="s">
        <v>198</v>
      </c>
      <c r="R247" s="216" t="s">
        <v>199</v>
      </c>
      <c r="S247" s="216">
        <v>0</v>
      </c>
      <c r="T247" s="13" t="str">
        <f>IF(AND(R247&lt;&gt;0,S247&lt;&gt;0),"FULL",(IF(AND(R247=0,S247=0),"PM",IF(R247=0,"P",(IF(S247=0,"M"))))))</f>
        <v>M</v>
      </c>
      <c r="U247" s="13" t="s">
        <v>439</v>
      </c>
      <c r="V247" s="13" t="s">
        <v>440</v>
      </c>
      <c r="W247" s="13" t="s">
        <v>441</v>
      </c>
      <c r="X247" s="13" t="s">
        <v>442</v>
      </c>
      <c r="Y247" s="13"/>
      <c r="Z247" s="13"/>
    </row>
    <row r="248" spans="1:26" ht="12.75" customHeight="1" x14ac:dyDescent="0.2">
      <c r="A248" s="8" t="s">
        <v>190</v>
      </c>
      <c r="B248" s="8" t="str">
        <f>A248&amp;COUNTIF($A$2:$A248,A248)</f>
        <v>Wood Elf5</v>
      </c>
      <c r="C248" s="197" t="s">
        <v>847</v>
      </c>
      <c r="D248" s="8" t="str">
        <f t="shared" si="44"/>
        <v>Wood ElfWardancer</v>
      </c>
      <c r="E248" s="197">
        <v>8</v>
      </c>
      <c r="F248" s="197">
        <v>3</v>
      </c>
      <c r="G248" s="197">
        <v>2</v>
      </c>
      <c r="H248" s="197">
        <v>4</v>
      </c>
      <c r="I248" s="197">
        <v>8</v>
      </c>
      <c r="J248" s="8" t="str">
        <f>IF(Roster!$K$25="Español",V248,(IF(Roster!$K$25="Deutsch",W248,(IF(Roster!$K$25="Français",X248,U248)))))</f>
        <v>Block, Dodge, Leap</v>
      </c>
      <c r="K248" s="216">
        <v>125000</v>
      </c>
      <c r="L248" s="7">
        <f t="shared" si="39"/>
        <v>125</v>
      </c>
      <c r="M248" s="197">
        <v>2</v>
      </c>
      <c r="N248" s="197">
        <v>0</v>
      </c>
      <c r="O248" s="216" t="s">
        <v>199</v>
      </c>
      <c r="P248" s="216" t="s">
        <v>199</v>
      </c>
      <c r="Q248" s="216" t="s">
        <v>198</v>
      </c>
      <c r="R248" s="216" t="s">
        <v>198</v>
      </c>
      <c r="S248" s="216">
        <v>0</v>
      </c>
      <c r="T248" s="13" t="str">
        <f>IF(AND(R248&lt;&gt;0,S248&lt;&gt;0),"FULL",(IF(AND(R248=0,S248=0),"PM",IF(R248=0,"P",(IF(S248=0,"M"))))))</f>
        <v>M</v>
      </c>
      <c r="U248" s="13" t="s">
        <v>848</v>
      </c>
      <c r="V248" s="13" t="s">
        <v>849</v>
      </c>
      <c r="W248" s="13" t="s">
        <v>850</v>
      </c>
      <c r="X248" s="13" t="s">
        <v>851</v>
      </c>
      <c r="Y248" s="13"/>
      <c r="Z248" s="13"/>
    </row>
    <row r="249" spans="1:26" ht="12.75" customHeight="1" x14ac:dyDescent="0.2">
      <c r="A249" s="8" t="s">
        <v>190</v>
      </c>
      <c r="B249" s="8" t="str">
        <f>A249&amp;COUNTIF($A$2:$A249,A249)</f>
        <v>Wood Elf6</v>
      </c>
      <c r="C249" s="197" t="s">
        <v>852</v>
      </c>
      <c r="D249" s="8" t="str">
        <f t="shared" si="44"/>
        <v>Wood ElfTreeman</v>
      </c>
      <c r="E249" s="197">
        <v>2</v>
      </c>
      <c r="F249" s="197">
        <v>6</v>
      </c>
      <c r="G249" s="197">
        <v>5</v>
      </c>
      <c r="H249" s="197">
        <v>5</v>
      </c>
      <c r="I249" s="197">
        <v>11</v>
      </c>
      <c r="J249" s="8" t="str">
        <f>IF(Roster!$K$25="Español",V249,(IF(Roster!$K$25="Deutsch",W249,(IF(Roster!$K$25="Français",X249,U249)))))</f>
        <v>Loner (4+), Mighty Blow (+1), Stand Firm, Strong Arm, Take Root, Thick Skull, Throw Team-Mate</v>
      </c>
      <c r="K249" s="216">
        <v>120000</v>
      </c>
      <c r="L249" s="7">
        <f t="shared" si="39"/>
        <v>120</v>
      </c>
      <c r="M249" s="197">
        <v>1</v>
      </c>
      <c r="N249" s="197">
        <v>1</v>
      </c>
      <c r="O249" s="216" t="s">
        <v>198</v>
      </c>
      <c r="P249" s="216" t="s">
        <v>198</v>
      </c>
      <c r="Q249" s="216" t="s">
        <v>199</v>
      </c>
      <c r="R249" s="216">
        <v>0</v>
      </c>
      <c r="S249" s="216">
        <v>0</v>
      </c>
      <c r="T249" s="13" t="str">
        <f>IF(AND(R249&lt;&gt;0,S249&lt;&gt;0),"FULL",(IF(AND(R249=0,S249=0),"PM",IF(R249=0,"P",(IF(S249=0,"M"))))))</f>
        <v>PM</v>
      </c>
      <c r="U249" s="13" t="s">
        <v>853</v>
      </c>
      <c r="V249" s="13" t="s">
        <v>854</v>
      </c>
      <c r="W249" s="13" t="s">
        <v>1339</v>
      </c>
      <c r="X249" s="13" t="s">
        <v>855</v>
      </c>
      <c r="Y249" s="13"/>
      <c r="Z249" s="13"/>
    </row>
    <row r="250" spans="1:26" ht="12.75" customHeight="1" x14ac:dyDescent="0.2">
      <c r="A250" s="8" t="s">
        <v>190</v>
      </c>
      <c r="B250" s="8" t="str">
        <f>A250&amp;COUNTIF($A$2:$A250,A250)</f>
        <v>Wood Elf7</v>
      </c>
      <c r="C250" s="197" t="s">
        <v>415</v>
      </c>
      <c r="D250" s="8" t="str">
        <f t="shared" si="44"/>
        <v>Wood ElfJourney Elf</v>
      </c>
      <c r="E250" s="197">
        <v>7</v>
      </c>
      <c r="F250" s="197">
        <v>3</v>
      </c>
      <c r="G250" s="197">
        <v>2</v>
      </c>
      <c r="H250" s="197">
        <v>4</v>
      </c>
      <c r="I250" s="197">
        <v>8</v>
      </c>
      <c r="J250" s="8" t="str">
        <f>IF(Roster!$K$25="Español",V250,(IF(Roster!$K$25="Deutsch",W250,(IF(Roster!$K$25="Français",X250,U250)))))</f>
        <v>Loner (4+)</v>
      </c>
      <c r="K250" s="216">
        <v>0</v>
      </c>
      <c r="L250" s="7">
        <v>70</v>
      </c>
      <c r="M250" s="197">
        <v>11</v>
      </c>
      <c r="N250" s="197">
        <v>0</v>
      </c>
      <c r="O250" s="216" t="s">
        <v>199</v>
      </c>
      <c r="P250" s="216" t="s">
        <v>199</v>
      </c>
      <c r="Q250" s="216" t="s">
        <v>198</v>
      </c>
      <c r="R250" s="216">
        <v>0</v>
      </c>
      <c r="S250" s="216">
        <v>0</v>
      </c>
      <c r="T250" s="13" t="str">
        <f>IF(AND(R250&lt;&gt;0,S250&lt;&gt;0),"FULL",(IF(AND(R250=0,S250=0),"PM",IF(R250=0,"P",(IF(S250=0,"M"))))))</f>
        <v>PM</v>
      </c>
      <c r="U250" s="13" t="s">
        <v>357</v>
      </c>
      <c r="V250" s="13" t="s">
        <v>358</v>
      </c>
      <c r="W250" s="13" t="s">
        <v>359</v>
      </c>
      <c r="X250" s="13" t="s">
        <v>360</v>
      </c>
      <c r="Y250" s="13"/>
      <c r="Z250" s="13"/>
    </row>
    <row r="251" spans="1:26" ht="12.75" customHeight="1" x14ac:dyDescent="0.2">
      <c r="A251" s="8"/>
      <c r="B251" s="8"/>
      <c r="C251" s="197"/>
      <c r="D251" s="8"/>
      <c r="E251" s="197"/>
      <c r="F251" s="197"/>
      <c r="G251" s="197"/>
      <c r="H251" s="197"/>
      <c r="I251" s="197"/>
      <c r="J251" s="8"/>
      <c r="K251" s="197"/>
      <c r="L251" s="8"/>
      <c r="M251" s="197"/>
      <c r="N251" s="197"/>
      <c r="O251" s="197"/>
      <c r="P251" s="197"/>
      <c r="Q251" s="197"/>
      <c r="R251" s="197"/>
      <c r="S251" s="197"/>
      <c r="T251" s="13"/>
      <c r="U251" s="13"/>
      <c r="V251" s="13"/>
      <c r="W251" s="13"/>
      <c r="X251" s="13"/>
      <c r="Y251" s="13"/>
      <c r="Z251" s="13"/>
    </row>
    <row r="252" spans="1:26" ht="12.75" customHeight="1" x14ac:dyDescent="0.2">
      <c r="A252" s="8"/>
      <c r="B252" s="8"/>
      <c r="C252" s="197"/>
      <c r="D252" s="8"/>
      <c r="E252" s="197"/>
      <c r="F252" s="197"/>
      <c r="G252" s="197"/>
      <c r="H252" s="197"/>
      <c r="I252" s="197"/>
      <c r="J252" s="8"/>
      <c r="K252" s="197"/>
      <c r="L252" s="8"/>
      <c r="M252" s="197"/>
      <c r="N252" s="197"/>
      <c r="O252" s="197"/>
      <c r="P252" s="197"/>
      <c r="Q252" s="197"/>
      <c r="R252" s="197"/>
      <c r="S252" s="197"/>
      <c r="T252" s="13"/>
      <c r="U252" s="13"/>
      <c r="V252" s="13"/>
      <c r="W252" s="13"/>
      <c r="X252" s="13"/>
      <c r="Y252" s="13"/>
      <c r="Z252" s="13"/>
    </row>
    <row r="253" spans="1:26" ht="12.75" customHeight="1" x14ac:dyDescent="0.2">
      <c r="A253" s="8"/>
      <c r="B253" s="8"/>
      <c r="C253" s="197"/>
      <c r="D253" s="8"/>
      <c r="E253" s="197"/>
      <c r="F253" s="197"/>
      <c r="G253" s="197"/>
      <c r="H253" s="197"/>
      <c r="I253" s="197"/>
      <c r="J253" s="8"/>
      <c r="K253" s="197"/>
      <c r="L253" s="8"/>
      <c r="M253" s="197"/>
      <c r="N253" s="197"/>
      <c r="O253" s="197"/>
      <c r="P253" s="197"/>
      <c r="Q253" s="197"/>
      <c r="R253" s="197"/>
      <c r="S253" s="197"/>
      <c r="T253" s="13"/>
      <c r="U253" s="13"/>
      <c r="V253" s="13"/>
      <c r="W253" s="13"/>
      <c r="X253" s="13"/>
      <c r="Y253" s="13"/>
      <c r="Z253" s="13"/>
    </row>
    <row r="254" spans="1:26" ht="12.75" customHeight="1" x14ac:dyDescent="0.2">
      <c r="A254" s="8"/>
      <c r="B254" s="8"/>
      <c r="C254" s="197"/>
      <c r="D254" s="8"/>
      <c r="E254" s="197"/>
      <c r="F254" s="197"/>
      <c r="G254" s="197"/>
      <c r="H254" s="197"/>
      <c r="I254" s="197"/>
      <c r="J254" s="8"/>
      <c r="K254" s="197"/>
      <c r="L254" s="8"/>
      <c r="M254" s="197"/>
      <c r="N254" s="197"/>
      <c r="O254" s="197"/>
      <c r="P254" s="197"/>
      <c r="Q254" s="197"/>
      <c r="R254" s="197"/>
      <c r="S254" s="197"/>
      <c r="T254" s="13"/>
      <c r="U254" s="13"/>
      <c r="V254" s="13"/>
      <c r="W254" s="13"/>
      <c r="X254" s="13"/>
      <c r="Y254" s="13"/>
      <c r="Z254" s="13"/>
    </row>
    <row r="255" spans="1:26" ht="12.75" customHeight="1" x14ac:dyDescent="0.2">
      <c r="A255" s="8"/>
      <c r="B255" s="8"/>
      <c r="C255" s="197"/>
      <c r="D255" s="8"/>
      <c r="E255" s="197"/>
      <c r="F255" s="197"/>
      <c r="G255" s="197"/>
      <c r="H255" s="197"/>
      <c r="I255" s="197"/>
      <c r="J255" s="8"/>
      <c r="K255" s="197"/>
      <c r="L255" s="8"/>
      <c r="M255" s="197"/>
      <c r="N255" s="197"/>
      <c r="O255" s="197"/>
      <c r="P255" s="197"/>
      <c r="Q255" s="197"/>
      <c r="R255" s="197"/>
      <c r="S255" s="197"/>
      <c r="T255" s="13"/>
      <c r="U255" s="13"/>
      <c r="V255" s="13"/>
      <c r="W255" s="13"/>
      <c r="X255" s="13"/>
      <c r="Y255" s="13"/>
      <c r="Z255" s="13"/>
    </row>
    <row r="256" spans="1:26" ht="12.75" customHeight="1" x14ac:dyDescent="0.2">
      <c r="A256" s="8"/>
      <c r="B256" s="8"/>
      <c r="C256" s="197"/>
      <c r="D256" s="8"/>
      <c r="E256" s="197"/>
      <c r="F256" s="197"/>
      <c r="G256" s="197"/>
      <c r="H256" s="197"/>
      <c r="I256" s="197"/>
      <c r="J256" s="8"/>
      <c r="K256" s="197"/>
      <c r="L256" s="8"/>
      <c r="M256" s="197"/>
      <c r="N256" s="197"/>
      <c r="O256" s="197"/>
      <c r="P256" s="197"/>
      <c r="Q256" s="197"/>
      <c r="R256" s="197"/>
      <c r="S256" s="197"/>
      <c r="T256" s="13"/>
      <c r="U256" s="13"/>
      <c r="V256" s="13"/>
      <c r="W256" s="13"/>
      <c r="X256" s="13"/>
      <c r="Y256" s="13"/>
      <c r="Z256" s="13"/>
    </row>
    <row r="257" spans="1:26" ht="12.75" customHeight="1" x14ac:dyDescent="0.2">
      <c r="A257" s="8"/>
      <c r="B257" s="8"/>
      <c r="C257" s="197"/>
      <c r="D257" s="8"/>
      <c r="E257" s="197"/>
      <c r="F257" s="197"/>
      <c r="G257" s="197"/>
      <c r="H257" s="197"/>
      <c r="I257" s="197"/>
      <c r="J257" s="8"/>
      <c r="K257" s="197"/>
      <c r="L257" s="8"/>
      <c r="M257" s="197"/>
      <c r="N257" s="197"/>
      <c r="O257" s="197"/>
      <c r="P257" s="197"/>
      <c r="Q257" s="197"/>
      <c r="R257" s="197"/>
      <c r="S257" s="197"/>
      <c r="T257" s="13"/>
      <c r="U257" s="13"/>
      <c r="V257" s="13"/>
      <c r="W257" s="13"/>
      <c r="X257" s="13"/>
      <c r="Y257" s="13"/>
      <c r="Z257" s="13"/>
    </row>
    <row r="258" spans="1:26" ht="12.75" customHeight="1" x14ac:dyDescent="0.2">
      <c r="A258" s="8"/>
      <c r="B258" s="8"/>
      <c r="C258" s="197"/>
      <c r="D258" s="8"/>
      <c r="E258" s="197"/>
      <c r="F258" s="197"/>
      <c r="G258" s="197"/>
      <c r="H258" s="197"/>
      <c r="I258" s="197"/>
      <c r="J258" s="8"/>
      <c r="K258" s="197"/>
      <c r="L258" s="8"/>
      <c r="M258" s="197"/>
      <c r="N258" s="197"/>
      <c r="O258" s="197"/>
      <c r="P258" s="197"/>
      <c r="Q258" s="197"/>
      <c r="R258" s="197"/>
      <c r="S258" s="197"/>
      <c r="T258" s="13"/>
      <c r="U258" s="13"/>
      <c r="V258" s="13"/>
      <c r="W258" s="13"/>
      <c r="X258" s="13"/>
      <c r="Y258" s="13"/>
      <c r="Z258" s="13"/>
    </row>
    <row r="259" spans="1:26" ht="12.75" customHeight="1" x14ac:dyDescent="0.2">
      <c r="A259" s="8"/>
      <c r="B259" s="8"/>
      <c r="C259" s="197"/>
      <c r="D259" s="8"/>
      <c r="E259" s="197"/>
      <c r="F259" s="197"/>
      <c r="G259" s="197"/>
      <c r="H259" s="197"/>
      <c r="I259" s="197"/>
      <c r="J259" s="8"/>
      <c r="K259" s="197"/>
      <c r="L259" s="8"/>
      <c r="M259" s="197"/>
      <c r="N259" s="197"/>
      <c r="O259" s="197"/>
      <c r="P259" s="197"/>
      <c r="Q259" s="197"/>
      <c r="R259" s="197"/>
      <c r="S259" s="197"/>
      <c r="T259" s="13"/>
      <c r="U259" s="13"/>
      <c r="V259" s="13"/>
      <c r="W259" s="13"/>
      <c r="X259" s="13"/>
      <c r="Y259" s="13"/>
      <c r="Z259" s="13"/>
    </row>
    <row r="260" spans="1:26" ht="12.75" customHeight="1" x14ac:dyDescent="0.2">
      <c r="A260" s="8"/>
      <c r="B260" s="8"/>
      <c r="C260" s="197"/>
      <c r="D260" s="8"/>
      <c r="E260" s="197"/>
      <c r="F260" s="197"/>
      <c r="G260" s="197"/>
      <c r="H260" s="197"/>
      <c r="I260" s="197"/>
      <c r="J260" s="8"/>
      <c r="K260" s="197"/>
      <c r="L260" s="8"/>
      <c r="M260" s="197"/>
      <c r="N260" s="197"/>
      <c r="O260" s="197"/>
      <c r="P260" s="197"/>
      <c r="Q260" s="197"/>
      <c r="R260" s="197"/>
      <c r="S260" s="197"/>
      <c r="T260" s="13"/>
      <c r="U260" s="13"/>
      <c r="V260" s="13"/>
      <c r="W260" s="13"/>
      <c r="X260" s="13"/>
      <c r="Y260" s="13"/>
      <c r="Z260" s="13"/>
    </row>
    <row r="261" spans="1:26" ht="12.75" customHeight="1" x14ac:dyDescent="0.2">
      <c r="A261" s="8"/>
      <c r="B261" s="8"/>
      <c r="C261" s="197"/>
      <c r="D261" s="8"/>
      <c r="E261" s="197"/>
      <c r="F261" s="197"/>
      <c r="G261" s="197"/>
      <c r="H261" s="197"/>
      <c r="I261" s="197"/>
      <c r="J261" s="8"/>
      <c r="K261" s="197"/>
      <c r="L261" s="8"/>
      <c r="M261" s="197"/>
      <c r="N261" s="197"/>
      <c r="O261" s="197"/>
      <c r="P261" s="197"/>
      <c r="Q261" s="197"/>
      <c r="R261" s="197"/>
      <c r="S261" s="197"/>
      <c r="T261" s="13"/>
      <c r="U261" s="13"/>
      <c r="V261" s="13"/>
      <c r="W261" s="13"/>
      <c r="X261" s="13"/>
      <c r="Y261" s="13"/>
      <c r="Z261" s="13"/>
    </row>
    <row r="262" spans="1:26" ht="12.75" customHeight="1" x14ac:dyDescent="0.2">
      <c r="A262" s="8"/>
      <c r="B262" s="8"/>
      <c r="C262" s="197"/>
      <c r="D262" s="8"/>
      <c r="E262" s="197"/>
      <c r="F262" s="197"/>
      <c r="G262" s="197"/>
      <c r="H262" s="197"/>
      <c r="I262" s="197"/>
      <c r="J262" s="8"/>
      <c r="K262" s="197"/>
      <c r="L262" s="8"/>
      <c r="M262" s="197"/>
      <c r="N262" s="197"/>
      <c r="O262" s="197"/>
      <c r="P262" s="197"/>
      <c r="Q262" s="197"/>
      <c r="R262" s="197"/>
      <c r="S262" s="197"/>
      <c r="T262" s="13"/>
      <c r="U262" s="13"/>
      <c r="V262" s="13"/>
      <c r="W262" s="13"/>
      <c r="X262" s="13"/>
      <c r="Y262" s="13"/>
      <c r="Z262" s="13"/>
    </row>
    <row r="263" spans="1:26" ht="12.75" customHeight="1" x14ac:dyDescent="0.2">
      <c r="A263" s="8"/>
      <c r="B263" s="8"/>
      <c r="C263" s="197"/>
      <c r="D263" s="8"/>
      <c r="E263" s="197"/>
      <c r="F263" s="197"/>
      <c r="G263" s="197"/>
      <c r="H263" s="197"/>
      <c r="I263" s="197"/>
      <c r="J263" s="8"/>
      <c r="K263" s="197"/>
      <c r="L263" s="8"/>
      <c r="M263" s="197"/>
      <c r="N263" s="197"/>
      <c r="O263" s="197"/>
      <c r="P263" s="197"/>
      <c r="Q263" s="197"/>
      <c r="R263" s="197"/>
      <c r="S263" s="197"/>
      <c r="T263" s="13"/>
      <c r="U263" s="13"/>
      <c r="V263" s="13"/>
      <c r="W263" s="13"/>
      <c r="X263" s="13"/>
      <c r="Y263" s="13"/>
      <c r="Z263" s="13"/>
    </row>
    <row r="264" spans="1:26" ht="12.75" customHeight="1" x14ac:dyDescent="0.2">
      <c r="A264" s="8"/>
      <c r="B264" s="8"/>
      <c r="C264" s="197"/>
      <c r="D264" s="8"/>
      <c r="E264" s="197"/>
      <c r="F264" s="197"/>
      <c r="G264" s="197"/>
      <c r="H264" s="197"/>
      <c r="I264" s="197"/>
      <c r="J264" s="8"/>
      <c r="K264" s="197"/>
      <c r="L264" s="8"/>
      <c r="M264" s="197"/>
      <c r="N264" s="197"/>
      <c r="O264" s="197"/>
      <c r="P264" s="197"/>
      <c r="Q264" s="197"/>
      <c r="R264" s="197"/>
      <c r="S264" s="197"/>
      <c r="T264" s="13"/>
      <c r="U264" s="13"/>
      <c r="V264" s="13"/>
      <c r="W264" s="13"/>
      <c r="X264" s="13"/>
      <c r="Y264" s="13"/>
      <c r="Z264" s="13"/>
    </row>
    <row r="265" spans="1:26" ht="12.75" customHeight="1" x14ac:dyDescent="0.2">
      <c r="A265" s="8"/>
      <c r="B265" s="8"/>
      <c r="C265" s="197"/>
      <c r="D265" s="8"/>
      <c r="E265" s="197"/>
      <c r="F265" s="197"/>
      <c r="G265" s="197"/>
      <c r="H265" s="197"/>
      <c r="I265" s="197"/>
      <c r="J265" s="8"/>
      <c r="K265" s="197"/>
      <c r="L265" s="8"/>
      <c r="M265" s="197"/>
      <c r="N265" s="197"/>
      <c r="O265" s="197"/>
      <c r="P265" s="197"/>
      <c r="Q265" s="197"/>
      <c r="R265" s="197"/>
      <c r="S265" s="197"/>
      <c r="T265" s="13"/>
      <c r="U265" s="13"/>
      <c r="V265" s="13"/>
      <c r="W265" s="13"/>
      <c r="X265" s="13"/>
      <c r="Y265" s="13"/>
      <c r="Z265" s="13"/>
    </row>
    <row r="266" spans="1:26" ht="12.75" customHeight="1" x14ac:dyDescent="0.2">
      <c r="A266" s="8"/>
      <c r="B266" s="8"/>
      <c r="C266" s="197"/>
      <c r="D266" s="8"/>
      <c r="E266" s="197"/>
      <c r="F266" s="197"/>
      <c r="G266" s="197"/>
      <c r="H266" s="197"/>
      <c r="I266" s="197"/>
      <c r="J266" s="8"/>
      <c r="K266" s="197"/>
      <c r="L266" s="8"/>
      <c r="M266" s="197"/>
      <c r="N266" s="197"/>
      <c r="O266" s="197"/>
      <c r="P266" s="197"/>
      <c r="Q266" s="197"/>
      <c r="R266" s="197"/>
      <c r="S266" s="197"/>
      <c r="T266" s="13"/>
      <c r="U266" s="13"/>
      <c r="V266" s="13"/>
      <c r="W266" s="13"/>
      <c r="X266" s="13"/>
      <c r="Y266" s="13"/>
      <c r="Z266" s="13"/>
    </row>
    <row r="267" spans="1:26" ht="12.75" customHeight="1" x14ac:dyDescent="0.2">
      <c r="A267" s="8"/>
      <c r="B267" s="8"/>
      <c r="C267" s="197"/>
      <c r="D267" s="8"/>
      <c r="E267" s="197"/>
      <c r="F267" s="197"/>
      <c r="G267" s="197"/>
      <c r="H267" s="197"/>
      <c r="I267" s="197"/>
      <c r="J267" s="8"/>
      <c r="K267" s="197"/>
      <c r="L267" s="8"/>
      <c r="M267" s="197"/>
      <c r="N267" s="197"/>
      <c r="O267" s="197"/>
      <c r="P267" s="197"/>
      <c r="Q267" s="197"/>
      <c r="R267" s="197"/>
      <c r="S267" s="197"/>
      <c r="T267" s="13"/>
      <c r="U267" s="13"/>
      <c r="V267" s="13"/>
      <c r="W267" s="13"/>
      <c r="X267" s="13"/>
      <c r="Y267" s="13"/>
      <c r="Z267" s="13"/>
    </row>
    <row r="268" spans="1:26" ht="12.75" customHeight="1" x14ac:dyDescent="0.2">
      <c r="A268" s="8"/>
      <c r="B268" s="8"/>
      <c r="C268" s="197"/>
      <c r="D268" s="8"/>
      <c r="E268" s="197"/>
      <c r="F268" s="197"/>
      <c r="G268" s="197"/>
      <c r="H268" s="197"/>
      <c r="I268" s="197"/>
      <c r="J268" s="8"/>
      <c r="K268" s="197"/>
      <c r="L268" s="8"/>
      <c r="M268" s="197"/>
      <c r="N268" s="197"/>
      <c r="O268" s="197"/>
      <c r="P268" s="197"/>
      <c r="Q268" s="197"/>
      <c r="R268" s="197"/>
      <c r="S268" s="197"/>
      <c r="T268" s="13"/>
      <c r="U268" s="13"/>
      <c r="V268" s="13"/>
      <c r="W268" s="13"/>
      <c r="X268" s="13"/>
      <c r="Y268" s="13"/>
      <c r="Z268" s="13"/>
    </row>
    <row r="269" spans="1:26" ht="12.75" customHeight="1" x14ac:dyDescent="0.2">
      <c r="A269" s="8"/>
      <c r="B269" s="8"/>
      <c r="C269" s="197"/>
      <c r="D269" s="8"/>
      <c r="E269" s="197"/>
      <c r="F269" s="197"/>
      <c r="G269" s="197"/>
      <c r="H269" s="197"/>
      <c r="I269" s="197"/>
      <c r="J269" s="8"/>
      <c r="K269" s="197"/>
      <c r="L269" s="8"/>
      <c r="M269" s="197"/>
      <c r="N269" s="197"/>
      <c r="O269" s="197"/>
      <c r="P269" s="197"/>
      <c r="Q269" s="197"/>
      <c r="R269" s="197"/>
      <c r="S269" s="197"/>
      <c r="T269" s="13"/>
      <c r="U269" s="13"/>
      <c r="V269" s="13"/>
      <c r="W269" s="13"/>
      <c r="X269" s="13"/>
      <c r="Y269" s="13"/>
      <c r="Z269" s="13"/>
    </row>
    <row r="270" spans="1:26" ht="12.75" customHeight="1" x14ac:dyDescent="0.2">
      <c r="A270" s="8"/>
      <c r="B270" s="8"/>
      <c r="C270" s="197"/>
      <c r="D270" s="8"/>
      <c r="E270" s="197"/>
      <c r="F270" s="197"/>
      <c r="G270" s="197"/>
      <c r="H270" s="197"/>
      <c r="I270" s="197"/>
      <c r="J270" s="8"/>
      <c r="K270" s="197"/>
      <c r="L270" s="8"/>
      <c r="M270" s="197"/>
      <c r="N270" s="197"/>
      <c r="O270" s="197"/>
      <c r="P270" s="197"/>
      <c r="Q270" s="197"/>
      <c r="R270" s="197"/>
      <c r="S270" s="197"/>
      <c r="T270" s="13"/>
      <c r="U270" s="13"/>
      <c r="V270" s="13"/>
      <c r="W270" s="13"/>
      <c r="X270" s="13"/>
      <c r="Y270" s="13"/>
      <c r="Z270" s="13"/>
    </row>
    <row r="271" spans="1:26" ht="12.75" customHeight="1" x14ac:dyDescent="0.2">
      <c r="A271" s="8"/>
      <c r="B271" s="8"/>
      <c r="C271" s="197"/>
      <c r="D271" s="8"/>
      <c r="E271" s="197"/>
      <c r="F271" s="197"/>
      <c r="G271" s="197"/>
      <c r="H271" s="197"/>
      <c r="I271" s="197"/>
      <c r="J271" s="8"/>
      <c r="K271" s="197"/>
      <c r="L271" s="8"/>
      <c r="M271" s="197"/>
      <c r="N271" s="197"/>
      <c r="O271" s="197"/>
      <c r="P271" s="197"/>
      <c r="Q271" s="197"/>
      <c r="R271" s="197"/>
      <c r="S271" s="197"/>
      <c r="T271" s="13"/>
      <c r="U271" s="13"/>
      <c r="V271" s="13"/>
      <c r="W271" s="13"/>
      <c r="X271" s="13"/>
      <c r="Y271" s="13"/>
      <c r="Z271" s="13"/>
    </row>
    <row r="272" spans="1:26" ht="12.75" customHeight="1" x14ac:dyDescent="0.2">
      <c r="A272" s="8"/>
      <c r="B272" s="8"/>
      <c r="C272" s="197"/>
      <c r="D272" s="8"/>
      <c r="E272" s="197"/>
      <c r="F272" s="197"/>
      <c r="G272" s="197"/>
      <c r="H272" s="197"/>
      <c r="I272" s="197"/>
      <c r="J272" s="8"/>
      <c r="K272" s="197"/>
      <c r="L272" s="8"/>
      <c r="M272" s="197"/>
      <c r="N272" s="197"/>
      <c r="O272" s="197"/>
      <c r="P272" s="197"/>
      <c r="Q272" s="197"/>
      <c r="R272" s="197"/>
      <c r="S272" s="197"/>
      <c r="T272" s="13"/>
      <c r="U272" s="13"/>
      <c r="V272" s="13"/>
      <c r="W272" s="13"/>
      <c r="X272" s="13"/>
      <c r="Y272" s="13"/>
      <c r="Z272" s="13"/>
    </row>
    <row r="273" spans="1:26" ht="12.75" customHeight="1" x14ac:dyDescent="0.2">
      <c r="A273" s="8"/>
      <c r="B273" s="8"/>
      <c r="C273" s="197"/>
      <c r="D273" s="8"/>
      <c r="E273" s="197"/>
      <c r="F273" s="197"/>
      <c r="G273" s="197"/>
      <c r="H273" s="197"/>
      <c r="I273" s="197"/>
      <c r="J273" s="8"/>
      <c r="K273" s="197"/>
      <c r="L273" s="8"/>
      <c r="M273" s="197"/>
      <c r="N273" s="197"/>
      <c r="O273" s="197"/>
      <c r="P273" s="197"/>
      <c r="Q273" s="197"/>
      <c r="R273" s="197"/>
      <c r="S273" s="197"/>
      <c r="T273" s="13"/>
      <c r="U273" s="13"/>
      <c r="V273" s="13"/>
      <c r="W273" s="13"/>
      <c r="X273" s="13"/>
      <c r="Y273" s="13"/>
      <c r="Z273" s="13"/>
    </row>
    <row r="274" spans="1:26" ht="12.75" customHeight="1" x14ac:dyDescent="0.2">
      <c r="A274" s="8"/>
      <c r="B274" s="8"/>
      <c r="C274" s="197"/>
      <c r="D274" s="8"/>
      <c r="E274" s="197"/>
      <c r="F274" s="197"/>
      <c r="G274" s="197"/>
      <c r="H274" s="197"/>
      <c r="I274" s="197"/>
      <c r="J274" s="8"/>
      <c r="K274" s="197"/>
      <c r="L274" s="8"/>
      <c r="M274" s="197"/>
      <c r="N274" s="197"/>
      <c r="O274" s="197"/>
      <c r="P274" s="197"/>
      <c r="Q274" s="197"/>
      <c r="R274" s="197"/>
      <c r="S274" s="197"/>
      <c r="T274" s="13"/>
      <c r="U274" s="13"/>
      <c r="V274" s="13"/>
      <c r="W274" s="13"/>
      <c r="X274" s="13"/>
      <c r="Y274" s="13"/>
      <c r="Z274" s="13"/>
    </row>
    <row r="275" spans="1:26" ht="12.75" customHeight="1" x14ac:dyDescent="0.2">
      <c r="A275" s="8"/>
      <c r="B275" s="8"/>
      <c r="C275" s="197"/>
      <c r="D275" s="8"/>
      <c r="E275" s="197"/>
      <c r="F275" s="197"/>
      <c r="G275" s="197"/>
      <c r="H275" s="197"/>
      <c r="I275" s="197"/>
      <c r="J275" s="8"/>
      <c r="K275" s="197"/>
      <c r="L275" s="8"/>
      <c r="M275" s="197"/>
      <c r="N275" s="197"/>
      <c r="O275" s="197"/>
      <c r="P275" s="197"/>
      <c r="Q275" s="197"/>
      <c r="R275" s="197"/>
      <c r="S275" s="197"/>
      <c r="T275" s="13"/>
      <c r="U275" s="13"/>
      <c r="V275" s="13"/>
      <c r="W275" s="13"/>
      <c r="X275" s="13"/>
      <c r="Y275" s="13"/>
      <c r="Z275" s="13"/>
    </row>
    <row r="276" spans="1:26" ht="12.75" customHeight="1" x14ac:dyDescent="0.2">
      <c r="A276" s="8"/>
      <c r="B276" s="8"/>
      <c r="C276" s="197"/>
      <c r="D276" s="8"/>
      <c r="E276" s="197"/>
      <c r="F276" s="197"/>
      <c r="G276" s="197"/>
      <c r="H276" s="197"/>
      <c r="I276" s="197"/>
      <c r="J276" s="8"/>
      <c r="K276" s="197"/>
      <c r="L276" s="8"/>
      <c r="M276" s="197"/>
      <c r="N276" s="197"/>
      <c r="O276" s="197"/>
      <c r="P276" s="197"/>
      <c r="Q276" s="197"/>
      <c r="R276" s="197"/>
      <c r="S276" s="197"/>
      <c r="T276" s="13"/>
      <c r="U276" s="13"/>
      <c r="V276" s="13"/>
      <c r="W276" s="13"/>
      <c r="X276" s="13"/>
      <c r="Y276" s="13"/>
      <c r="Z276" s="13"/>
    </row>
    <row r="277" spans="1:26" ht="12.75" customHeight="1" x14ac:dyDescent="0.2">
      <c r="A277" s="8"/>
      <c r="B277" s="8"/>
      <c r="C277" s="197"/>
      <c r="D277" s="8"/>
      <c r="E277" s="197"/>
      <c r="F277" s="197"/>
      <c r="G277" s="197"/>
      <c r="H277" s="197"/>
      <c r="I277" s="197"/>
      <c r="J277" s="8"/>
      <c r="K277" s="197"/>
      <c r="L277" s="8"/>
      <c r="M277" s="197"/>
      <c r="N277" s="197"/>
      <c r="O277" s="197"/>
      <c r="P277" s="197"/>
      <c r="Q277" s="197"/>
      <c r="R277" s="197"/>
      <c r="S277" s="197"/>
      <c r="T277" s="13"/>
      <c r="U277" s="13"/>
      <c r="V277" s="13"/>
      <c r="W277" s="13"/>
      <c r="X277" s="13"/>
      <c r="Y277" s="13"/>
      <c r="Z277" s="13"/>
    </row>
    <row r="278" spans="1:26" ht="12.75" customHeight="1" x14ac:dyDescent="0.2">
      <c r="A278" s="8"/>
      <c r="B278" s="8"/>
      <c r="C278" s="197"/>
      <c r="D278" s="8"/>
      <c r="E278" s="197"/>
      <c r="F278" s="197"/>
      <c r="G278" s="197"/>
      <c r="H278" s="197"/>
      <c r="I278" s="197"/>
      <c r="J278" s="8"/>
      <c r="K278" s="197"/>
      <c r="L278" s="8"/>
      <c r="M278" s="197"/>
      <c r="N278" s="197"/>
      <c r="O278" s="197"/>
      <c r="P278" s="197"/>
      <c r="Q278" s="197"/>
      <c r="R278" s="197"/>
      <c r="S278" s="197"/>
      <c r="T278" s="13"/>
      <c r="U278" s="13"/>
      <c r="V278" s="13"/>
      <c r="W278" s="13"/>
      <c r="X278" s="13"/>
      <c r="Y278" s="13"/>
      <c r="Z278" s="13"/>
    </row>
    <row r="279" spans="1:26" ht="12.75" customHeight="1" x14ac:dyDescent="0.2">
      <c r="A279" s="8"/>
      <c r="B279" s="8"/>
      <c r="C279" s="197"/>
      <c r="D279" s="8"/>
      <c r="E279" s="197"/>
      <c r="F279" s="197"/>
      <c r="G279" s="197"/>
      <c r="H279" s="197"/>
      <c r="I279" s="197"/>
      <c r="J279" s="8"/>
      <c r="K279" s="197"/>
      <c r="L279" s="8"/>
      <c r="M279" s="197"/>
      <c r="N279" s="197"/>
      <c r="O279" s="197"/>
      <c r="P279" s="197"/>
      <c r="Q279" s="197"/>
      <c r="R279" s="197"/>
      <c r="S279" s="197"/>
      <c r="T279" s="13"/>
      <c r="U279" s="13"/>
      <c r="V279" s="13"/>
      <c r="W279" s="13"/>
      <c r="X279" s="13"/>
      <c r="Y279" s="13"/>
      <c r="Z279" s="13"/>
    </row>
    <row r="280" spans="1:26" ht="12.75" customHeight="1" x14ac:dyDescent="0.2">
      <c r="A280" s="8"/>
      <c r="B280" s="8"/>
      <c r="C280" s="197"/>
      <c r="D280" s="8"/>
      <c r="E280" s="197"/>
      <c r="F280" s="197"/>
      <c r="G280" s="197"/>
      <c r="H280" s="197"/>
      <c r="I280" s="197"/>
      <c r="J280" s="8"/>
      <c r="K280" s="197"/>
      <c r="L280" s="8"/>
      <c r="M280" s="197"/>
      <c r="N280" s="197"/>
      <c r="O280" s="197"/>
      <c r="P280" s="197"/>
      <c r="Q280" s="197"/>
      <c r="R280" s="197"/>
      <c r="S280" s="197"/>
      <c r="T280" s="13"/>
      <c r="U280" s="13"/>
      <c r="V280" s="13"/>
      <c r="W280" s="13"/>
      <c r="X280" s="13"/>
      <c r="Y280" s="13"/>
      <c r="Z280" s="13"/>
    </row>
    <row r="281" spans="1:26" ht="12.75" customHeight="1" x14ac:dyDescent="0.2">
      <c r="A281" s="8"/>
      <c r="B281" s="8"/>
      <c r="C281" s="197"/>
      <c r="D281" s="8"/>
      <c r="E281" s="197"/>
      <c r="F281" s="197"/>
      <c r="G281" s="197"/>
      <c r="H281" s="197"/>
      <c r="I281" s="197"/>
      <c r="J281" s="8"/>
      <c r="K281" s="197"/>
      <c r="L281" s="8"/>
      <c r="M281" s="197"/>
      <c r="N281" s="197"/>
      <c r="O281" s="197"/>
      <c r="P281" s="197"/>
      <c r="Q281" s="197"/>
      <c r="R281" s="197"/>
      <c r="S281" s="197"/>
      <c r="T281" s="13"/>
      <c r="U281" s="13"/>
      <c r="V281" s="13"/>
      <c r="W281" s="13"/>
      <c r="X281" s="13"/>
      <c r="Y281" s="13"/>
      <c r="Z281" s="13"/>
    </row>
    <row r="282" spans="1:26" ht="12.75" customHeight="1" x14ac:dyDescent="0.2">
      <c r="A282" s="8"/>
      <c r="B282" s="8"/>
      <c r="C282" s="197"/>
      <c r="D282" s="8"/>
      <c r="E282" s="197"/>
      <c r="F282" s="197"/>
      <c r="G282" s="197"/>
      <c r="H282" s="197"/>
      <c r="I282" s="197"/>
      <c r="J282" s="8"/>
      <c r="K282" s="197"/>
      <c r="L282" s="8"/>
      <c r="M282" s="197"/>
      <c r="N282" s="197"/>
      <c r="O282" s="197"/>
      <c r="P282" s="197"/>
      <c r="Q282" s="197"/>
      <c r="R282" s="197"/>
      <c r="S282" s="197"/>
      <c r="T282" s="13"/>
      <c r="U282" s="13"/>
      <c r="V282" s="13"/>
      <c r="W282" s="13"/>
      <c r="X282" s="13"/>
      <c r="Y282" s="13"/>
      <c r="Z282" s="13"/>
    </row>
    <row r="283" spans="1:26" ht="12.75" customHeight="1" x14ac:dyDescent="0.2">
      <c r="A283" s="8"/>
      <c r="B283" s="8"/>
      <c r="C283" s="197"/>
      <c r="D283" s="8"/>
      <c r="E283" s="197"/>
      <c r="F283" s="197"/>
      <c r="G283" s="197"/>
      <c r="H283" s="197"/>
      <c r="I283" s="197"/>
      <c r="J283" s="8"/>
      <c r="K283" s="197"/>
      <c r="L283" s="8"/>
      <c r="M283" s="197"/>
      <c r="N283" s="197"/>
      <c r="O283" s="197"/>
      <c r="P283" s="197"/>
      <c r="Q283" s="197"/>
      <c r="R283" s="197"/>
      <c r="S283" s="197"/>
      <c r="T283" s="13"/>
      <c r="U283" s="13"/>
      <c r="V283" s="13"/>
      <c r="W283" s="13"/>
      <c r="X283" s="13"/>
      <c r="Y283" s="13"/>
      <c r="Z283" s="13"/>
    </row>
    <row r="284" spans="1:26" ht="12.75" customHeight="1" x14ac:dyDescent="0.2">
      <c r="A284" s="8"/>
      <c r="B284" s="8"/>
      <c r="C284" s="197"/>
      <c r="D284" s="8"/>
      <c r="E284" s="197"/>
      <c r="F284" s="197"/>
      <c r="G284" s="197"/>
      <c r="H284" s="197"/>
      <c r="I284" s="197"/>
      <c r="J284" s="8"/>
      <c r="K284" s="197"/>
      <c r="L284" s="8"/>
      <c r="M284" s="197"/>
      <c r="N284" s="197"/>
      <c r="O284" s="197"/>
      <c r="P284" s="197"/>
      <c r="Q284" s="197"/>
      <c r="R284" s="197"/>
      <c r="S284" s="197"/>
      <c r="T284" s="13"/>
      <c r="U284" s="13"/>
      <c r="V284" s="13"/>
      <c r="W284" s="13"/>
      <c r="X284" s="13"/>
      <c r="Y284" s="13"/>
      <c r="Z284" s="13"/>
    </row>
    <row r="285" spans="1:26" ht="12.75" customHeight="1" x14ac:dyDescent="0.2">
      <c r="A285" s="8"/>
      <c r="B285" s="8"/>
      <c r="C285" s="197"/>
      <c r="D285" s="8"/>
      <c r="E285" s="197"/>
      <c r="F285" s="197"/>
      <c r="G285" s="197"/>
      <c r="H285" s="197"/>
      <c r="I285" s="197"/>
      <c r="J285" s="8"/>
      <c r="K285" s="197"/>
      <c r="L285" s="8"/>
      <c r="M285" s="197"/>
      <c r="N285" s="197"/>
      <c r="O285" s="197"/>
      <c r="P285" s="197"/>
      <c r="Q285" s="197"/>
      <c r="R285" s="197"/>
      <c r="S285" s="197"/>
      <c r="T285" s="13"/>
      <c r="U285" s="13"/>
      <c r="V285" s="13"/>
      <c r="W285" s="13"/>
      <c r="X285" s="13"/>
      <c r="Y285" s="13"/>
      <c r="Z285" s="13"/>
    </row>
    <row r="286" spans="1:26" ht="12.75" customHeight="1" x14ac:dyDescent="0.2">
      <c r="A286" s="8"/>
      <c r="B286" s="8"/>
      <c r="C286" s="197"/>
      <c r="D286" s="8"/>
      <c r="E286" s="197"/>
      <c r="F286" s="197"/>
      <c r="G286" s="197"/>
      <c r="H286" s="197"/>
      <c r="I286" s="197"/>
      <c r="J286" s="8"/>
      <c r="K286" s="197"/>
      <c r="L286" s="8"/>
      <c r="M286" s="197"/>
      <c r="N286" s="197"/>
      <c r="O286" s="197"/>
      <c r="P286" s="197"/>
      <c r="Q286" s="197"/>
      <c r="R286" s="197"/>
      <c r="S286" s="197"/>
      <c r="T286" s="13"/>
      <c r="U286" s="13"/>
      <c r="V286" s="13"/>
      <c r="W286" s="13"/>
      <c r="X286" s="13"/>
      <c r="Y286" s="13"/>
      <c r="Z286" s="13"/>
    </row>
    <row r="287" spans="1:26" ht="12.75" customHeight="1" x14ac:dyDescent="0.2">
      <c r="A287" s="8"/>
      <c r="B287" s="8"/>
      <c r="C287" s="197"/>
      <c r="D287" s="8"/>
      <c r="E287" s="197"/>
      <c r="F287" s="197"/>
      <c r="G287" s="197"/>
      <c r="H287" s="197"/>
      <c r="I287" s="197"/>
      <c r="J287" s="8"/>
      <c r="K287" s="197"/>
      <c r="L287" s="8"/>
      <c r="M287" s="197"/>
      <c r="N287" s="197"/>
      <c r="O287" s="197"/>
      <c r="P287" s="197"/>
      <c r="Q287" s="197"/>
      <c r="R287" s="197"/>
      <c r="S287" s="197"/>
      <c r="T287" s="13"/>
      <c r="U287" s="13"/>
      <c r="V287" s="13"/>
      <c r="W287" s="13"/>
      <c r="X287" s="13"/>
      <c r="Y287" s="13"/>
      <c r="Z287" s="13"/>
    </row>
    <row r="288" spans="1:26" ht="12.75" customHeight="1" x14ac:dyDescent="0.2">
      <c r="A288" s="8"/>
      <c r="B288" s="8"/>
      <c r="C288" s="197"/>
      <c r="D288" s="8"/>
      <c r="E288" s="197"/>
      <c r="F288" s="197"/>
      <c r="G288" s="197"/>
      <c r="H288" s="197"/>
      <c r="I288" s="197"/>
      <c r="J288" s="8"/>
      <c r="K288" s="197"/>
      <c r="L288" s="8"/>
      <c r="M288" s="197"/>
      <c r="N288" s="197"/>
      <c r="O288" s="197"/>
      <c r="P288" s="197"/>
      <c r="Q288" s="197"/>
      <c r="R288" s="197"/>
      <c r="S288" s="197"/>
      <c r="T288" s="13"/>
      <c r="U288" s="13"/>
      <c r="V288" s="13"/>
      <c r="W288" s="13"/>
      <c r="X288" s="13"/>
      <c r="Y288" s="13"/>
      <c r="Z288" s="13"/>
    </row>
    <row r="289" spans="1:26" ht="12.75" customHeight="1" x14ac:dyDescent="0.2">
      <c r="A289" s="8"/>
      <c r="B289" s="8"/>
      <c r="C289" s="197"/>
      <c r="D289" s="8"/>
      <c r="E289" s="197"/>
      <c r="F289" s="197"/>
      <c r="G289" s="197"/>
      <c r="H289" s="197"/>
      <c r="I289" s="197"/>
      <c r="J289" s="8"/>
      <c r="K289" s="197"/>
      <c r="L289" s="8"/>
      <c r="M289" s="197"/>
      <c r="N289" s="197"/>
      <c r="O289" s="197"/>
      <c r="P289" s="197"/>
      <c r="Q289" s="197"/>
      <c r="R289" s="197"/>
      <c r="S289" s="197"/>
      <c r="T289" s="13"/>
      <c r="U289" s="13"/>
      <c r="V289" s="13"/>
      <c r="W289" s="13"/>
      <c r="X289" s="13"/>
      <c r="Y289" s="13"/>
      <c r="Z289" s="13"/>
    </row>
    <row r="290" spans="1:26" ht="12.75" customHeight="1" x14ac:dyDescent="0.2">
      <c r="A290" s="8"/>
      <c r="B290" s="8"/>
      <c r="C290" s="197"/>
      <c r="D290" s="8"/>
      <c r="E290" s="197"/>
      <c r="F290" s="197"/>
      <c r="G290" s="197"/>
      <c r="H290" s="197"/>
      <c r="I290" s="197"/>
      <c r="J290" s="8"/>
      <c r="K290" s="197"/>
      <c r="L290" s="8"/>
      <c r="M290" s="197"/>
      <c r="N290" s="197"/>
      <c r="O290" s="197"/>
      <c r="P290" s="197"/>
      <c r="Q290" s="197"/>
      <c r="R290" s="197"/>
      <c r="S290" s="197"/>
      <c r="T290" s="13"/>
      <c r="U290" s="13"/>
      <c r="V290" s="13"/>
      <c r="W290" s="13"/>
      <c r="X290" s="13"/>
      <c r="Y290" s="13"/>
      <c r="Z290" s="13"/>
    </row>
    <row r="291" spans="1:26" ht="12.75" customHeight="1" x14ac:dyDescent="0.2">
      <c r="A291" s="8"/>
      <c r="B291" s="8"/>
      <c r="C291" s="197"/>
      <c r="D291" s="8"/>
      <c r="E291" s="197"/>
      <c r="F291" s="197"/>
      <c r="G291" s="197"/>
      <c r="H291" s="197"/>
      <c r="I291" s="197"/>
      <c r="J291" s="8"/>
      <c r="K291" s="197"/>
      <c r="L291" s="8"/>
      <c r="M291" s="197"/>
      <c r="N291" s="197"/>
      <c r="O291" s="197"/>
      <c r="P291" s="197"/>
      <c r="Q291" s="197"/>
      <c r="R291" s="197"/>
      <c r="S291" s="197"/>
      <c r="T291" s="13"/>
      <c r="U291" s="13"/>
      <c r="V291" s="13"/>
      <c r="W291" s="13"/>
      <c r="X291" s="13"/>
      <c r="Y291" s="13"/>
      <c r="Z291" s="13"/>
    </row>
    <row r="292" spans="1:26" ht="12.75" customHeight="1" x14ac:dyDescent="0.2">
      <c r="A292" s="8"/>
      <c r="B292" s="8"/>
      <c r="C292" s="197"/>
      <c r="D292" s="8"/>
      <c r="E292" s="197"/>
      <c r="F292" s="197"/>
      <c r="G292" s="197"/>
      <c r="H292" s="197"/>
      <c r="I292" s="197"/>
      <c r="J292" s="8"/>
      <c r="K292" s="197"/>
      <c r="L292" s="8"/>
      <c r="M292" s="197"/>
      <c r="N292" s="197"/>
      <c r="O292" s="197"/>
      <c r="P292" s="197"/>
      <c r="Q292" s="197"/>
      <c r="R292" s="197"/>
      <c r="S292" s="197"/>
      <c r="T292" s="13"/>
      <c r="U292" s="13"/>
      <c r="V292" s="13"/>
      <c r="W292" s="13"/>
      <c r="X292" s="13"/>
      <c r="Y292" s="13"/>
      <c r="Z292" s="13"/>
    </row>
    <row r="293" spans="1:26" ht="12.75" customHeight="1" x14ac:dyDescent="0.2">
      <c r="A293" s="8"/>
      <c r="B293" s="8"/>
      <c r="C293" s="197"/>
      <c r="D293" s="8"/>
      <c r="E293" s="197"/>
      <c r="F293" s="197"/>
      <c r="G293" s="197"/>
      <c r="H293" s="197"/>
      <c r="I293" s="197"/>
      <c r="J293" s="8"/>
      <c r="K293" s="197"/>
      <c r="L293" s="8"/>
      <c r="M293" s="197"/>
      <c r="N293" s="197"/>
      <c r="O293" s="197"/>
      <c r="P293" s="197"/>
      <c r="Q293" s="197"/>
      <c r="R293" s="197"/>
      <c r="S293" s="197"/>
      <c r="T293" s="13"/>
      <c r="U293" s="13"/>
      <c r="V293" s="13"/>
      <c r="W293" s="13"/>
      <c r="X293" s="13"/>
      <c r="Y293" s="13"/>
      <c r="Z293" s="13"/>
    </row>
    <row r="294" spans="1:26" ht="12.75" customHeight="1" x14ac:dyDescent="0.2">
      <c r="A294" s="8"/>
      <c r="B294" s="8"/>
      <c r="C294" s="197"/>
      <c r="D294" s="8"/>
      <c r="E294" s="197"/>
      <c r="F294" s="197"/>
      <c r="G294" s="197"/>
      <c r="H294" s="197"/>
      <c r="I294" s="197"/>
      <c r="J294" s="8"/>
      <c r="K294" s="197"/>
      <c r="L294" s="8"/>
      <c r="M294" s="197"/>
      <c r="N294" s="197"/>
      <c r="O294" s="197"/>
      <c r="P294" s="197"/>
      <c r="Q294" s="197"/>
      <c r="R294" s="197"/>
      <c r="S294" s="197"/>
      <c r="T294" s="13"/>
      <c r="U294" s="13"/>
      <c r="V294" s="13"/>
      <c r="W294" s="13"/>
      <c r="X294" s="13"/>
      <c r="Y294" s="13"/>
      <c r="Z294" s="13"/>
    </row>
    <row r="295" spans="1:26" ht="12.75" customHeight="1" x14ac:dyDescent="0.2">
      <c r="A295" s="8"/>
      <c r="B295" s="8"/>
      <c r="C295" s="197"/>
      <c r="D295" s="8"/>
      <c r="E295" s="197"/>
      <c r="F295" s="197"/>
      <c r="G295" s="197"/>
      <c r="H295" s="197"/>
      <c r="I295" s="197"/>
      <c r="J295" s="8"/>
      <c r="K295" s="197"/>
      <c r="L295" s="8"/>
      <c r="M295" s="197"/>
      <c r="N295" s="197"/>
      <c r="O295" s="197"/>
      <c r="P295" s="197"/>
      <c r="Q295" s="197"/>
      <c r="R295" s="197"/>
      <c r="S295" s="197"/>
      <c r="T295" s="13"/>
      <c r="U295" s="13"/>
      <c r="V295" s="13"/>
      <c r="W295" s="13"/>
      <c r="X295" s="13"/>
      <c r="Y295" s="13"/>
      <c r="Z295" s="13"/>
    </row>
    <row r="296" spans="1:26" ht="12.75" customHeight="1" x14ac:dyDescent="0.2">
      <c r="A296" s="8"/>
      <c r="B296" s="8"/>
      <c r="C296" s="197"/>
      <c r="D296" s="8"/>
      <c r="E296" s="197"/>
      <c r="F296" s="197"/>
      <c r="G296" s="197"/>
      <c r="H296" s="197"/>
      <c r="I296" s="197"/>
      <c r="J296" s="8"/>
      <c r="K296" s="197"/>
      <c r="L296" s="8"/>
      <c r="M296" s="197"/>
      <c r="N296" s="197"/>
      <c r="O296" s="197"/>
      <c r="P296" s="197"/>
      <c r="Q296" s="197"/>
      <c r="R296" s="197"/>
      <c r="S296" s="197"/>
      <c r="T296" s="13"/>
      <c r="U296" s="13"/>
      <c r="V296" s="13"/>
      <c r="W296" s="13"/>
      <c r="X296" s="13"/>
      <c r="Y296" s="13"/>
      <c r="Z296" s="13"/>
    </row>
    <row r="297" spans="1:26" ht="12.75" customHeight="1" x14ac:dyDescent="0.2">
      <c r="A297" s="8"/>
      <c r="B297" s="8"/>
      <c r="C297" s="197"/>
      <c r="D297" s="8"/>
      <c r="E297" s="197"/>
      <c r="F297" s="197"/>
      <c r="G297" s="197"/>
      <c r="H297" s="197"/>
      <c r="I297" s="197"/>
      <c r="J297" s="8"/>
      <c r="K297" s="197"/>
      <c r="L297" s="8"/>
      <c r="M297" s="197"/>
      <c r="N297" s="197"/>
      <c r="O297" s="197"/>
      <c r="P297" s="197"/>
      <c r="Q297" s="197"/>
      <c r="R297" s="197"/>
      <c r="S297" s="197"/>
      <c r="T297" s="13"/>
      <c r="U297" s="13"/>
      <c r="V297" s="13"/>
      <c r="W297" s="13"/>
      <c r="X297" s="13"/>
      <c r="Y297" s="13"/>
      <c r="Z297" s="13"/>
    </row>
    <row r="298" spans="1:26" ht="12.75" customHeight="1" x14ac:dyDescent="0.2">
      <c r="A298" s="8"/>
      <c r="B298" s="8"/>
      <c r="C298" s="197"/>
      <c r="D298" s="8"/>
      <c r="E298" s="197"/>
      <c r="F298" s="197"/>
      <c r="G298" s="197"/>
      <c r="H298" s="197"/>
      <c r="I298" s="197"/>
      <c r="J298" s="8"/>
      <c r="K298" s="197"/>
      <c r="L298" s="8"/>
      <c r="M298" s="197"/>
      <c r="N298" s="197"/>
      <c r="O298" s="197"/>
      <c r="P298" s="197"/>
      <c r="Q298" s="197"/>
      <c r="R298" s="197"/>
      <c r="S298" s="197"/>
      <c r="T298" s="13"/>
      <c r="U298" s="13"/>
      <c r="V298" s="13"/>
      <c r="W298" s="13"/>
      <c r="X298" s="13"/>
      <c r="Y298" s="13"/>
      <c r="Z298" s="13"/>
    </row>
    <row r="299" spans="1:26" ht="12.75" customHeight="1" x14ac:dyDescent="0.2">
      <c r="A299" s="8"/>
      <c r="B299" s="8"/>
      <c r="C299" s="197"/>
      <c r="D299" s="8"/>
      <c r="E299" s="197"/>
      <c r="F299" s="197"/>
      <c r="G299" s="197"/>
      <c r="H299" s="197"/>
      <c r="I299" s="197"/>
      <c r="J299" s="8"/>
      <c r="K299" s="197"/>
      <c r="L299" s="8"/>
      <c r="M299" s="197"/>
      <c r="N299" s="197"/>
      <c r="O299" s="197"/>
      <c r="P299" s="197"/>
      <c r="Q299" s="197"/>
      <c r="R299" s="197"/>
      <c r="S299" s="197"/>
      <c r="T299" s="13"/>
      <c r="U299" s="13"/>
      <c r="V299" s="13"/>
      <c r="W299" s="13"/>
      <c r="X299" s="13"/>
      <c r="Y299" s="13"/>
      <c r="Z299" s="13"/>
    </row>
    <row r="300" spans="1:26" ht="12.75" customHeight="1" x14ac:dyDescent="0.2">
      <c r="A300" s="8"/>
      <c r="B300" s="8"/>
      <c r="C300" s="197"/>
      <c r="D300" s="8"/>
      <c r="E300" s="197"/>
      <c r="F300" s="197"/>
      <c r="G300" s="197"/>
      <c r="H300" s="197"/>
      <c r="I300" s="197"/>
      <c r="J300" s="8"/>
      <c r="K300" s="197"/>
      <c r="L300" s="8"/>
      <c r="M300" s="197"/>
      <c r="N300" s="197"/>
      <c r="O300" s="197"/>
      <c r="P300" s="197"/>
      <c r="Q300" s="197"/>
      <c r="R300" s="197"/>
      <c r="S300" s="197"/>
      <c r="T300" s="13"/>
      <c r="U300" s="13"/>
      <c r="V300" s="13"/>
      <c r="W300" s="13"/>
      <c r="X300" s="13"/>
      <c r="Y300" s="13"/>
      <c r="Z300" s="13"/>
    </row>
    <row r="301" spans="1:26" ht="12.75" customHeight="1" x14ac:dyDescent="0.2">
      <c r="A301" s="8"/>
      <c r="B301" s="8"/>
      <c r="C301" s="197"/>
      <c r="D301" s="8"/>
      <c r="E301" s="197"/>
      <c r="F301" s="197"/>
      <c r="G301" s="197"/>
      <c r="H301" s="197"/>
      <c r="I301" s="197"/>
      <c r="J301" s="8"/>
      <c r="K301" s="197"/>
      <c r="L301" s="8"/>
      <c r="M301" s="197"/>
      <c r="N301" s="197"/>
      <c r="O301" s="197"/>
      <c r="P301" s="197"/>
      <c r="Q301" s="197"/>
      <c r="R301" s="197"/>
      <c r="S301" s="197"/>
      <c r="T301" s="13"/>
      <c r="U301" s="13"/>
      <c r="V301" s="13"/>
      <c r="W301" s="13"/>
      <c r="X301" s="13"/>
      <c r="Y301" s="13"/>
      <c r="Z301" s="13"/>
    </row>
    <row r="302" spans="1:26" ht="12.75" customHeight="1" x14ac:dyDescent="0.2">
      <c r="A302" s="8"/>
      <c r="B302" s="8"/>
      <c r="C302" s="197"/>
      <c r="D302" s="8"/>
      <c r="E302" s="197"/>
      <c r="F302" s="197"/>
      <c r="G302" s="197"/>
      <c r="H302" s="197"/>
      <c r="I302" s="197"/>
      <c r="J302" s="8"/>
      <c r="K302" s="197"/>
      <c r="L302" s="8"/>
      <c r="M302" s="197"/>
      <c r="N302" s="197"/>
      <c r="O302" s="197"/>
      <c r="P302" s="197"/>
      <c r="Q302" s="197"/>
      <c r="R302" s="197"/>
      <c r="S302" s="197"/>
      <c r="T302" s="13"/>
      <c r="U302" s="13"/>
      <c r="V302" s="13"/>
      <c r="W302" s="13"/>
      <c r="X302" s="13"/>
      <c r="Y302" s="13"/>
      <c r="Z302" s="13"/>
    </row>
    <row r="303" spans="1:26" ht="12.75" customHeight="1" x14ac:dyDescent="0.2">
      <c r="A303" s="8"/>
      <c r="B303" s="8"/>
      <c r="C303" s="197"/>
      <c r="D303" s="8"/>
      <c r="E303" s="197"/>
      <c r="F303" s="197"/>
      <c r="G303" s="197"/>
      <c r="H303" s="197"/>
      <c r="I303" s="197"/>
      <c r="J303" s="8"/>
      <c r="K303" s="197"/>
      <c r="L303" s="8"/>
      <c r="M303" s="197"/>
      <c r="N303" s="197"/>
      <c r="O303" s="197"/>
      <c r="P303" s="197"/>
      <c r="Q303" s="197"/>
      <c r="R303" s="197"/>
      <c r="S303" s="197"/>
      <c r="T303" s="13"/>
      <c r="U303" s="13"/>
      <c r="V303" s="13"/>
      <c r="W303" s="13"/>
      <c r="X303" s="13"/>
      <c r="Y303" s="13"/>
      <c r="Z303" s="13"/>
    </row>
    <row r="304" spans="1:26" ht="12.75" customHeight="1" x14ac:dyDescent="0.2">
      <c r="A304" s="8"/>
      <c r="B304" s="8"/>
      <c r="C304" s="197"/>
      <c r="D304" s="8"/>
      <c r="E304" s="197"/>
      <c r="F304" s="197"/>
      <c r="G304" s="197"/>
      <c r="H304" s="197"/>
      <c r="I304" s="197"/>
      <c r="J304" s="8"/>
      <c r="K304" s="197"/>
      <c r="L304" s="8"/>
      <c r="M304" s="197"/>
      <c r="N304" s="197"/>
      <c r="O304" s="197"/>
      <c r="P304" s="197"/>
      <c r="Q304" s="197"/>
      <c r="R304" s="197"/>
      <c r="S304" s="197"/>
      <c r="T304" s="13"/>
      <c r="U304" s="13"/>
      <c r="V304" s="13"/>
      <c r="W304" s="13"/>
      <c r="X304" s="13"/>
      <c r="Y304" s="13"/>
      <c r="Z304" s="13"/>
    </row>
    <row r="305" spans="1:26" ht="12.75" customHeight="1" x14ac:dyDescent="0.2">
      <c r="A305" s="8"/>
      <c r="B305" s="8"/>
      <c r="C305" s="197"/>
      <c r="D305" s="8"/>
      <c r="E305" s="197"/>
      <c r="F305" s="197"/>
      <c r="G305" s="197"/>
      <c r="H305" s="197"/>
      <c r="I305" s="197"/>
      <c r="J305" s="8"/>
      <c r="K305" s="197"/>
      <c r="L305" s="8"/>
      <c r="M305" s="197"/>
      <c r="N305" s="197"/>
      <c r="O305" s="197"/>
      <c r="P305" s="197"/>
      <c r="Q305" s="197"/>
      <c r="R305" s="197"/>
      <c r="S305" s="197"/>
      <c r="T305" s="13"/>
      <c r="U305" s="13"/>
      <c r="V305" s="13"/>
      <c r="W305" s="13"/>
      <c r="X305" s="13"/>
      <c r="Y305" s="13"/>
      <c r="Z305" s="13"/>
    </row>
    <row r="306" spans="1:26" ht="12.75" customHeight="1" x14ac:dyDescent="0.2">
      <c r="A306" s="8"/>
      <c r="B306" s="8"/>
      <c r="C306" s="197"/>
      <c r="D306" s="8"/>
      <c r="E306" s="197"/>
      <c r="F306" s="197"/>
      <c r="G306" s="197"/>
      <c r="H306" s="197"/>
      <c r="I306" s="197"/>
      <c r="J306" s="8"/>
      <c r="K306" s="197"/>
      <c r="L306" s="8"/>
      <c r="M306" s="197"/>
      <c r="N306" s="197"/>
      <c r="O306" s="197"/>
      <c r="P306" s="197"/>
      <c r="Q306" s="197"/>
      <c r="R306" s="197"/>
      <c r="S306" s="197"/>
      <c r="T306" s="13"/>
      <c r="U306" s="13"/>
      <c r="V306" s="13"/>
      <c r="W306" s="13"/>
      <c r="X306" s="13"/>
      <c r="Y306" s="13"/>
      <c r="Z306" s="13"/>
    </row>
    <row r="307" spans="1:26" ht="12.75" customHeight="1" x14ac:dyDescent="0.2">
      <c r="A307" s="8"/>
      <c r="B307" s="8"/>
      <c r="C307" s="197"/>
      <c r="D307" s="8"/>
      <c r="E307" s="197"/>
      <c r="F307" s="197"/>
      <c r="G307" s="197"/>
      <c r="H307" s="197"/>
      <c r="I307" s="197"/>
      <c r="J307" s="8"/>
      <c r="K307" s="197"/>
      <c r="L307" s="8"/>
      <c r="M307" s="197"/>
      <c r="N307" s="197"/>
      <c r="O307" s="197"/>
      <c r="P307" s="197"/>
      <c r="Q307" s="197"/>
      <c r="R307" s="197"/>
      <c r="S307" s="197"/>
      <c r="T307" s="13"/>
      <c r="U307" s="13"/>
      <c r="V307" s="13"/>
      <c r="W307" s="13"/>
      <c r="X307" s="13"/>
      <c r="Y307" s="13"/>
      <c r="Z307" s="13"/>
    </row>
    <row r="308" spans="1:26" ht="12.75" customHeight="1" x14ac:dyDescent="0.2">
      <c r="A308" s="8"/>
      <c r="B308" s="8"/>
      <c r="C308" s="197"/>
      <c r="D308" s="8"/>
      <c r="E308" s="197"/>
      <c r="F308" s="197"/>
      <c r="G308" s="197"/>
      <c r="H308" s="197"/>
      <c r="I308" s="197"/>
      <c r="J308" s="8"/>
      <c r="K308" s="197"/>
      <c r="L308" s="8"/>
      <c r="M308" s="197"/>
      <c r="N308" s="197"/>
      <c r="O308" s="197"/>
      <c r="P308" s="197"/>
      <c r="Q308" s="197"/>
      <c r="R308" s="197"/>
      <c r="S308" s="197"/>
      <c r="T308" s="13"/>
      <c r="U308" s="13"/>
      <c r="V308" s="13"/>
      <c r="W308" s="13"/>
      <c r="X308" s="13"/>
      <c r="Y308" s="13"/>
      <c r="Z308" s="13"/>
    </row>
    <row r="309" spans="1:26" ht="12.75" customHeight="1" x14ac:dyDescent="0.2">
      <c r="A309" s="8"/>
      <c r="B309" s="8"/>
      <c r="C309" s="197"/>
      <c r="D309" s="8"/>
      <c r="E309" s="197"/>
      <c r="F309" s="197"/>
      <c r="G309" s="197"/>
      <c r="H309" s="197"/>
      <c r="I309" s="197"/>
      <c r="J309" s="8"/>
      <c r="K309" s="197"/>
      <c r="L309" s="8"/>
      <c r="M309" s="197"/>
      <c r="N309" s="197"/>
      <c r="O309" s="197"/>
      <c r="P309" s="197"/>
      <c r="Q309" s="197"/>
      <c r="R309" s="197"/>
      <c r="S309" s="197"/>
      <c r="T309" s="13"/>
      <c r="U309" s="13"/>
      <c r="V309" s="13"/>
      <c r="W309" s="13"/>
      <c r="X309" s="13"/>
      <c r="Y309" s="13"/>
      <c r="Z309" s="13"/>
    </row>
    <row r="310" spans="1:26" ht="12.75" customHeight="1" x14ac:dyDescent="0.2">
      <c r="A310" s="8"/>
      <c r="B310" s="8"/>
      <c r="C310" s="197"/>
      <c r="D310" s="8"/>
      <c r="E310" s="197"/>
      <c r="F310" s="197"/>
      <c r="G310" s="197"/>
      <c r="H310" s="197"/>
      <c r="I310" s="197"/>
      <c r="J310" s="8"/>
      <c r="K310" s="197"/>
      <c r="L310" s="8"/>
      <c r="M310" s="197"/>
      <c r="N310" s="197"/>
      <c r="O310" s="197"/>
      <c r="P310" s="197"/>
      <c r="Q310" s="197"/>
      <c r="R310" s="197"/>
      <c r="S310" s="197"/>
      <c r="T310" s="13"/>
      <c r="U310" s="13"/>
      <c r="V310" s="13"/>
      <c r="W310" s="13"/>
      <c r="X310" s="13"/>
      <c r="Y310" s="13"/>
      <c r="Z310" s="13"/>
    </row>
    <row r="311" spans="1:26" ht="12.75" customHeight="1" x14ac:dyDescent="0.2">
      <c r="A311" s="8"/>
      <c r="B311" s="8"/>
      <c r="C311" s="197"/>
      <c r="D311" s="8"/>
      <c r="E311" s="197"/>
      <c r="F311" s="197"/>
      <c r="G311" s="197"/>
      <c r="H311" s="197"/>
      <c r="I311" s="197"/>
      <c r="J311" s="8"/>
      <c r="K311" s="197"/>
      <c r="L311" s="8"/>
      <c r="M311" s="197"/>
      <c r="N311" s="197"/>
      <c r="O311" s="197"/>
      <c r="P311" s="197"/>
      <c r="Q311" s="197"/>
      <c r="R311" s="197"/>
      <c r="S311" s="197"/>
      <c r="T311" s="13"/>
      <c r="U311" s="13"/>
      <c r="V311" s="13"/>
      <c r="W311" s="13"/>
      <c r="X311" s="13"/>
      <c r="Y311" s="13"/>
      <c r="Z311" s="13"/>
    </row>
    <row r="312" spans="1:26" ht="12.75" customHeight="1" x14ac:dyDescent="0.2">
      <c r="A312" s="8"/>
      <c r="B312" s="8"/>
      <c r="C312" s="197"/>
      <c r="D312" s="8"/>
      <c r="E312" s="197"/>
      <c r="F312" s="197"/>
      <c r="G312" s="197"/>
      <c r="H312" s="197"/>
      <c r="I312" s="197"/>
      <c r="J312" s="8"/>
      <c r="K312" s="197"/>
      <c r="L312" s="8"/>
      <c r="M312" s="197"/>
      <c r="N312" s="197"/>
      <c r="O312" s="197"/>
      <c r="P312" s="197"/>
      <c r="Q312" s="197"/>
      <c r="R312" s="197"/>
      <c r="S312" s="197"/>
      <c r="T312" s="13"/>
      <c r="U312" s="13"/>
      <c r="V312" s="13"/>
      <c r="W312" s="13"/>
      <c r="X312" s="13"/>
      <c r="Y312" s="13"/>
      <c r="Z312" s="13"/>
    </row>
    <row r="313" spans="1:26" ht="12.75" customHeight="1" x14ac:dyDescent="0.2">
      <c r="A313" s="8"/>
      <c r="B313" s="8"/>
      <c r="C313" s="197"/>
      <c r="D313" s="8"/>
      <c r="E313" s="197"/>
      <c r="F313" s="197"/>
      <c r="G313" s="197"/>
      <c r="H313" s="197"/>
      <c r="I313" s="197"/>
      <c r="J313" s="8"/>
      <c r="K313" s="197"/>
      <c r="L313" s="8"/>
      <c r="M313" s="197"/>
      <c r="N313" s="197"/>
      <c r="O313" s="197"/>
      <c r="P313" s="197"/>
      <c r="Q313" s="197"/>
      <c r="R313" s="197"/>
      <c r="S313" s="197"/>
      <c r="T313" s="13"/>
      <c r="U313" s="13"/>
      <c r="V313" s="13"/>
      <c r="W313" s="13"/>
      <c r="X313" s="13"/>
      <c r="Y313" s="13"/>
      <c r="Z313" s="13"/>
    </row>
    <row r="314" spans="1:26" ht="12.75" customHeight="1" x14ac:dyDescent="0.2">
      <c r="A314" s="8"/>
      <c r="B314" s="8"/>
      <c r="C314" s="197"/>
      <c r="D314" s="8"/>
      <c r="E314" s="197"/>
      <c r="F314" s="197"/>
      <c r="G314" s="197"/>
      <c r="H314" s="197"/>
      <c r="I314" s="197"/>
      <c r="J314" s="8"/>
      <c r="K314" s="197"/>
      <c r="L314" s="8"/>
      <c r="M314" s="197"/>
      <c r="N314" s="197"/>
      <c r="O314" s="197"/>
      <c r="P314" s="197"/>
      <c r="Q314" s="197"/>
      <c r="R314" s="197"/>
      <c r="S314" s="197"/>
      <c r="T314" s="13"/>
      <c r="U314" s="13"/>
      <c r="V314" s="13"/>
      <c r="W314" s="13"/>
      <c r="X314" s="13"/>
      <c r="Y314" s="13"/>
      <c r="Z314" s="13"/>
    </row>
    <row r="315" spans="1:26" ht="12.75" customHeight="1" x14ac:dyDescent="0.2">
      <c r="A315" s="8"/>
      <c r="B315" s="8"/>
      <c r="C315" s="197"/>
      <c r="D315" s="8"/>
      <c r="E315" s="197"/>
      <c r="F315" s="197"/>
      <c r="G315" s="197"/>
      <c r="H315" s="197"/>
      <c r="I315" s="197"/>
      <c r="J315" s="8"/>
      <c r="K315" s="197"/>
      <c r="L315" s="8"/>
      <c r="M315" s="197"/>
      <c r="N315" s="197"/>
      <c r="O315" s="197"/>
      <c r="P315" s="197"/>
      <c r="Q315" s="197"/>
      <c r="R315" s="197"/>
      <c r="S315" s="197"/>
      <c r="T315" s="13"/>
      <c r="U315" s="13"/>
      <c r="V315" s="13"/>
      <c r="W315" s="13"/>
      <c r="X315" s="13"/>
      <c r="Y315" s="13"/>
      <c r="Z315" s="13"/>
    </row>
    <row r="316" spans="1:26" ht="12.75" customHeight="1" x14ac:dyDescent="0.2">
      <c r="A316" s="8"/>
      <c r="B316" s="8"/>
      <c r="C316" s="197"/>
      <c r="D316" s="8"/>
      <c r="E316" s="197"/>
      <c r="F316" s="197"/>
      <c r="G316" s="197"/>
      <c r="H316" s="197"/>
      <c r="I316" s="197"/>
      <c r="J316" s="8"/>
      <c r="K316" s="197"/>
      <c r="L316" s="8"/>
      <c r="M316" s="197"/>
      <c r="N316" s="197"/>
      <c r="O316" s="197"/>
      <c r="P316" s="197"/>
      <c r="Q316" s="197"/>
      <c r="R316" s="197"/>
      <c r="S316" s="197"/>
      <c r="T316" s="13"/>
      <c r="U316" s="13"/>
      <c r="V316" s="13"/>
      <c r="W316" s="13"/>
      <c r="X316" s="13"/>
      <c r="Y316" s="13"/>
      <c r="Z316" s="13"/>
    </row>
    <row r="317" spans="1:26" ht="12.75" customHeight="1" x14ac:dyDescent="0.2">
      <c r="A317" s="8"/>
      <c r="B317" s="8"/>
      <c r="C317" s="197"/>
      <c r="D317" s="8"/>
      <c r="E317" s="197"/>
      <c r="F317" s="197"/>
      <c r="G317" s="197"/>
      <c r="H317" s="197"/>
      <c r="I317" s="197"/>
      <c r="J317" s="8"/>
      <c r="K317" s="197"/>
      <c r="L317" s="8"/>
      <c r="M317" s="197"/>
      <c r="N317" s="197"/>
      <c r="O317" s="197"/>
      <c r="P317" s="197"/>
      <c r="Q317" s="197"/>
      <c r="R317" s="197"/>
      <c r="S317" s="197"/>
      <c r="T317" s="13"/>
      <c r="U317" s="13"/>
      <c r="V317" s="13"/>
      <c r="W317" s="13"/>
      <c r="X317" s="13"/>
      <c r="Y317" s="13"/>
      <c r="Z317" s="13"/>
    </row>
    <row r="318" spans="1:26" ht="12.75" customHeight="1" x14ac:dyDescent="0.2">
      <c r="A318" s="8"/>
      <c r="B318" s="8"/>
      <c r="C318" s="197"/>
      <c r="D318" s="8"/>
      <c r="E318" s="197"/>
      <c r="F318" s="197"/>
      <c r="G318" s="197"/>
      <c r="H318" s="197"/>
      <c r="I318" s="197"/>
      <c r="J318" s="8"/>
      <c r="K318" s="197"/>
      <c r="L318" s="8"/>
      <c r="M318" s="197"/>
      <c r="N318" s="197"/>
      <c r="O318" s="197"/>
      <c r="P318" s="197"/>
      <c r="Q318" s="197"/>
      <c r="R318" s="197"/>
      <c r="S318" s="197"/>
      <c r="T318" s="13"/>
      <c r="U318" s="13"/>
      <c r="V318" s="13"/>
      <c r="W318" s="13"/>
      <c r="X318" s="13"/>
      <c r="Y318" s="13"/>
      <c r="Z318" s="13"/>
    </row>
    <row r="319" spans="1:26" ht="12.75" customHeight="1" x14ac:dyDescent="0.2">
      <c r="A319" s="8"/>
      <c r="B319" s="8"/>
      <c r="C319" s="197"/>
      <c r="D319" s="8"/>
      <c r="E319" s="197"/>
      <c r="F319" s="197"/>
      <c r="G319" s="197"/>
      <c r="H319" s="197"/>
      <c r="I319" s="197"/>
      <c r="J319" s="8"/>
      <c r="K319" s="197"/>
      <c r="L319" s="8"/>
      <c r="M319" s="197"/>
      <c r="N319" s="197"/>
      <c r="O319" s="197"/>
      <c r="P319" s="197"/>
      <c r="Q319" s="197"/>
      <c r="R319" s="197"/>
      <c r="S319" s="197"/>
      <c r="T319" s="13"/>
      <c r="U319" s="13"/>
      <c r="V319" s="13"/>
      <c r="W319" s="13"/>
      <c r="X319" s="13"/>
      <c r="Y319" s="13"/>
      <c r="Z319" s="13"/>
    </row>
    <row r="320" spans="1:26" ht="12.75" customHeight="1" x14ac:dyDescent="0.2">
      <c r="A320" s="8"/>
      <c r="B320" s="8"/>
      <c r="C320" s="197"/>
      <c r="D320" s="8"/>
      <c r="E320" s="197"/>
      <c r="F320" s="197"/>
      <c r="G320" s="197"/>
      <c r="H320" s="197"/>
      <c r="I320" s="197"/>
      <c r="J320" s="8"/>
      <c r="K320" s="197"/>
      <c r="L320" s="8"/>
      <c r="M320" s="197"/>
      <c r="N320" s="197"/>
      <c r="O320" s="197"/>
      <c r="P320" s="197"/>
      <c r="Q320" s="197"/>
      <c r="R320" s="197"/>
      <c r="S320" s="197"/>
      <c r="T320" s="13"/>
      <c r="U320" s="13"/>
      <c r="V320" s="13"/>
      <c r="W320" s="13"/>
      <c r="X320" s="13"/>
      <c r="Y320" s="13"/>
      <c r="Z320" s="13"/>
    </row>
    <row r="321" spans="1:26" ht="12.75" customHeight="1" x14ac:dyDescent="0.2">
      <c r="A321" s="8"/>
      <c r="B321" s="8"/>
      <c r="C321" s="197"/>
      <c r="D321" s="8"/>
      <c r="E321" s="197"/>
      <c r="F321" s="197"/>
      <c r="G321" s="197"/>
      <c r="H321" s="197"/>
      <c r="I321" s="197"/>
      <c r="J321" s="8"/>
      <c r="K321" s="197"/>
      <c r="L321" s="8"/>
      <c r="M321" s="197"/>
      <c r="N321" s="197"/>
      <c r="O321" s="197"/>
      <c r="P321" s="197"/>
      <c r="Q321" s="197"/>
      <c r="R321" s="197"/>
      <c r="S321" s="197"/>
      <c r="T321" s="13"/>
      <c r="U321" s="13"/>
      <c r="V321" s="13"/>
      <c r="W321" s="13"/>
      <c r="X321" s="13"/>
      <c r="Y321" s="13"/>
      <c r="Z321" s="13"/>
    </row>
    <row r="322" spans="1:26" ht="12.75" customHeight="1" x14ac:dyDescent="0.2">
      <c r="A322" s="8"/>
      <c r="B322" s="8"/>
      <c r="C322" s="197"/>
      <c r="D322" s="8"/>
      <c r="E322" s="197"/>
      <c r="F322" s="197"/>
      <c r="G322" s="197"/>
      <c r="H322" s="197"/>
      <c r="I322" s="197"/>
      <c r="J322" s="8"/>
      <c r="K322" s="197"/>
      <c r="L322" s="8"/>
      <c r="M322" s="197"/>
      <c r="N322" s="197"/>
      <c r="O322" s="197"/>
      <c r="P322" s="197"/>
      <c r="Q322" s="197"/>
      <c r="R322" s="197"/>
      <c r="S322" s="197"/>
      <c r="T322" s="13"/>
      <c r="U322" s="13"/>
      <c r="V322" s="13"/>
      <c r="W322" s="13"/>
      <c r="X322" s="13"/>
      <c r="Y322" s="13"/>
      <c r="Z322" s="13"/>
    </row>
    <row r="323" spans="1:26" ht="12.75" customHeight="1" x14ac:dyDescent="0.2">
      <c r="A323" s="8"/>
      <c r="B323" s="8"/>
      <c r="C323" s="197"/>
      <c r="D323" s="8"/>
      <c r="E323" s="197"/>
      <c r="F323" s="197"/>
      <c r="G323" s="197"/>
      <c r="H323" s="197"/>
      <c r="I323" s="197"/>
      <c r="J323" s="8"/>
      <c r="K323" s="197"/>
      <c r="L323" s="8"/>
      <c r="M323" s="197"/>
      <c r="N323" s="197"/>
      <c r="O323" s="197"/>
      <c r="P323" s="197"/>
      <c r="Q323" s="197"/>
      <c r="R323" s="197"/>
      <c r="S323" s="197"/>
      <c r="T323" s="13"/>
      <c r="U323" s="13"/>
      <c r="V323" s="13"/>
      <c r="W323" s="13"/>
      <c r="X323" s="13"/>
      <c r="Y323" s="13"/>
      <c r="Z323" s="13"/>
    </row>
    <row r="324" spans="1:26" ht="12.75" customHeight="1" x14ac:dyDescent="0.2">
      <c r="A324" s="8"/>
      <c r="B324" s="8"/>
      <c r="C324" s="197"/>
      <c r="D324" s="8"/>
      <c r="E324" s="197"/>
      <c r="F324" s="197"/>
      <c r="G324" s="197"/>
      <c r="H324" s="197"/>
      <c r="I324" s="197"/>
      <c r="J324" s="8"/>
      <c r="K324" s="197"/>
      <c r="L324" s="8"/>
      <c r="M324" s="197"/>
      <c r="N324" s="197"/>
      <c r="O324" s="197"/>
      <c r="P324" s="197"/>
      <c r="Q324" s="197"/>
      <c r="R324" s="197"/>
      <c r="S324" s="197"/>
      <c r="T324" s="13"/>
      <c r="U324" s="13"/>
      <c r="V324" s="13"/>
      <c r="W324" s="13"/>
      <c r="X324" s="13"/>
      <c r="Y324" s="13"/>
      <c r="Z324" s="13"/>
    </row>
    <row r="325" spans="1:26" ht="12.75" customHeight="1" x14ac:dyDescent="0.2">
      <c r="A325" s="8"/>
      <c r="B325" s="8"/>
      <c r="C325" s="197"/>
      <c r="D325" s="8"/>
      <c r="E325" s="197"/>
      <c r="F325" s="197"/>
      <c r="G325" s="197"/>
      <c r="H325" s="197"/>
      <c r="I325" s="197"/>
      <c r="J325" s="8"/>
      <c r="K325" s="197"/>
      <c r="L325" s="8"/>
      <c r="M325" s="197"/>
      <c r="N325" s="197"/>
      <c r="O325" s="197"/>
      <c r="P325" s="197"/>
      <c r="Q325" s="197"/>
      <c r="R325" s="197"/>
      <c r="S325" s="197"/>
      <c r="T325" s="13"/>
      <c r="U325" s="13"/>
      <c r="V325" s="13"/>
      <c r="W325" s="13"/>
      <c r="X325" s="13"/>
      <c r="Y325" s="13"/>
      <c r="Z325" s="13"/>
    </row>
    <row r="326" spans="1:26" ht="12.75" customHeight="1" x14ac:dyDescent="0.2">
      <c r="A326" s="8"/>
      <c r="B326" s="8"/>
      <c r="C326" s="197"/>
      <c r="D326" s="8"/>
      <c r="E326" s="197"/>
      <c r="F326" s="197"/>
      <c r="G326" s="197"/>
      <c r="H326" s="197"/>
      <c r="I326" s="197"/>
      <c r="J326" s="8"/>
      <c r="K326" s="197"/>
      <c r="L326" s="8"/>
      <c r="M326" s="197"/>
      <c r="N326" s="197"/>
      <c r="O326" s="197"/>
      <c r="P326" s="197"/>
      <c r="Q326" s="197"/>
      <c r="R326" s="197"/>
      <c r="S326" s="197"/>
      <c r="T326" s="13"/>
      <c r="U326" s="13"/>
      <c r="V326" s="13"/>
      <c r="W326" s="13"/>
      <c r="X326" s="13"/>
      <c r="Y326" s="13"/>
      <c r="Z326" s="13"/>
    </row>
    <row r="327" spans="1:26" ht="12.75" customHeight="1" x14ac:dyDescent="0.2">
      <c r="A327" s="8"/>
      <c r="B327" s="8"/>
      <c r="C327" s="197"/>
      <c r="D327" s="8"/>
      <c r="E327" s="197"/>
      <c r="F327" s="197"/>
      <c r="G327" s="197"/>
      <c r="H327" s="197"/>
      <c r="I327" s="197"/>
      <c r="J327" s="8"/>
      <c r="K327" s="197"/>
      <c r="L327" s="8"/>
      <c r="M327" s="197"/>
      <c r="N327" s="197"/>
      <c r="O327" s="197"/>
      <c r="P327" s="197"/>
      <c r="Q327" s="197"/>
      <c r="R327" s="197"/>
      <c r="S327" s="197"/>
      <c r="T327" s="13"/>
      <c r="U327" s="13"/>
      <c r="V327" s="13"/>
      <c r="W327" s="13"/>
      <c r="X327" s="13"/>
      <c r="Y327" s="13"/>
      <c r="Z327" s="13"/>
    </row>
    <row r="328" spans="1:26" ht="12.75" customHeight="1" x14ac:dyDescent="0.2">
      <c r="A328" s="8"/>
      <c r="B328" s="8"/>
      <c r="C328" s="197"/>
      <c r="D328" s="8"/>
      <c r="E328" s="197"/>
      <c r="F328" s="197"/>
      <c r="G328" s="197"/>
      <c r="H328" s="197"/>
      <c r="I328" s="197"/>
      <c r="J328" s="8"/>
      <c r="K328" s="197"/>
      <c r="L328" s="8"/>
      <c r="M328" s="197"/>
      <c r="N328" s="197"/>
      <c r="O328" s="197"/>
      <c r="P328" s="197"/>
      <c r="Q328" s="197"/>
      <c r="R328" s="197"/>
      <c r="S328" s="197"/>
      <c r="T328" s="13"/>
      <c r="U328" s="13"/>
      <c r="V328" s="13"/>
      <c r="W328" s="13"/>
      <c r="X328" s="13"/>
      <c r="Y328" s="13"/>
      <c r="Z328" s="13"/>
    </row>
    <row r="329" spans="1:26" ht="12.75" customHeight="1" x14ac:dyDescent="0.2">
      <c r="A329" s="8"/>
      <c r="B329" s="8"/>
      <c r="C329" s="197"/>
      <c r="D329" s="8"/>
      <c r="E329" s="197"/>
      <c r="F329" s="197"/>
      <c r="G329" s="197"/>
      <c r="H329" s="197"/>
      <c r="I329" s="197"/>
      <c r="J329" s="8"/>
      <c r="K329" s="197"/>
      <c r="L329" s="8"/>
      <c r="M329" s="197"/>
      <c r="N329" s="197"/>
      <c r="O329" s="197"/>
      <c r="P329" s="197"/>
      <c r="Q329" s="197"/>
      <c r="R329" s="197"/>
      <c r="S329" s="197"/>
      <c r="T329" s="13"/>
      <c r="U329" s="13"/>
      <c r="V329" s="13"/>
      <c r="W329" s="13"/>
      <c r="X329" s="13"/>
      <c r="Y329" s="13"/>
      <c r="Z329" s="13"/>
    </row>
    <row r="330" spans="1:26" ht="12.75" customHeight="1" x14ac:dyDescent="0.2">
      <c r="A330" s="8"/>
      <c r="B330" s="8"/>
      <c r="C330" s="197"/>
      <c r="D330" s="8"/>
      <c r="E330" s="197"/>
      <c r="F330" s="197"/>
      <c r="G330" s="197"/>
      <c r="H330" s="197"/>
      <c r="I330" s="197"/>
      <c r="J330" s="8"/>
      <c r="K330" s="197"/>
      <c r="L330" s="8"/>
      <c r="M330" s="197"/>
      <c r="N330" s="197"/>
      <c r="O330" s="197"/>
      <c r="P330" s="197"/>
      <c r="Q330" s="197"/>
      <c r="R330" s="197"/>
      <c r="S330" s="197"/>
      <c r="T330" s="13"/>
      <c r="U330" s="13"/>
      <c r="V330" s="13"/>
      <c r="W330" s="13"/>
      <c r="X330" s="13"/>
      <c r="Y330" s="13"/>
      <c r="Z330" s="13"/>
    </row>
    <row r="331" spans="1:26" ht="12.75" customHeight="1" x14ac:dyDescent="0.2">
      <c r="A331" s="8"/>
      <c r="B331" s="8"/>
      <c r="C331" s="197"/>
      <c r="D331" s="8"/>
      <c r="E331" s="197"/>
      <c r="F331" s="197"/>
      <c r="G331" s="197"/>
      <c r="H331" s="197"/>
      <c r="I331" s="197"/>
      <c r="J331" s="8"/>
      <c r="K331" s="197"/>
      <c r="L331" s="8"/>
      <c r="M331" s="197"/>
      <c r="N331" s="197"/>
      <c r="O331" s="197"/>
      <c r="P331" s="197"/>
      <c r="Q331" s="197"/>
      <c r="R331" s="197"/>
      <c r="S331" s="197"/>
      <c r="T331" s="13"/>
      <c r="U331" s="13"/>
      <c r="V331" s="13"/>
      <c r="W331" s="13"/>
      <c r="X331" s="13"/>
      <c r="Y331" s="13"/>
      <c r="Z331" s="13"/>
    </row>
    <row r="332" spans="1:26" ht="12.75" customHeight="1" x14ac:dyDescent="0.2">
      <c r="A332" s="8"/>
      <c r="B332" s="8"/>
      <c r="C332" s="197"/>
      <c r="D332" s="8"/>
      <c r="E332" s="197"/>
      <c r="F332" s="197"/>
      <c r="G332" s="197"/>
      <c r="H332" s="197"/>
      <c r="I332" s="197"/>
      <c r="J332" s="8"/>
      <c r="K332" s="197"/>
      <c r="L332" s="8"/>
      <c r="M332" s="197"/>
      <c r="N332" s="197"/>
      <c r="O332" s="197"/>
      <c r="P332" s="197"/>
      <c r="Q332" s="197"/>
      <c r="R332" s="197"/>
      <c r="S332" s="197"/>
      <c r="T332" s="13"/>
      <c r="U332" s="13"/>
      <c r="V332" s="13"/>
      <c r="W332" s="13"/>
      <c r="X332" s="13"/>
      <c r="Y332" s="13"/>
      <c r="Z332" s="13"/>
    </row>
    <row r="333" spans="1:26" ht="12.75" customHeight="1" x14ac:dyDescent="0.2">
      <c r="A333" s="8"/>
      <c r="B333" s="8"/>
      <c r="C333" s="197"/>
      <c r="D333" s="8"/>
      <c r="E333" s="197"/>
      <c r="F333" s="197"/>
      <c r="G333" s="197"/>
      <c r="H333" s="197"/>
      <c r="I333" s="197"/>
      <c r="J333" s="8"/>
      <c r="K333" s="197"/>
      <c r="L333" s="8"/>
      <c r="M333" s="197"/>
      <c r="N333" s="197"/>
      <c r="O333" s="197"/>
      <c r="P333" s="197"/>
      <c r="Q333" s="197"/>
      <c r="R333" s="197"/>
      <c r="S333" s="197"/>
      <c r="T333" s="13"/>
      <c r="U333" s="13"/>
      <c r="V333" s="13"/>
      <c r="W333" s="13"/>
      <c r="X333" s="13"/>
      <c r="Y333" s="13"/>
      <c r="Z333" s="13"/>
    </row>
    <row r="334" spans="1:26" ht="12.75" customHeight="1" x14ac:dyDescent="0.2">
      <c r="A334" s="8"/>
      <c r="B334" s="8"/>
      <c r="C334" s="197"/>
      <c r="D334" s="8"/>
      <c r="E334" s="197"/>
      <c r="F334" s="197"/>
      <c r="G334" s="197"/>
      <c r="H334" s="197"/>
      <c r="I334" s="197"/>
      <c r="J334" s="8"/>
      <c r="K334" s="197"/>
      <c r="L334" s="8"/>
      <c r="M334" s="197"/>
      <c r="N334" s="197"/>
      <c r="O334" s="197"/>
      <c r="P334" s="197"/>
      <c r="Q334" s="197"/>
      <c r="R334" s="197"/>
      <c r="S334" s="197"/>
      <c r="T334" s="13"/>
      <c r="U334" s="13"/>
      <c r="V334" s="13"/>
      <c r="W334" s="13"/>
      <c r="X334" s="13"/>
      <c r="Y334" s="13"/>
      <c r="Z334" s="13"/>
    </row>
    <row r="335" spans="1:26" ht="12.75" customHeight="1" x14ac:dyDescent="0.2">
      <c r="A335" s="8"/>
      <c r="B335" s="8"/>
      <c r="C335" s="197"/>
      <c r="D335" s="8"/>
      <c r="E335" s="197"/>
      <c r="F335" s="197"/>
      <c r="G335" s="197"/>
      <c r="H335" s="197"/>
      <c r="I335" s="197"/>
      <c r="J335" s="8"/>
      <c r="K335" s="197"/>
      <c r="L335" s="8"/>
      <c r="M335" s="197"/>
      <c r="N335" s="197"/>
      <c r="O335" s="197"/>
      <c r="P335" s="197"/>
      <c r="Q335" s="197"/>
      <c r="R335" s="197"/>
      <c r="S335" s="197"/>
      <c r="T335" s="13"/>
      <c r="U335" s="13"/>
      <c r="V335" s="13"/>
      <c r="W335" s="13"/>
      <c r="X335" s="13"/>
      <c r="Y335" s="13"/>
      <c r="Z335" s="13"/>
    </row>
    <row r="336" spans="1:26" ht="12.75" customHeight="1" x14ac:dyDescent="0.2">
      <c r="A336" s="8"/>
      <c r="B336" s="8"/>
      <c r="C336" s="197"/>
      <c r="D336" s="8"/>
      <c r="E336" s="197"/>
      <c r="F336" s="197"/>
      <c r="G336" s="197"/>
      <c r="H336" s="197"/>
      <c r="I336" s="197"/>
      <c r="J336" s="8"/>
      <c r="K336" s="197"/>
      <c r="L336" s="8"/>
      <c r="M336" s="197"/>
      <c r="N336" s="197"/>
      <c r="O336" s="197"/>
      <c r="P336" s="197"/>
      <c r="Q336" s="197"/>
      <c r="R336" s="197"/>
      <c r="S336" s="197"/>
      <c r="T336" s="13"/>
      <c r="U336" s="13"/>
      <c r="V336" s="13"/>
      <c r="W336" s="13"/>
      <c r="X336" s="13"/>
      <c r="Y336" s="13"/>
      <c r="Z336" s="13"/>
    </row>
    <row r="337" spans="1:26" ht="12.75" customHeight="1" x14ac:dyDescent="0.2">
      <c r="A337" s="8"/>
      <c r="B337" s="8"/>
      <c r="C337" s="197"/>
      <c r="D337" s="8"/>
      <c r="E337" s="197"/>
      <c r="F337" s="197"/>
      <c r="G337" s="197"/>
      <c r="H337" s="197"/>
      <c r="I337" s="197"/>
      <c r="J337" s="8"/>
      <c r="K337" s="197"/>
      <c r="L337" s="8"/>
      <c r="M337" s="197"/>
      <c r="N337" s="197"/>
      <c r="O337" s="197"/>
      <c r="P337" s="197"/>
      <c r="Q337" s="197"/>
      <c r="R337" s="197"/>
      <c r="S337" s="197"/>
      <c r="T337" s="13"/>
      <c r="U337" s="13"/>
      <c r="V337" s="13"/>
      <c r="W337" s="13"/>
      <c r="X337" s="13"/>
      <c r="Y337" s="13"/>
      <c r="Z337" s="13"/>
    </row>
    <row r="338" spans="1:26" ht="12.75" customHeight="1" x14ac:dyDescent="0.2">
      <c r="A338" s="8"/>
      <c r="B338" s="8"/>
      <c r="C338" s="197"/>
      <c r="D338" s="8"/>
      <c r="E338" s="197"/>
      <c r="F338" s="197"/>
      <c r="G338" s="197"/>
      <c r="H338" s="197"/>
      <c r="I338" s="197"/>
      <c r="J338" s="8"/>
      <c r="K338" s="197"/>
      <c r="L338" s="8"/>
      <c r="M338" s="197"/>
      <c r="N338" s="197"/>
      <c r="O338" s="197"/>
      <c r="P338" s="197"/>
      <c r="Q338" s="197"/>
      <c r="R338" s="197"/>
      <c r="S338" s="197"/>
      <c r="T338" s="13"/>
      <c r="U338" s="13"/>
      <c r="V338" s="13"/>
      <c r="W338" s="13"/>
      <c r="X338" s="13"/>
      <c r="Y338" s="13"/>
      <c r="Z338" s="13"/>
    </row>
    <row r="339" spans="1:26" ht="12.75" customHeight="1" x14ac:dyDescent="0.2">
      <c r="A339" s="8"/>
      <c r="B339" s="8"/>
      <c r="C339" s="197"/>
      <c r="D339" s="8"/>
      <c r="E339" s="197"/>
      <c r="F339" s="197"/>
      <c r="G339" s="197"/>
      <c r="H339" s="197"/>
      <c r="I339" s="197"/>
      <c r="J339" s="8"/>
      <c r="K339" s="197"/>
      <c r="L339" s="8"/>
      <c r="M339" s="197"/>
      <c r="N339" s="197"/>
      <c r="O339" s="197"/>
      <c r="P339" s="197"/>
      <c r="Q339" s="197"/>
      <c r="R339" s="197"/>
      <c r="S339" s="197"/>
      <c r="T339" s="13"/>
      <c r="U339" s="13"/>
      <c r="V339" s="13"/>
      <c r="W339" s="13"/>
      <c r="X339" s="13"/>
      <c r="Y339" s="13"/>
      <c r="Z339" s="13"/>
    </row>
    <row r="340" spans="1:26" ht="12.75" customHeight="1" x14ac:dyDescent="0.2">
      <c r="A340" s="8"/>
      <c r="B340" s="8"/>
      <c r="C340" s="197"/>
      <c r="D340" s="8"/>
      <c r="E340" s="197"/>
      <c r="F340" s="197"/>
      <c r="G340" s="197"/>
      <c r="H340" s="197"/>
      <c r="I340" s="197"/>
      <c r="J340" s="8"/>
      <c r="K340" s="197"/>
      <c r="L340" s="8"/>
      <c r="M340" s="197"/>
      <c r="N340" s="197"/>
      <c r="O340" s="197"/>
      <c r="P340" s="197"/>
      <c r="Q340" s="197"/>
      <c r="R340" s="197"/>
      <c r="S340" s="197"/>
      <c r="T340" s="13"/>
      <c r="U340" s="13"/>
      <c r="V340" s="13"/>
      <c r="W340" s="13"/>
      <c r="X340" s="13"/>
      <c r="Y340" s="13"/>
      <c r="Z340" s="13"/>
    </row>
    <row r="341" spans="1:26" ht="12.75" customHeight="1" x14ac:dyDescent="0.2">
      <c r="A341" s="8"/>
      <c r="B341" s="8"/>
      <c r="C341" s="197"/>
      <c r="D341" s="8"/>
      <c r="E341" s="197"/>
      <c r="F341" s="197"/>
      <c r="G341" s="197"/>
      <c r="H341" s="197"/>
      <c r="I341" s="197"/>
      <c r="J341" s="8"/>
      <c r="K341" s="197"/>
      <c r="L341" s="8"/>
      <c r="M341" s="197"/>
      <c r="N341" s="197"/>
      <c r="O341" s="197"/>
      <c r="P341" s="197"/>
      <c r="Q341" s="197"/>
      <c r="R341" s="197"/>
      <c r="S341" s="197"/>
      <c r="T341" s="13"/>
      <c r="U341" s="13"/>
      <c r="V341" s="13"/>
      <c r="W341" s="13"/>
      <c r="X341" s="13"/>
      <c r="Y341" s="13"/>
      <c r="Z341" s="13"/>
    </row>
    <row r="342" spans="1:26" ht="12.75" customHeight="1" x14ac:dyDescent="0.2">
      <c r="A342" s="8"/>
      <c r="B342" s="8"/>
      <c r="C342" s="197"/>
      <c r="D342" s="8"/>
      <c r="E342" s="197"/>
      <c r="F342" s="197"/>
      <c r="G342" s="197"/>
      <c r="H342" s="197"/>
      <c r="I342" s="197"/>
      <c r="J342" s="8"/>
      <c r="K342" s="197"/>
      <c r="L342" s="8"/>
      <c r="M342" s="197"/>
      <c r="N342" s="197"/>
      <c r="O342" s="197"/>
      <c r="P342" s="197"/>
      <c r="Q342" s="197"/>
      <c r="R342" s="197"/>
      <c r="S342" s="197"/>
      <c r="T342" s="13"/>
      <c r="U342" s="13"/>
      <c r="V342" s="13"/>
      <c r="W342" s="13"/>
      <c r="X342" s="13"/>
      <c r="Y342" s="13"/>
      <c r="Z342" s="13"/>
    </row>
    <row r="343" spans="1:26" ht="12.75" customHeight="1" x14ac:dyDescent="0.2">
      <c r="A343" s="8"/>
      <c r="B343" s="8"/>
      <c r="C343" s="197"/>
      <c r="D343" s="8"/>
      <c r="E343" s="197"/>
      <c r="F343" s="197"/>
      <c r="G343" s="197"/>
      <c r="H343" s="197"/>
      <c r="I343" s="197"/>
      <c r="J343" s="8"/>
      <c r="K343" s="197"/>
      <c r="L343" s="8"/>
      <c r="M343" s="197"/>
      <c r="N343" s="197"/>
      <c r="O343" s="197"/>
      <c r="P343" s="197"/>
      <c r="Q343" s="197"/>
      <c r="R343" s="197"/>
      <c r="S343" s="197"/>
      <c r="T343" s="13"/>
      <c r="U343" s="13"/>
      <c r="V343" s="13"/>
      <c r="W343" s="13"/>
      <c r="X343" s="13"/>
      <c r="Y343" s="13"/>
      <c r="Z343" s="13"/>
    </row>
    <row r="344" spans="1:26" ht="12.75" customHeight="1" x14ac:dyDescent="0.2">
      <c r="A344" s="8"/>
      <c r="B344" s="8"/>
      <c r="C344" s="197"/>
      <c r="D344" s="8"/>
      <c r="E344" s="197"/>
      <c r="F344" s="197"/>
      <c r="G344" s="197"/>
      <c r="H344" s="197"/>
      <c r="I344" s="197"/>
      <c r="J344" s="8"/>
      <c r="K344" s="197"/>
      <c r="L344" s="8"/>
      <c r="M344" s="197"/>
      <c r="N344" s="197"/>
      <c r="O344" s="197"/>
      <c r="P344" s="197"/>
      <c r="Q344" s="197"/>
      <c r="R344" s="197"/>
      <c r="S344" s="197"/>
      <c r="T344" s="13"/>
      <c r="U344" s="13"/>
      <c r="V344" s="13"/>
      <c r="W344" s="13"/>
      <c r="X344" s="13"/>
      <c r="Y344" s="13"/>
      <c r="Z344" s="13"/>
    </row>
    <row r="345" spans="1:26" ht="12.75" customHeight="1" x14ac:dyDescent="0.2">
      <c r="A345" s="8"/>
      <c r="B345" s="8"/>
      <c r="C345" s="197"/>
      <c r="D345" s="8"/>
      <c r="E345" s="197"/>
      <c r="F345" s="197"/>
      <c r="G345" s="197"/>
      <c r="H345" s="197"/>
      <c r="I345" s="197"/>
      <c r="J345" s="8"/>
      <c r="K345" s="197"/>
      <c r="L345" s="8"/>
      <c r="M345" s="197"/>
      <c r="N345" s="197"/>
      <c r="O345" s="197"/>
      <c r="P345" s="197"/>
      <c r="Q345" s="197"/>
      <c r="R345" s="197"/>
      <c r="S345" s="197"/>
      <c r="T345" s="13"/>
      <c r="U345" s="13"/>
      <c r="V345" s="13"/>
      <c r="W345" s="13"/>
      <c r="X345" s="13"/>
      <c r="Y345" s="13"/>
      <c r="Z345" s="13"/>
    </row>
    <row r="346" spans="1:26" ht="12.75" customHeight="1" x14ac:dyDescent="0.2">
      <c r="A346" s="8"/>
      <c r="B346" s="8"/>
      <c r="C346" s="197"/>
      <c r="D346" s="8"/>
      <c r="E346" s="197"/>
      <c r="F346" s="197"/>
      <c r="G346" s="197"/>
      <c r="H346" s="197"/>
      <c r="I346" s="197"/>
      <c r="J346" s="8"/>
      <c r="K346" s="197"/>
      <c r="L346" s="8"/>
      <c r="M346" s="197"/>
      <c r="N346" s="197"/>
      <c r="O346" s="197"/>
      <c r="P346" s="197"/>
      <c r="Q346" s="197"/>
      <c r="R346" s="197"/>
      <c r="S346" s="197"/>
      <c r="T346" s="13"/>
      <c r="U346" s="13"/>
      <c r="V346" s="13"/>
      <c r="W346" s="13"/>
      <c r="X346" s="13"/>
      <c r="Y346" s="13"/>
      <c r="Z346" s="13"/>
    </row>
    <row r="347" spans="1:26" ht="12.75" customHeight="1" x14ac:dyDescent="0.2">
      <c r="A347" s="8"/>
      <c r="B347" s="8"/>
      <c r="C347" s="197"/>
      <c r="D347" s="8"/>
      <c r="E347" s="197"/>
      <c r="F347" s="197"/>
      <c r="G347" s="197"/>
      <c r="H347" s="197"/>
      <c r="I347" s="197"/>
      <c r="J347" s="8"/>
      <c r="K347" s="197"/>
      <c r="L347" s="8"/>
      <c r="M347" s="197"/>
      <c r="N347" s="197"/>
      <c r="O347" s="197"/>
      <c r="P347" s="197"/>
      <c r="Q347" s="197"/>
      <c r="R347" s="197"/>
      <c r="S347" s="197"/>
      <c r="T347" s="13"/>
      <c r="U347" s="13"/>
      <c r="V347" s="13"/>
      <c r="W347" s="13"/>
      <c r="X347" s="13"/>
      <c r="Y347" s="13"/>
      <c r="Z347" s="13"/>
    </row>
    <row r="348" spans="1:26" ht="12.75" customHeight="1" x14ac:dyDescent="0.2">
      <c r="A348" s="8"/>
      <c r="B348" s="8"/>
      <c r="C348" s="197"/>
      <c r="D348" s="8"/>
      <c r="E348" s="197"/>
      <c r="F348" s="197"/>
      <c r="G348" s="197"/>
      <c r="H348" s="197"/>
      <c r="I348" s="197"/>
      <c r="J348" s="8"/>
      <c r="K348" s="197"/>
      <c r="L348" s="8"/>
      <c r="M348" s="197"/>
      <c r="N348" s="197"/>
      <c r="O348" s="197"/>
      <c r="P348" s="197"/>
      <c r="Q348" s="197"/>
      <c r="R348" s="197"/>
      <c r="S348" s="197"/>
      <c r="T348" s="13"/>
      <c r="U348" s="13"/>
      <c r="V348" s="13"/>
      <c r="W348" s="13"/>
      <c r="X348" s="13"/>
      <c r="Y348" s="13"/>
      <c r="Z348" s="13"/>
    </row>
    <row r="349" spans="1:26" ht="12.75" customHeight="1" x14ac:dyDescent="0.2">
      <c r="A349" s="8"/>
      <c r="B349" s="8"/>
      <c r="C349" s="197"/>
      <c r="D349" s="8"/>
      <c r="E349" s="197"/>
      <c r="F349" s="197"/>
      <c r="G349" s="197"/>
      <c r="H349" s="197"/>
      <c r="I349" s="197"/>
      <c r="J349" s="8"/>
      <c r="K349" s="197"/>
      <c r="L349" s="8"/>
      <c r="M349" s="197"/>
      <c r="N349" s="197"/>
      <c r="O349" s="197"/>
      <c r="P349" s="197"/>
      <c r="Q349" s="197"/>
      <c r="R349" s="197"/>
      <c r="S349" s="197"/>
      <c r="T349" s="13"/>
      <c r="U349" s="13"/>
      <c r="V349" s="13"/>
      <c r="W349" s="13"/>
      <c r="X349" s="13"/>
      <c r="Y349" s="13"/>
      <c r="Z349" s="13"/>
    </row>
    <row r="350" spans="1:26" ht="12.75" customHeight="1" x14ac:dyDescent="0.2">
      <c r="A350" s="8"/>
      <c r="B350" s="8"/>
      <c r="C350" s="197"/>
      <c r="D350" s="8"/>
      <c r="E350" s="197"/>
      <c r="F350" s="197"/>
      <c r="G350" s="197"/>
      <c r="H350" s="197"/>
      <c r="I350" s="197"/>
      <c r="J350" s="8"/>
      <c r="K350" s="197"/>
      <c r="L350" s="8"/>
      <c r="M350" s="197"/>
      <c r="N350" s="197"/>
      <c r="O350" s="197"/>
      <c r="P350" s="197"/>
      <c r="Q350" s="197"/>
      <c r="R350" s="197"/>
      <c r="S350" s="197"/>
      <c r="T350" s="13"/>
      <c r="U350" s="13"/>
      <c r="V350" s="13"/>
      <c r="W350" s="13"/>
      <c r="X350" s="13"/>
      <c r="Y350" s="13"/>
      <c r="Z350" s="13"/>
    </row>
    <row r="351" spans="1:26" ht="12.75" customHeight="1" x14ac:dyDescent="0.2">
      <c r="A351" s="8"/>
      <c r="B351" s="8"/>
      <c r="C351" s="197"/>
      <c r="D351" s="8"/>
      <c r="E351" s="197"/>
      <c r="F351" s="197"/>
      <c r="G351" s="197"/>
      <c r="H351" s="197"/>
      <c r="I351" s="197"/>
      <c r="J351" s="8"/>
      <c r="K351" s="197"/>
      <c r="L351" s="8"/>
      <c r="M351" s="197"/>
      <c r="N351" s="197"/>
      <c r="O351" s="197"/>
      <c r="P351" s="197"/>
      <c r="Q351" s="197"/>
      <c r="R351" s="197"/>
      <c r="S351" s="197"/>
      <c r="T351" s="13"/>
      <c r="U351" s="13"/>
      <c r="V351" s="13"/>
      <c r="W351" s="13"/>
      <c r="X351" s="13"/>
      <c r="Y351" s="13"/>
      <c r="Z351" s="13"/>
    </row>
    <row r="352" spans="1:26" ht="12.75" customHeight="1" x14ac:dyDescent="0.2">
      <c r="A352" s="8"/>
      <c r="B352" s="8"/>
      <c r="C352" s="197"/>
      <c r="D352" s="8"/>
      <c r="E352" s="197"/>
      <c r="F352" s="197"/>
      <c r="G352" s="197"/>
      <c r="H352" s="197"/>
      <c r="I352" s="197"/>
      <c r="J352" s="8"/>
      <c r="K352" s="197"/>
      <c r="L352" s="8"/>
      <c r="M352" s="197"/>
      <c r="N352" s="197"/>
      <c r="O352" s="197"/>
      <c r="P352" s="197"/>
      <c r="Q352" s="197"/>
      <c r="R352" s="197"/>
      <c r="S352" s="197"/>
      <c r="T352" s="13"/>
      <c r="U352" s="13"/>
      <c r="V352" s="13"/>
      <c r="W352" s="13"/>
      <c r="X352" s="13"/>
      <c r="Y352" s="13"/>
      <c r="Z352" s="13"/>
    </row>
    <row r="353" spans="1:26" ht="12.75" customHeight="1" x14ac:dyDescent="0.2">
      <c r="A353" s="8"/>
      <c r="B353" s="8"/>
      <c r="C353" s="197"/>
      <c r="D353" s="8"/>
      <c r="E353" s="197"/>
      <c r="F353" s="197"/>
      <c r="G353" s="197"/>
      <c r="H353" s="197"/>
      <c r="I353" s="197"/>
      <c r="J353" s="8"/>
      <c r="K353" s="197"/>
      <c r="L353" s="8"/>
      <c r="M353" s="197"/>
      <c r="N353" s="197"/>
      <c r="O353" s="197"/>
      <c r="P353" s="197"/>
      <c r="Q353" s="197"/>
      <c r="R353" s="197"/>
      <c r="S353" s="197"/>
      <c r="T353" s="13"/>
      <c r="U353" s="13"/>
      <c r="V353" s="13"/>
      <c r="W353" s="13"/>
      <c r="X353" s="13"/>
      <c r="Y353" s="13"/>
      <c r="Z353" s="13"/>
    </row>
    <row r="354" spans="1:26" ht="12.75" customHeight="1" x14ac:dyDescent="0.2">
      <c r="A354" s="8"/>
      <c r="B354" s="8"/>
      <c r="C354" s="197"/>
      <c r="D354" s="8"/>
      <c r="E354" s="197"/>
      <c r="F354" s="197"/>
      <c r="G354" s="197"/>
      <c r="H354" s="197"/>
      <c r="I354" s="197"/>
      <c r="J354" s="8"/>
      <c r="K354" s="197"/>
      <c r="L354" s="8"/>
      <c r="M354" s="197"/>
      <c r="N354" s="197"/>
      <c r="O354" s="197"/>
      <c r="P354" s="197"/>
      <c r="Q354" s="197"/>
      <c r="R354" s="197"/>
      <c r="S354" s="197"/>
      <c r="T354" s="13"/>
      <c r="U354" s="13"/>
      <c r="V354" s="13"/>
      <c r="W354" s="13"/>
      <c r="X354" s="13"/>
      <c r="Y354" s="13"/>
      <c r="Z354" s="13"/>
    </row>
    <row r="355" spans="1:26" ht="12.75" customHeight="1" x14ac:dyDescent="0.2">
      <c r="A355" s="8"/>
      <c r="B355" s="8"/>
      <c r="C355" s="197"/>
      <c r="D355" s="8"/>
      <c r="E355" s="197"/>
      <c r="F355" s="197"/>
      <c r="G355" s="197"/>
      <c r="H355" s="197"/>
      <c r="I355" s="197"/>
      <c r="J355" s="8"/>
      <c r="K355" s="197"/>
      <c r="L355" s="8"/>
      <c r="M355" s="197"/>
      <c r="N355" s="197"/>
      <c r="O355" s="197"/>
      <c r="P355" s="197"/>
      <c r="Q355" s="197"/>
      <c r="R355" s="197"/>
      <c r="S355" s="197"/>
      <c r="T355" s="13"/>
      <c r="U355" s="13"/>
      <c r="V355" s="13"/>
      <c r="W355" s="13"/>
      <c r="X355" s="13"/>
      <c r="Y355" s="13"/>
      <c r="Z355" s="13"/>
    </row>
    <row r="356" spans="1:26" ht="12.75" customHeight="1" x14ac:dyDescent="0.2">
      <c r="A356" s="8"/>
      <c r="B356" s="8"/>
      <c r="C356" s="197"/>
      <c r="D356" s="8"/>
      <c r="E356" s="197"/>
      <c r="F356" s="197"/>
      <c r="G356" s="197"/>
      <c r="H356" s="197"/>
      <c r="I356" s="197"/>
      <c r="J356" s="8"/>
      <c r="K356" s="197"/>
      <c r="L356" s="8"/>
      <c r="M356" s="197"/>
      <c r="N356" s="197"/>
      <c r="O356" s="197"/>
      <c r="P356" s="197"/>
      <c r="Q356" s="197"/>
      <c r="R356" s="197"/>
      <c r="S356" s="197"/>
      <c r="T356" s="13"/>
      <c r="U356" s="13"/>
      <c r="V356" s="13"/>
      <c r="W356" s="13"/>
      <c r="X356" s="13"/>
      <c r="Y356" s="13"/>
      <c r="Z356" s="13"/>
    </row>
    <row r="357" spans="1:26" ht="12.75" customHeight="1" x14ac:dyDescent="0.2">
      <c r="A357" s="8"/>
      <c r="B357" s="8"/>
      <c r="C357" s="197"/>
      <c r="D357" s="8"/>
      <c r="E357" s="197"/>
      <c r="F357" s="197"/>
      <c r="G357" s="197"/>
      <c r="H357" s="197"/>
      <c r="I357" s="197"/>
      <c r="J357" s="8"/>
      <c r="K357" s="197"/>
      <c r="L357" s="8"/>
      <c r="M357" s="197"/>
      <c r="N357" s="197"/>
      <c r="O357" s="197"/>
      <c r="P357" s="197"/>
      <c r="Q357" s="197"/>
      <c r="R357" s="197"/>
      <c r="S357" s="197"/>
      <c r="T357" s="13"/>
      <c r="U357" s="13"/>
      <c r="V357" s="13"/>
      <c r="W357" s="13"/>
      <c r="X357" s="13"/>
      <c r="Y357" s="13"/>
      <c r="Z357" s="13"/>
    </row>
    <row r="358" spans="1:26" ht="12.75" customHeight="1" x14ac:dyDescent="0.2">
      <c r="A358" s="8"/>
      <c r="B358" s="8"/>
      <c r="C358" s="197"/>
      <c r="D358" s="8"/>
      <c r="E358" s="197"/>
      <c r="F358" s="197"/>
      <c r="G358" s="197"/>
      <c r="H358" s="197"/>
      <c r="I358" s="197"/>
      <c r="J358" s="8"/>
      <c r="K358" s="197"/>
      <c r="L358" s="8"/>
      <c r="M358" s="197"/>
      <c r="N358" s="197"/>
      <c r="O358" s="197"/>
      <c r="P358" s="197"/>
      <c r="Q358" s="197"/>
      <c r="R358" s="197"/>
      <c r="S358" s="197"/>
      <c r="T358" s="13"/>
      <c r="U358" s="13"/>
      <c r="V358" s="13"/>
      <c r="W358" s="13"/>
      <c r="X358" s="13"/>
      <c r="Y358" s="13"/>
      <c r="Z358" s="13"/>
    </row>
    <row r="359" spans="1:26" ht="12.75" customHeight="1" x14ac:dyDescent="0.2">
      <c r="A359" s="8"/>
      <c r="B359" s="8"/>
      <c r="C359" s="197"/>
      <c r="D359" s="8"/>
      <c r="E359" s="197"/>
      <c r="F359" s="197"/>
      <c r="G359" s="197"/>
      <c r="H359" s="197"/>
      <c r="I359" s="197"/>
      <c r="J359" s="8"/>
      <c r="K359" s="197"/>
      <c r="L359" s="8"/>
      <c r="M359" s="197"/>
      <c r="N359" s="197"/>
      <c r="O359" s="197"/>
      <c r="P359" s="197"/>
      <c r="Q359" s="197"/>
      <c r="R359" s="197"/>
      <c r="S359" s="197"/>
      <c r="T359" s="13"/>
      <c r="U359" s="13"/>
      <c r="V359" s="13"/>
      <c r="W359" s="13"/>
      <c r="X359" s="13"/>
      <c r="Y359" s="13"/>
      <c r="Z359" s="13"/>
    </row>
    <row r="360" spans="1:26" ht="12.75" customHeight="1" x14ac:dyDescent="0.2">
      <c r="A360" s="8"/>
      <c r="B360" s="8"/>
      <c r="C360" s="197"/>
      <c r="D360" s="8"/>
      <c r="E360" s="197"/>
      <c r="F360" s="197"/>
      <c r="G360" s="197"/>
      <c r="H360" s="197"/>
      <c r="I360" s="197"/>
      <c r="J360" s="8"/>
      <c r="K360" s="197"/>
      <c r="L360" s="8"/>
      <c r="M360" s="197"/>
      <c r="N360" s="197"/>
      <c r="O360" s="197"/>
      <c r="P360" s="197"/>
      <c r="Q360" s="197"/>
      <c r="R360" s="197"/>
      <c r="S360" s="197"/>
      <c r="T360" s="13"/>
      <c r="U360" s="13"/>
      <c r="V360" s="13"/>
      <c r="W360" s="13"/>
      <c r="X360" s="13"/>
      <c r="Y360" s="13"/>
      <c r="Z360" s="13"/>
    </row>
    <row r="361" spans="1:26" ht="12.75" customHeight="1" x14ac:dyDescent="0.2">
      <c r="A361" s="8"/>
      <c r="B361" s="8"/>
      <c r="C361" s="197"/>
      <c r="D361" s="8"/>
      <c r="E361" s="197"/>
      <c r="F361" s="197"/>
      <c r="G361" s="197"/>
      <c r="H361" s="197"/>
      <c r="I361" s="197"/>
      <c r="J361" s="8"/>
      <c r="K361" s="197"/>
      <c r="L361" s="8"/>
      <c r="M361" s="197"/>
      <c r="N361" s="197"/>
      <c r="O361" s="197"/>
      <c r="P361" s="197"/>
      <c r="Q361" s="197"/>
      <c r="R361" s="197"/>
      <c r="S361" s="197"/>
      <c r="T361" s="13"/>
      <c r="U361" s="13"/>
      <c r="V361" s="13"/>
      <c r="W361" s="13"/>
      <c r="X361" s="13"/>
      <c r="Y361" s="13"/>
      <c r="Z361" s="13"/>
    </row>
    <row r="362" spans="1:26" ht="12.75" customHeight="1" x14ac:dyDescent="0.2">
      <c r="A362" s="8"/>
      <c r="B362" s="8"/>
      <c r="C362" s="197"/>
      <c r="D362" s="8"/>
      <c r="E362" s="197"/>
      <c r="F362" s="197"/>
      <c r="G362" s="197"/>
      <c r="H362" s="197"/>
      <c r="I362" s="197"/>
      <c r="J362" s="8"/>
      <c r="K362" s="197"/>
      <c r="L362" s="8"/>
      <c r="M362" s="197"/>
      <c r="N362" s="197"/>
      <c r="O362" s="197"/>
      <c r="P362" s="197"/>
      <c r="Q362" s="197"/>
      <c r="R362" s="197"/>
      <c r="S362" s="197"/>
      <c r="T362" s="13"/>
      <c r="U362" s="13"/>
      <c r="V362" s="13"/>
      <c r="W362" s="13"/>
      <c r="X362" s="13"/>
      <c r="Y362" s="13"/>
      <c r="Z362" s="13"/>
    </row>
    <row r="363" spans="1:26" ht="12.75" customHeight="1" x14ac:dyDescent="0.2">
      <c r="A363" s="8"/>
      <c r="B363" s="8"/>
      <c r="C363" s="197"/>
      <c r="D363" s="8"/>
      <c r="E363" s="197"/>
      <c r="F363" s="197"/>
      <c r="G363" s="197"/>
      <c r="H363" s="197"/>
      <c r="I363" s="197"/>
      <c r="J363" s="8"/>
      <c r="K363" s="197"/>
      <c r="L363" s="8"/>
      <c r="M363" s="197"/>
      <c r="N363" s="197"/>
      <c r="O363" s="197"/>
      <c r="P363" s="197"/>
      <c r="Q363" s="197"/>
      <c r="R363" s="197"/>
      <c r="S363" s="197"/>
      <c r="T363" s="13"/>
      <c r="U363" s="13"/>
      <c r="V363" s="13"/>
      <c r="W363" s="13"/>
      <c r="X363" s="13"/>
      <c r="Y363" s="13"/>
      <c r="Z363" s="13"/>
    </row>
    <row r="364" spans="1:26" ht="12.75" customHeight="1" x14ac:dyDescent="0.2">
      <c r="A364" s="8"/>
      <c r="B364" s="8"/>
      <c r="C364" s="197"/>
      <c r="D364" s="8"/>
      <c r="E364" s="197"/>
      <c r="F364" s="197"/>
      <c r="G364" s="197"/>
      <c r="H364" s="197"/>
      <c r="I364" s="197"/>
      <c r="J364" s="8"/>
      <c r="K364" s="197"/>
      <c r="L364" s="8"/>
      <c r="M364" s="197"/>
      <c r="N364" s="197"/>
      <c r="O364" s="197"/>
      <c r="P364" s="197"/>
      <c r="Q364" s="197"/>
      <c r="R364" s="197"/>
      <c r="S364" s="197"/>
      <c r="T364" s="13"/>
      <c r="U364" s="13"/>
      <c r="V364" s="13"/>
      <c r="W364" s="13"/>
      <c r="X364" s="13"/>
      <c r="Y364" s="13"/>
      <c r="Z364" s="13"/>
    </row>
    <row r="365" spans="1:26" ht="12.75" customHeight="1" x14ac:dyDescent="0.2">
      <c r="A365" s="8"/>
      <c r="B365" s="8"/>
      <c r="C365" s="197"/>
      <c r="D365" s="8"/>
      <c r="E365" s="197"/>
      <c r="F365" s="197"/>
      <c r="G365" s="197"/>
      <c r="H365" s="197"/>
      <c r="I365" s="197"/>
      <c r="J365" s="8"/>
      <c r="K365" s="197"/>
      <c r="L365" s="8"/>
      <c r="M365" s="197"/>
      <c r="N365" s="197"/>
      <c r="O365" s="197"/>
      <c r="P365" s="197"/>
      <c r="Q365" s="197"/>
      <c r="R365" s="197"/>
      <c r="S365" s="197"/>
      <c r="T365" s="13"/>
      <c r="U365" s="13"/>
      <c r="V365" s="13"/>
      <c r="W365" s="13"/>
      <c r="X365" s="13"/>
      <c r="Y365" s="13"/>
      <c r="Z365" s="13"/>
    </row>
    <row r="366" spans="1:26" ht="12.75" customHeight="1" x14ac:dyDescent="0.2">
      <c r="A366" s="8"/>
      <c r="B366" s="8"/>
      <c r="C366" s="197"/>
      <c r="D366" s="8"/>
      <c r="E366" s="197"/>
      <c r="F366" s="197"/>
      <c r="G366" s="197"/>
      <c r="H366" s="197"/>
      <c r="I366" s="197"/>
      <c r="J366" s="8"/>
      <c r="K366" s="197"/>
      <c r="L366" s="8"/>
      <c r="M366" s="197"/>
      <c r="N366" s="197"/>
      <c r="O366" s="197"/>
      <c r="P366" s="197"/>
      <c r="Q366" s="197"/>
      <c r="R366" s="197"/>
      <c r="S366" s="197"/>
      <c r="T366" s="13"/>
      <c r="U366" s="13"/>
      <c r="V366" s="13"/>
      <c r="W366" s="13"/>
      <c r="X366" s="13"/>
      <c r="Y366" s="13"/>
      <c r="Z366" s="13"/>
    </row>
    <row r="367" spans="1:26" ht="12.75" customHeight="1" x14ac:dyDescent="0.2">
      <c r="A367" s="8"/>
      <c r="B367" s="8"/>
      <c r="C367" s="197"/>
      <c r="D367" s="8"/>
      <c r="E367" s="197"/>
      <c r="F367" s="197"/>
      <c r="G367" s="197"/>
      <c r="H367" s="197"/>
      <c r="I367" s="197"/>
      <c r="J367" s="8"/>
      <c r="K367" s="197"/>
      <c r="L367" s="8"/>
      <c r="M367" s="197"/>
      <c r="N367" s="197"/>
      <c r="O367" s="197"/>
      <c r="P367" s="197"/>
      <c r="Q367" s="197"/>
      <c r="R367" s="197"/>
      <c r="S367" s="197"/>
      <c r="T367" s="13"/>
      <c r="U367" s="13"/>
      <c r="V367" s="13"/>
      <c r="W367" s="13"/>
      <c r="X367" s="13"/>
      <c r="Y367" s="13"/>
      <c r="Z367" s="13"/>
    </row>
    <row r="368" spans="1:26" ht="12.75" customHeight="1" x14ac:dyDescent="0.2">
      <c r="A368" s="8"/>
      <c r="B368" s="8"/>
      <c r="C368" s="197"/>
      <c r="D368" s="8"/>
      <c r="E368" s="197"/>
      <c r="F368" s="197"/>
      <c r="G368" s="197"/>
      <c r="H368" s="197"/>
      <c r="I368" s="197"/>
      <c r="J368" s="8"/>
      <c r="K368" s="197"/>
      <c r="L368" s="8"/>
      <c r="M368" s="197"/>
      <c r="N368" s="197"/>
      <c r="O368" s="197"/>
      <c r="P368" s="197"/>
      <c r="Q368" s="197"/>
      <c r="R368" s="197"/>
      <c r="S368" s="197"/>
      <c r="T368" s="13"/>
      <c r="U368" s="13"/>
      <c r="V368" s="13"/>
      <c r="W368" s="13"/>
      <c r="X368" s="13"/>
      <c r="Y368" s="13"/>
      <c r="Z368" s="13"/>
    </row>
    <row r="369" spans="1:26" ht="12.75" customHeight="1" x14ac:dyDescent="0.2">
      <c r="A369" s="8"/>
      <c r="B369" s="8"/>
      <c r="C369" s="197"/>
      <c r="D369" s="8"/>
      <c r="E369" s="197"/>
      <c r="F369" s="197"/>
      <c r="G369" s="197"/>
      <c r="H369" s="197"/>
      <c r="I369" s="197"/>
      <c r="J369" s="8"/>
      <c r="K369" s="197"/>
      <c r="L369" s="8"/>
      <c r="M369" s="197"/>
      <c r="N369" s="197"/>
      <c r="O369" s="197"/>
      <c r="P369" s="197"/>
      <c r="Q369" s="197"/>
      <c r="R369" s="197"/>
      <c r="S369" s="197"/>
      <c r="T369" s="13"/>
      <c r="U369" s="13"/>
      <c r="V369" s="13"/>
      <c r="W369" s="13"/>
      <c r="X369" s="13"/>
      <c r="Y369" s="13"/>
      <c r="Z369" s="13"/>
    </row>
    <row r="370" spans="1:26" ht="12.75" customHeight="1" x14ac:dyDescent="0.2">
      <c r="A370" s="8"/>
      <c r="B370" s="8"/>
      <c r="C370" s="197"/>
      <c r="D370" s="8"/>
      <c r="E370" s="197"/>
      <c r="F370" s="197"/>
      <c r="G370" s="197"/>
      <c r="H370" s="197"/>
      <c r="I370" s="197"/>
      <c r="J370" s="8"/>
      <c r="K370" s="197"/>
      <c r="L370" s="8"/>
      <c r="M370" s="197"/>
      <c r="N370" s="197"/>
      <c r="O370" s="197"/>
      <c r="P370" s="197"/>
      <c r="Q370" s="197"/>
      <c r="R370" s="197"/>
      <c r="S370" s="197"/>
      <c r="T370" s="13"/>
      <c r="U370" s="13"/>
      <c r="V370" s="13"/>
      <c r="W370" s="13"/>
      <c r="X370" s="13"/>
      <c r="Y370" s="13"/>
      <c r="Z370" s="13"/>
    </row>
    <row r="371" spans="1:26" ht="12.75" customHeight="1" x14ac:dyDescent="0.2">
      <c r="A371" s="8"/>
      <c r="B371" s="8"/>
      <c r="C371" s="197"/>
      <c r="D371" s="8"/>
      <c r="E371" s="197"/>
      <c r="F371" s="197"/>
      <c r="G371" s="197"/>
      <c r="H371" s="197"/>
      <c r="I371" s="197"/>
      <c r="J371" s="8"/>
      <c r="K371" s="197"/>
      <c r="L371" s="8"/>
      <c r="M371" s="197"/>
      <c r="N371" s="197"/>
      <c r="O371" s="197"/>
      <c r="P371" s="197"/>
      <c r="Q371" s="197"/>
      <c r="R371" s="197"/>
      <c r="S371" s="197"/>
      <c r="T371" s="13"/>
      <c r="U371" s="13"/>
      <c r="V371" s="13"/>
      <c r="W371" s="13"/>
      <c r="X371" s="13"/>
      <c r="Y371" s="13"/>
      <c r="Z371" s="13"/>
    </row>
    <row r="372" spans="1:26" ht="12.75" customHeight="1" x14ac:dyDescent="0.2">
      <c r="A372" s="8"/>
      <c r="B372" s="8"/>
      <c r="C372" s="197"/>
      <c r="D372" s="8"/>
      <c r="E372" s="197"/>
      <c r="F372" s="197"/>
      <c r="G372" s="197"/>
      <c r="H372" s="197"/>
      <c r="I372" s="197"/>
      <c r="J372" s="8"/>
      <c r="K372" s="197"/>
      <c r="L372" s="8"/>
      <c r="M372" s="197"/>
      <c r="N372" s="197"/>
      <c r="O372" s="197"/>
      <c r="P372" s="197"/>
      <c r="Q372" s="197"/>
      <c r="R372" s="197"/>
      <c r="S372" s="197"/>
      <c r="T372" s="13"/>
      <c r="U372" s="13"/>
      <c r="V372" s="13"/>
      <c r="W372" s="13"/>
      <c r="X372" s="13"/>
      <c r="Y372" s="13"/>
      <c r="Z372" s="13"/>
    </row>
    <row r="373" spans="1:26" ht="12.75" customHeight="1" x14ac:dyDescent="0.2">
      <c r="A373" s="8"/>
      <c r="B373" s="8"/>
      <c r="C373" s="197"/>
      <c r="D373" s="8"/>
      <c r="E373" s="197"/>
      <c r="F373" s="197"/>
      <c r="G373" s="197"/>
      <c r="H373" s="197"/>
      <c r="I373" s="197"/>
      <c r="J373" s="8"/>
      <c r="K373" s="197"/>
      <c r="L373" s="8"/>
      <c r="M373" s="197"/>
      <c r="N373" s="197"/>
      <c r="O373" s="197"/>
      <c r="P373" s="197"/>
      <c r="Q373" s="197"/>
      <c r="R373" s="197"/>
      <c r="S373" s="197"/>
      <c r="T373" s="13"/>
      <c r="U373" s="13"/>
      <c r="V373" s="13"/>
      <c r="W373" s="13"/>
      <c r="X373" s="13"/>
      <c r="Y373" s="13"/>
      <c r="Z373" s="13"/>
    </row>
    <row r="374" spans="1:26" ht="12.75" customHeight="1" x14ac:dyDescent="0.2">
      <c r="A374" s="8"/>
      <c r="B374" s="8"/>
      <c r="C374" s="197"/>
      <c r="D374" s="8"/>
      <c r="E374" s="197"/>
      <c r="F374" s="197"/>
      <c r="G374" s="197"/>
      <c r="H374" s="197"/>
      <c r="I374" s="197"/>
      <c r="J374" s="8"/>
      <c r="K374" s="197"/>
      <c r="L374" s="8"/>
      <c r="M374" s="197"/>
      <c r="N374" s="197"/>
      <c r="O374" s="197"/>
      <c r="P374" s="197"/>
      <c r="Q374" s="197"/>
      <c r="R374" s="197"/>
      <c r="S374" s="197"/>
      <c r="T374" s="13"/>
      <c r="U374" s="13"/>
      <c r="V374" s="13"/>
      <c r="W374" s="13"/>
      <c r="X374" s="13"/>
      <c r="Y374" s="13"/>
      <c r="Z374" s="13"/>
    </row>
    <row r="375" spans="1:26" ht="12.75" customHeight="1" x14ac:dyDescent="0.2">
      <c r="A375" s="8"/>
      <c r="B375" s="8"/>
      <c r="C375" s="197"/>
      <c r="D375" s="8"/>
      <c r="E375" s="197"/>
      <c r="F375" s="197"/>
      <c r="G375" s="197"/>
      <c r="H375" s="197"/>
      <c r="I375" s="197"/>
      <c r="J375" s="8"/>
      <c r="K375" s="197"/>
      <c r="L375" s="8"/>
      <c r="M375" s="197"/>
      <c r="N375" s="197"/>
      <c r="O375" s="197"/>
      <c r="P375" s="197"/>
      <c r="Q375" s="197"/>
      <c r="R375" s="197"/>
      <c r="S375" s="197"/>
      <c r="T375" s="13"/>
      <c r="U375" s="13"/>
      <c r="V375" s="13"/>
      <c r="W375" s="13"/>
      <c r="X375" s="13"/>
      <c r="Y375" s="13"/>
      <c r="Z375" s="13"/>
    </row>
    <row r="376" spans="1:26" ht="12.75" customHeight="1" x14ac:dyDescent="0.2">
      <c r="A376" s="8"/>
      <c r="B376" s="8"/>
      <c r="C376" s="197"/>
      <c r="D376" s="8"/>
      <c r="E376" s="197"/>
      <c r="F376" s="197"/>
      <c r="G376" s="197"/>
      <c r="H376" s="197"/>
      <c r="I376" s="197"/>
      <c r="J376" s="8"/>
      <c r="K376" s="197"/>
      <c r="L376" s="8"/>
      <c r="M376" s="197"/>
      <c r="N376" s="197"/>
      <c r="O376" s="197"/>
      <c r="P376" s="197"/>
      <c r="Q376" s="197"/>
      <c r="R376" s="197"/>
      <c r="S376" s="197"/>
      <c r="T376" s="13"/>
      <c r="U376" s="13"/>
      <c r="V376" s="13"/>
      <c r="W376" s="13"/>
      <c r="X376" s="13"/>
      <c r="Y376" s="13"/>
      <c r="Z376" s="13"/>
    </row>
    <row r="377" spans="1:26" ht="12.75" customHeight="1" x14ac:dyDescent="0.2">
      <c r="A377" s="8"/>
      <c r="B377" s="8"/>
      <c r="C377" s="197"/>
      <c r="D377" s="8"/>
      <c r="E377" s="197"/>
      <c r="F377" s="197"/>
      <c r="G377" s="197"/>
      <c r="H377" s="197"/>
      <c r="I377" s="197"/>
      <c r="J377" s="8"/>
      <c r="K377" s="197"/>
      <c r="L377" s="8"/>
      <c r="M377" s="197"/>
      <c r="N377" s="197"/>
      <c r="O377" s="197"/>
      <c r="P377" s="197"/>
      <c r="Q377" s="197"/>
      <c r="R377" s="197"/>
      <c r="S377" s="197"/>
      <c r="T377" s="13"/>
      <c r="U377" s="13"/>
      <c r="V377" s="13"/>
      <c r="W377" s="13"/>
      <c r="X377" s="13"/>
      <c r="Y377" s="13"/>
      <c r="Z377" s="13"/>
    </row>
    <row r="378" spans="1:26" ht="12.75" customHeight="1" x14ac:dyDescent="0.2">
      <c r="A378" s="8"/>
      <c r="B378" s="8"/>
      <c r="C378" s="197"/>
      <c r="D378" s="8"/>
      <c r="E378" s="197"/>
      <c r="F378" s="197"/>
      <c r="G378" s="197"/>
      <c r="H378" s="197"/>
      <c r="I378" s="197"/>
      <c r="J378" s="8"/>
      <c r="K378" s="197"/>
      <c r="L378" s="8"/>
      <c r="M378" s="197"/>
      <c r="N378" s="197"/>
      <c r="O378" s="197"/>
      <c r="P378" s="197"/>
      <c r="Q378" s="197"/>
      <c r="R378" s="197"/>
      <c r="S378" s="197"/>
      <c r="T378" s="13"/>
      <c r="U378" s="13"/>
      <c r="V378" s="13"/>
      <c r="W378" s="13"/>
      <c r="X378" s="13"/>
      <c r="Y378" s="13"/>
      <c r="Z378" s="13"/>
    </row>
    <row r="379" spans="1:26" ht="12.75" customHeight="1" x14ac:dyDescent="0.2">
      <c r="A379" s="8"/>
      <c r="B379" s="8"/>
      <c r="C379" s="197"/>
      <c r="D379" s="8"/>
      <c r="E379" s="197"/>
      <c r="F379" s="197"/>
      <c r="G379" s="197"/>
      <c r="H379" s="197"/>
      <c r="I379" s="197"/>
      <c r="J379" s="8"/>
      <c r="K379" s="197"/>
      <c r="L379" s="8"/>
      <c r="M379" s="197"/>
      <c r="N379" s="197"/>
      <c r="O379" s="197"/>
      <c r="P379" s="197"/>
      <c r="Q379" s="197"/>
      <c r="R379" s="197"/>
      <c r="S379" s="197"/>
      <c r="T379" s="13"/>
      <c r="U379" s="13"/>
      <c r="V379" s="13"/>
      <c r="W379" s="13"/>
      <c r="X379" s="13"/>
      <c r="Y379" s="13"/>
      <c r="Z379" s="13"/>
    </row>
    <row r="380" spans="1:26" ht="12.75" customHeight="1" x14ac:dyDescent="0.2">
      <c r="A380" s="8"/>
      <c r="B380" s="8"/>
      <c r="C380" s="197"/>
      <c r="D380" s="8"/>
      <c r="E380" s="197"/>
      <c r="F380" s="197"/>
      <c r="G380" s="197"/>
      <c r="H380" s="197"/>
      <c r="I380" s="197"/>
      <c r="J380" s="8"/>
      <c r="K380" s="197"/>
      <c r="L380" s="8"/>
      <c r="M380" s="197"/>
      <c r="N380" s="197"/>
      <c r="O380" s="197"/>
      <c r="P380" s="197"/>
      <c r="Q380" s="197"/>
      <c r="R380" s="197"/>
      <c r="S380" s="197"/>
      <c r="T380" s="13"/>
      <c r="U380" s="13"/>
      <c r="V380" s="13"/>
      <c r="W380" s="13"/>
      <c r="X380" s="13"/>
      <c r="Y380" s="13"/>
      <c r="Z380" s="13"/>
    </row>
    <row r="381" spans="1:26" ht="12.75" customHeight="1" x14ac:dyDescent="0.2">
      <c r="A381" s="8"/>
      <c r="B381" s="8"/>
      <c r="C381" s="197"/>
      <c r="D381" s="8"/>
      <c r="E381" s="197"/>
      <c r="F381" s="197"/>
      <c r="G381" s="197"/>
      <c r="H381" s="197"/>
      <c r="I381" s="197"/>
      <c r="J381" s="8"/>
      <c r="K381" s="197"/>
      <c r="L381" s="8"/>
      <c r="M381" s="197"/>
      <c r="N381" s="197"/>
      <c r="O381" s="197"/>
      <c r="P381" s="197"/>
      <c r="Q381" s="197"/>
      <c r="R381" s="197"/>
      <c r="S381" s="197"/>
      <c r="T381" s="13"/>
      <c r="U381" s="13"/>
      <c r="V381" s="13"/>
      <c r="W381" s="13"/>
      <c r="X381" s="13"/>
      <c r="Y381" s="13"/>
      <c r="Z381" s="13"/>
    </row>
    <row r="382" spans="1:26" ht="12.75" customHeight="1" x14ac:dyDescent="0.2">
      <c r="A382" s="8"/>
      <c r="B382" s="8"/>
      <c r="C382" s="197"/>
      <c r="D382" s="8"/>
      <c r="E382" s="197"/>
      <c r="F382" s="197"/>
      <c r="G382" s="197"/>
      <c r="H382" s="197"/>
      <c r="I382" s="197"/>
      <c r="J382" s="8"/>
      <c r="K382" s="197"/>
      <c r="L382" s="8"/>
      <c r="M382" s="197"/>
      <c r="N382" s="197"/>
      <c r="O382" s="197"/>
      <c r="P382" s="197"/>
      <c r="Q382" s="197"/>
      <c r="R382" s="197"/>
      <c r="S382" s="197"/>
      <c r="T382" s="13"/>
      <c r="U382" s="13"/>
      <c r="V382" s="13"/>
      <c r="W382" s="13"/>
      <c r="X382" s="13"/>
      <c r="Y382" s="13"/>
      <c r="Z382" s="13"/>
    </row>
    <row r="383" spans="1:26" ht="12.75" customHeight="1" x14ac:dyDescent="0.2">
      <c r="A383" s="8"/>
      <c r="B383" s="8"/>
      <c r="C383" s="197"/>
      <c r="D383" s="8"/>
      <c r="E383" s="197"/>
      <c r="F383" s="197"/>
      <c r="G383" s="197"/>
      <c r="H383" s="197"/>
      <c r="I383" s="197"/>
      <c r="J383" s="8"/>
      <c r="K383" s="197"/>
      <c r="L383" s="8"/>
      <c r="M383" s="197"/>
      <c r="N383" s="197"/>
      <c r="O383" s="197"/>
      <c r="P383" s="197"/>
      <c r="Q383" s="197"/>
      <c r="R383" s="197"/>
      <c r="S383" s="197"/>
      <c r="T383" s="13"/>
      <c r="U383" s="13"/>
      <c r="V383" s="13"/>
      <c r="W383" s="13"/>
      <c r="X383" s="13"/>
      <c r="Y383" s="13"/>
      <c r="Z383" s="13"/>
    </row>
    <row r="384" spans="1:26" ht="12.75" customHeight="1" x14ac:dyDescent="0.2">
      <c r="A384" s="8"/>
      <c r="B384" s="8"/>
      <c r="C384" s="197"/>
      <c r="D384" s="8"/>
      <c r="E384" s="197"/>
      <c r="F384" s="197"/>
      <c r="G384" s="197"/>
      <c r="H384" s="197"/>
      <c r="I384" s="197"/>
      <c r="J384" s="8"/>
      <c r="K384" s="197"/>
      <c r="L384" s="8"/>
      <c r="M384" s="197"/>
      <c r="N384" s="197"/>
      <c r="O384" s="197"/>
      <c r="P384" s="197"/>
      <c r="Q384" s="197"/>
      <c r="R384" s="197"/>
      <c r="S384" s="197"/>
      <c r="T384" s="13"/>
      <c r="U384" s="13"/>
      <c r="V384" s="13"/>
      <c r="W384" s="13"/>
      <c r="X384" s="13"/>
      <c r="Y384" s="13"/>
      <c r="Z384" s="13"/>
    </row>
    <row r="385" spans="1:26" ht="12.75" customHeight="1" x14ac:dyDescent="0.2">
      <c r="A385" s="8"/>
      <c r="B385" s="8"/>
      <c r="C385" s="197"/>
      <c r="D385" s="8"/>
      <c r="E385" s="197"/>
      <c r="F385" s="197"/>
      <c r="G385" s="197"/>
      <c r="H385" s="197"/>
      <c r="I385" s="197"/>
      <c r="J385" s="8"/>
      <c r="K385" s="197"/>
      <c r="L385" s="8"/>
      <c r="M385" s="197"/>
      <c r="N385" s="197"/>
      <c r="O385" s="197"/>
      <c r="P385" s="197"/>
      <c r="Q385" s="197"/>
      <c r="R385" s="197"/>
      <c r="S385" s="197"/>
      <c r="T385" s="13"/>
      <c r="U385" s="13"/>
      <c r="V385" s="13"/>
      <c r="W385" s="13"/>
      <c r="X385" s="13"/>
      <c r="Y385" s="13"/>
      <c r="Z385" s="13"/>
    </row>
    <row r="386" spans="1:26" ht="12.75" customHeight="1" x14ac:dyDescent="0.2">
      <c r="A386" s="8"/>
      <c r="B386" s="8"/>
      <c r="C386" s="197"/>
      <c r="D386" s="8"/>
      <c r="E386" s="197"/>
      <c r="F386" s="197"/>
      <c r="G386" s="197"/>
      <c r="H386" s="197"/>
      <c r="I386" s="197"/>
      <c r="J386" s="8"/>
      <c r="K386" s="197"/>
      <c r="L386" s="8"/>
      <c r="M386" s="197"/>
      <c r="N386" s="197"/>
      <c r="O386" s="197"/>
      <c r="P386" s="197"/>
      <c r="Q386" s="197"/>
      <c r="R386" s="197"/>
      <c r="S386" s="197"/>
      <c r="T386" s="13"/>
      <c r="U386" s="13"/>
      <c r="V386" s="13"/>
      <c r="W386" s="13"/>
      <c r="X386" s="13"/>
      <c r="Y386" s="13"/>
      <c r="Z386" s="13"/>
    </row>
    <row r="387" spans="1:26" ht="12.75" customHeight="1" x14ac:dyDescent="0.2">
      <c r="A387" s="8"/>
      <c r="B387" s="8"/>
      <c r="C387" s="197"/>
      <c r="D387" s="8"/>
      <c r="E387" s="197"/>
      <c r="F387" s="197"/>
      <c r="G387" s="197"/>
      <c r="H387" s="197"/>
      <c r="I387" s="197"/>
      <c r="J387" s="8"/>
      <c r="K387" s="197"/>
      <c r="L387" s="8"/>
      <c r="M387" s="197"/>
      <c r="N387" s="197"/>
      <c r="O387" s="197"/>
      <c r="P387" s="197"/>
      <c r="Q387" s="197"/>
      <c r="R387" s="197"/>
      <c r="S387" s="197"/>
      <c r="T387" s="13"/>
      <c r="U387" s="13"/>
      <c r="V387" s="13"/>
      <c r="W387" s="13"/>
      <c r="X387" s="13"/>
      <c r="Y387" s="13"/>
      <c r="Z387" s="13"/>
    </row>
    <row r="388" spans="1:26" ht="12.75" customHeight="1" x14ac:dyDescent="0.2">
      <c r="A388" s="8"/>
      <c r="B388" s="8"/>
      <c r="C388" s="197"/>
      <c r="D388" s="8"/>
      <c r="E388" s="197"/>
      <c r="F388" s="197"/>
      <c r="G388" s="197"/>
      <c r="H388" s="197"/>
      <c r="I388" s="197"/>
      <c r="J388" s="8"/>
      <c r="K388" s="197"/>
      <c r="L388" s="8"/>
      <c r="M388" s="197"/>
      <c r="N388" s="197"/>
      <c r="O388" s="197"/>
      <c r="P388" s="197"/>
      <c r="Q388" s="197"/>
      <c r="R388" s="197"/>
      <c r="S388" s="197"/>
      <c r="T388" s="13"/>
      <c r="U388" s="13"/>
      <c r="V388" s="13"/>
      <c r="W388" s="13"/>
      <c r="X388" s="13"/>
      <c r="Y388" s="13"/>
      <c r="Z388" s="13"/>
    </row>
    <row r="389" spans="1:26" ht="12.75" customHeight="1" x14ac:dyDescent="0.2">
      <c r="A389" s="8"/>
      <c r="B389" s="8"/>
      <c r="C389" s="197"/>
      <c r="D389" s="8"/>
      <c r="E389" s="197"/>
      <c r="F389" s="197"/>
      <c r="G389" s="197"/>
      <c r="H389" s="197"/>
      <c r="I389" s="197"/>
      <c r="J389" s="8"/>
      <c r="K389" s="197"/>
      <c r="L389" s="8"/>
      <c r="M389" s="197"/>
      <c r="N389" s="197"/>
      <c r="O389" s="197"/>
      <c r="P389" s="197"/>
      <c r="Q389" s="197"/>
      <c r="R389" s="197"/>
      <c r="S389" s="197"/>
      <c r="T389" s="13"/>
      <c r="U389" s="13"/>
      <c r="V389" s="13"/>
      <c r="W389" s="13"/>
      <c r="X389" s="13"/>
      <c r="Y389" s="13"/>
      <c r="Z389" s="13"/>
    </row>
    <row r="390" spans="1:26" ht="12.75" customHeight="1" x14ac:dyDescent="0.2">
      <c r="A390" s="8"/>
      <c r="B390" s="8"/>
      <c r="C390" s="197"/>
      <c r="D390" s="8"/>
      <c r="E390" s="197"/>
      <c r="F390" s="197"/>
      <c r="G390" s="197"/>
      <c r="H390" s="197"/>
      <c r="I390" s="197"/>
      <c r="J390" s="8"/>
      <c r="K390" s="197"/>
      <c r="L390" s="8"/>
      <c r="M390" s="197"/>
      <c r="N390" s="197"/>
      <c r="O390" s="197"/>
      <c r="P390" s="197"/>
      <c r="Q390" s="197"/>
      <c r="R390" s="197"/>
      <c r="S390" s="197"/>
      <c r="T390" s="13"/>
      <c r="U390" s="13"/>
      <c r="V390" s="13"/>
      <c r="W390" s="13"/>
      <c r="X390" s="13"/>
      <c r="Y390" s="13"/>
      <c r="Z390" s="13"/>
    </row>
    <row r="391" spans="1:26" ht="12.75" customHeight="1" x14ac:dyDescent="0.2">
      <c r="A391" s="8"/>
      <c r="B391" s="8"/>
      <c r="C391" s="197"/>
      <c r="D391" s="8"/>
      <c r="E391" s="197"/>
      <c r="F391" s="197"/>
      <c r="G391" s="197"/>
      <c r="H391" s="197"/>
      <c r="I391" s="197"/>
      <c r="J391" s="8"/>
      <c r="K391" s="197"/>
      <c r="L391" s="8"/>
      <c r="M391" s="197"/>
      <c r="N391" s="197"/>
      <c r="O391" s="197"/>
      <c r="P391" s="197"/>
      <c r="Q391" s="197"/>
      <c r="R391" s="197"/>
      <c r="S391" s="197"/>
      <c r="T391" s="13"/>
      <c r="U391" s="13"/>
      <c r="V391" s="13"/>
      <c r="W391" s="13"/>
      <c r="X391" s="13"/>
      <c r="Y391" s="13"/>
      <c r="Z391" s="13"/>
    </row>
    <row r="392" spans="1:26" ht="12.75" customHeight="1" x14ac:dyDescent="0.2">
      <c r="A392" s="8"/>
      <c r="B392" s="8"/>
      <c r="C392" s="197"/>
      <c r="D392" s="8"/>
      <c r="E392" s="197"/>
      <c r="F392" s="197"/>
      <c r="G392" s="197"/>
      <c r="H392" s="197"/>
      <c r="I392" s="197"/>
      <c r="J392" s="8"/>
      <c r="K392" s="197"/>
      <c r="L392" s="8"/>
      <c r="M392" s="197"/>
      <c r="N392" s="197"/>
      <c r="O392" s="197"/>
      <c r="P392" s="197"/>
      <c r="Q392" s="197"/>
      <c r="R392" s="197"/>
      <c r="S392" s="197"/>
      <c r="T392" s="13"/>
      <c r="U392" s="13"/>
      <c r="V392" s="13"/>
      <c r="W392" s="13"/>
      <c r="X392" s="13"/>
      <c r="Y392" s="13"/>
      <c r="Z392" s="13"/>
    </row>
    <row r="393" spans="1:26" ht="12.75" customHeight="1" x14ac:dyDescent="0.2">
      <c r="A393" s="8"/>
      <c r="B393" s="8"/>
      <c r="C393" s="197"/>
      <c r="D393" s="8"/>
      <c r="E393" s="197"/>
      <c r="F393" s="197"/>
      <c r="G393" s="197"/>
      <c r="H393" s="197"/>
      <c r="I393" s="197"/>
      <c r="J393" s="8"/>
      <c r="K393" s="197"/>
      <c r="L393" s="8"/>
      <c r="M393" s="197"/>
      <c r="N393" s="197"/>
      <c r="O393" s="197"/>
      <c r="P393" s="197"/>
      <c r="Q393" s="197"/>
      <c r="R393" s="197"/>
      <c r="S393" s="197"/>
      <c r="T393" s="13"/>
      <c r="U393" s="13"/>
      <c r="V393" s="13"/>
      <c r="W393" s="13"/>
      <c r="X393" s="13"/>
      <c r="Y393" s="13"/>
      <c r="Z393" s="13"/>
    </row>
    <row r="394" spans="1:26" ht="12.75" customHeight="1" x14ac:dyDescent="0.2">
      <c r="A394" s="8"/>
      <c r="B394" s="8"/>
      <c r="C394" s="197"/>
      <c r="D394" s="8"/>
      <c r="E394" s="197"/>
      <c r="F394" s="197"/>
      <c r="G394" s="197"/>
      <c r="H394" s="197"/>
      <c r="I394" s="197"/>
      <c r="J394" s="8"/>
      <c r="K394" s="197"/>
      <c r="L394" s="8"/>
      <c r="M394" s="197"/>
      <c r="N394" s="197"/>
      <c r="O394" s="197"/>
      <c r="P394" s="197"/>
      <c r="Q394" s="197"/>
      <c r="R394" s="197"/>
      <c r="S394" s="197"/>
      <c r="T394" s="13"/>
      <c r="U394" s="13"/>
      <c r="V394" s="13"/>
      <c r="W394" s="13"/>
      <c r="X394" s="13"/>
      <c r="Y394" s="13"/>
      <c r="Z394" s="13"/>
    </row>
    <row r="395" spans="1:26" ht="12.75" customHeight="1" x14ac:dyDescent="0.2">
      <c r="A395" s="8"/>
      <c r="B395" s="8"/>
      <c r="C395" s="197"/>
      <c r="D395" s="8"/>
      <c r="E395" s="197"/>
      <c r="F395" s="197"/>
      <c r="G395" s="197"/>
      <c r="H395" s="197"/>
      <c r="I395" s="197"/>
      <c r="J395" s="8"/>
      <c r="K395" s="197"/>
      <c r="L395" s="8"/>
      <c r="M395" s="197"/>
      <c r="N395" s="197"/>
      <c r="O395" s="197"/>
      <c r="P395" s="197"/>
      <c r="Q395" s="197"/>
      <c r="R395" s="197"/>
      <c r="S395" s="197"/>
      <c r="T395" s="13"/>
      <c r="U395" s="13"/>
      <c r="V395" s="13"/>
      <c r="W395" s="13"/>
      <c r="X395" s="13"/>
      <c r="Y395" s="13"/>
      <c r="Z395" s="13"/>
    </row>
    <row r="396" spans="1:26" ht="12.75" customHeight="1" x14ac:dyDescent="0.2">
      <c r="A396" s="8"/>
      <c r="B396" s="8"/>
      <c r="C396" s="197"/>
      <c r="D396" s="8"/>
      <c r="E396" s="197"/>
      <c r="F396" s="197"/>
      <c r="G396" s="197"/>
      <c r="H396" s="197"/>
      <c r="I396" s="197"/>
      <c r="J396" s="8"/>
      <c r="K396" s="197"/>
      <c r="L396" s="8"/>
      <c r="M396" s="197"/>
      <c r="N396" s="197"/>
      <c r="O396" s="197"/>
      <c r="P396" s="197"/>
      <c r="Q396" s="197"/>
      <c r="R396" s="197"/>
      <c r="S396" s="197"/>
      <c r="T396" s="13"/>
      <c r="U396" s="13"/>
      <c r="V396" s="13"/>
      <c r="W396" s="13"/>
      <c r="X396" s="13"/>
      <c r="Y396" s="13"/>
      <c r="Z396" s="13"/>
    </row>
    <row r="397" spans="1:26" ht="12.75" customHeight="1" x14ac:dyDescent="0.2">
      <c r="A397" s="8"/>
      <c r="B397" s="8"/>
      <c r="C397" s="197"/>
      <c r="D397" s="8"/>
      <c r="E397" s="197"/>
      <c r="F397" s="197"/>
      <c r="G397" s="197"/>
      <c r="H397" s="197"/>
      <c r="I397" s="197"/>
      <c r="J397" s="8"/>
      <c r="K397" s="197"/>
      <c r="L397" s="8"/>
      <c r="M397" s="197"/>
      <c r="N397" s="197"/>
      <c r="O397" s="197"/>
      <c r="P397" s="197"/>
      <c r="Q397" s="197"/>
      <c r="R397" s="197"/>
      <c r="S397" s="197"/>
      <c r="T397" s="13"/>
      <c r="U397" s="13"/>
      <c r="V397" s="13"/>
      <c r="W397" s="13"/>
      <c r="X397" s="13"/>
      <c r="Y397" s="13"/>
      <c r="Z397" s="13"/>
    </row>
    <row r="398" spans="1:26" ht="12.75" customHeight="1" x14ac:dyDescent="0.2">
      <c r="A398" s="8"/>
      <c r="B398" s="8"/>
      <c r="C398" s="197"/>
      <c r="D398" s="8"/>
      <c r="E398" s="197"/>
      <c r="F398" s="197"/>
      <c r="G398" s="197"/>
      <c r="H398" s="197"/>
      <c r="I398" s="197"/>
      <c r="J398" s="8"/>
      <c r="K398" s="197"/>
      <c r="L398" s="8"/>
      <c r="M398" s="197"/>
      <c r="N398" s="197"/>
      <c r="O398" s="197"/>
      <c r="P398" s="197"/>
      <c r="Q398" s="197"/>
      <c r="R398" s="197"/>
      <c r="S398" s="197"/>
      <c r="T398" s="13"/>
      <c r="U398" s="13"/>
      <c r="V398" s="13"/>
      <c r="W398" s="13"/>
      <c r="X398" s="13"/>
      <c r="Y398" s="13"/>
      <c r="Z398" s="13"/>
    </row>
    <row r="399" spans="1:26" ht="12.75" customHeight="1" x14ac:dyDescent="0.2">
      <c r="A399" s="8"/>
      <c r="B399" s="8"/>
      <c r="C399" s="197"/>
      <c r="D399" s="8"/>
      <c r="E399" s="197"/>
      <c r="F399" s="197"/>
      <c r="G399" s="197"/>
      <c r="H399" s="197"/>
      <c r="I399" s="197"/>
      <c r="J399" s="8"/>
      <c r="K399" s="197"/>
      <c r="L399" s="8"/>
      <c r="M399" s="197"/>
      <c r="N399" s="197"/>
      <c r="O399" s="197"/>
      <c r="P399" s="197"/>
      <c r="Q399" s="197"/>
      <c r="R399" s="197"/>
      <c r="S399" s="197"/>
      <c r="T399" s="13"/>
      <c r="U399" s="13"/>
      <c r="V399" s="13"/>
      <c r="W399" s="13"/>
      <c r="X399" s="13"/>
      <c r="Y399" s="13"/>
      <c r="Z399" s="13"/>
    </row>
    <row r="400" spans="1:26" ht="12.75" customHeight="1" x14ac:dyDescent="0.2">
      <c r="A400" s="8"/>
      <c r="B400" s="8"/>
      <c r="C400" s="197"/>
      <c r="D400" s="8"/>
      <c r="E400" s="197"/>
      <c r="F400" s="197"/>
      <c r="G400" s="197"/>
      <c r="H400" s="197"/>
      <c r="I400" s="197"/>
      <c r="J400" s="8"/>
      <c r="K400" s="197"/>
      <c r="L400" s="8"/>
      <c r="M400" s="197"/>
      <c r="N400" s="197"/>
      <c r="O400" s="197"/>
      <c r="P400" s="197"/>
      <c r="Q400" s="197"/>
      <c r="R400" s="197"/>
      <c r="S400" s="197"/>
      <c r="T400" s="13"/>
      <c r="U400" s="13"/>
      <c r="V400" s="13"/>
      <c r="W400" s="13"/>
      <c r="X400" s="13"/>
      <c r="Y400" s="13"/>
      <c r="Z400" s="13"/>
    </row>
    <row r="401" spans="1:26" ht="12.75" customHeight="1" x14ac:dyDescent="0.2">
      <c r="A401" s="8"/>
      <c r="B401" s="8"/>
      <c r="C401" s="197"/>
      <c r="D401" s="8"/>
      <c r="E401" s="197"/>
      <c r="F401" s="197"/>
      <c r="G401" s="197"/>
      <c r="H401" s="197"/>
      <c r="I401" s="197"/>
      <c r="J401" s="8"/>
      <c r="K401" s="197"/>
      <c r="L401" s="8"/>
      <c r="M401" s="197"/>
      <c r="N401" s="197"/>
      <c r="O401" s="197"/>
      <c r="P401" s="197"/>
      <c r="Q401" s="197"/>
      <c r="R401" s="197"/>
      <c r="S401" s="197"/>
      <c r="T401" s="13"/>
      <c r="U401" s="13"/>
      <c r="V401" s="13"/>
      <c r="W401" s="13"/>
      <c r="X401" s="13"/>
      <c r="Y401" s="13"/>
      <c r="Z401" s="13"/>
    </row>
    <row r="402" spans="1:26" ht="12.75" customHeight="1" x14ac:dyDescent="0.2">
      <c r="A402" s="8"/>
      <c r="B402" s="8"/>
      <c r="C402" s="197"/>
      <c r="D402" s="8"/>
      <c r="E402" s="197"/>
      <c r="F402" s="197"/>
      <c r="G402" s="197"/>
      <c r="H402" s="197"/>
      <c r="I402" s="197"/>
      <c r="J402" s="8"/>
      <c r="K402" s="197"/>
      <c r="L402" s="8"/>
      <c r="M402" s="197"/>
      <c r="N402" s="197"/>
      <c r="O402" s="197"/>
      <c r="P402" s="197"/>
      <c r="Q402" s="197"/>
      <c r="R402" s="197"/>
      <c r="S402" s="197"/>
      <c r="T402" s="13"/>
      <c r="U402" s="13"/>
      <c r="V402" s="13"/>
      <c r="W402" s="13"/>
      <c r="X402" s="13"/>
      <c r="Y402" s="13"/>
      <c r="Z402" s="13"/>
    </row>
    <row r="403" spans="1:26" ht="12.75" customHeight="1" x14ac:dyDescent="0.2">
      <c r="A403" s="8"/>
      <c r="B403" s="8"/>
      <c r="C403" s="197"/>
      <c r="D403" s="8"/>
      <c r="E403" s="197"/>
      <c r="F403" s="197"/>
      <c r="G403" s="197"/>
      <c r="H403" s="197"/>
      <c r="I403" s="197"/>
      <c r="J403" s="8"/>
      <c r="K403" s="197"/>
      <c r="L403" s="8"/>
      <c r="M403" s="197"/>
      <c r="N403" s="197"/>
      <c r="O403" s="197"/>
      <c r="P403" s="197"/>
      <c r="Q403" s="197"/>
      <c r="R403" s="197"/>
      <c r="S403" s="197"/>
      <c r="T403" s="13"/>
      <c r="U403" s="13"/>
      <c r="V403" s="13"/>
      <c r="W403" s="13"/>
      <c r="X403" s="13"/>
      <c r="Y403" s="13"/>
      <c r="Z403" s="13"/>
    </row>
    <row r="404" spans="1:26" ht="12.75" customHeight="1" x14ac:dyDescent="0.2">
      <c r="A404" s="8"/>
      <c r="B404" s="8"/>
      <c r="C404" s="197"/>
      <c r="D404" s="8"/>
      <c r="E404" s="197"/>
      <c r="F404" s="197"/>
      <c r="G404" s="197"/>
      <c r="H404" s="197"/>
      <c r="I404" s="197"/>
      <c r="J404" s="8"/>
      <c r="K404" s="197"/>
      <c r="L404" s="8"/>
      <c r="M404" s="197"/>
      <c r="N404" s="197"/>
      <c r="O404" s="197"/>
      <c r="P404" s="197"/>
      <c r="Q404" s="197"/>
      <c r="R404" s="197"/>
      <c r="S404" s="197"/>
      <c r="T404" s="13"/>
      <c r="U404" s="13"/>
      <c r="V404" s="13"/>
      <c r="W404" s="13"/>
      <c r="X404" s="13"/>
      <c r="Y404" s="13"/>
      <c r="Z404" s="13"/>
    </row>
    <row r="405" spans="1:26" ht="12.75" customHeight="1" x14ac:dyDescent="0.2">
      <c r="A405" s="8"/>
      <c r="B405" s="8"/>
      <c r="C405" s="197"/>
      <c r="D405" s="8"/>
      <c r="E405" s="197"/>
      <c r="F405" s="197"/>
      <c r="G405" s="197"/>
      <c r="H405" s="197"/>
      <c r="I405" s="197"/>
      <c r="J405" s="8"/>
      <c r="K405" s="197"/>
      <c r="L405" s="8"/>
      <c r="M405" s="197"/>
      <c r="N405" s="197"/>
      <c r="O405" s="197"/>
      <c r="P405" s="197"/>
      <c r="Q405" s="197"/>
      <c r="R405" s="197"/>
      <c r="S405" s="197"/>
      <c r="T405" s="13"/>
      <c r="U405" s="13"/>
      <c r="V405" s="13"/>
      <c r="W405" s="13"/>
      <c r="X405" s="13"/>
      <c r="Y405" s="13"/>
      <c r="Z405" s="13"/>
    </row>
    <row r="406" spans="1:26" ht="12.75" customHeight="1" x14ac:dyDescent="0.2">
      <c r="A406" s="8"/>
      <c r="B406" s="8"/>
      <c r="C406" s="197"/>
      <c r="D406" s="8"/>
      <c r="E406" s="197"/>
      <c r="F406" s="197"/>
      <c r="G406" s="197"/>
      <c r="H406" s="197"/>
      <c r="I406" s="197"/>
      <c r="J406" s="8"/>
      <c r="K406" s="197"/>
      <c r="L406" s="8"/>
      <c r="M406" s="197"/>
      <c r="N406" s="197"/>
      <c r="O406" s="197"/>
      <c r="P406" s="197"/>
      <c r="Q406" s="197"/>
      <c r="R406" s="197"/>
      <c r="S406" s="197"/>
      <c r="T406" s="13"/>
      <c r="U406" s="13"/>
      <c r="V406" s="13"/>
      <c r="W406" s="13"/>
      <c r="X406" s="13"/>
      <c r="Y406" s="13"/>
      <c r="Z406" s="13"/>
    </row>
    <row r="407" spans="1:26" ht="12.75" customHeight="1" x14ac:dyDescent="0.2">
      <c r="A407" s="8"/>
      <c r="B407" s="8"/>
      <c r="C407" s="197"/>
      <c r="D407" s="8"/>
      <c r="E407" s="197"/>
      <c r="F407" s="197"/>
      <c r="G407" s="197"/>
      <c r="H407" s="197"/>
      <c r="I407" s="197"/>
      <c r="J407" s="8"/>
      <c r="K407" s="197"/>
      <c r="L407" s="8"/>
      <c r="M407" s="197"/>
      <c r="N407" s="197"/>
      <c r="O407" s="197"/>
      <c r="P407" s="197"/>
      <c r="Q407" s="197"/>
      <c r="R407" s="197"/>
      <c r="S407" s="197"/>
      <c r="T407" s="13"/>
      <c r="U407" s="13"/>
      <c r="V407" s="13"/>
      <c r="W407" s="13"/>
      <c r="X407" s="13"/>
      <c r="Y407" s="13"/>
      <c r="Z407" s="13"/>
    </row>
    <row r="408" spans="1:26" ht="12.75" customHeight="1" x14ac:dyDescent="0.2">
      <c r="A408" s="8"/>
      <c r="B408" s="8"/>
      <c r="C408" s="197"/>
      <c r="D408" s="8"/>
      <c r="E408" s="197"/>
      <c r="F408" s="197"/>
      <c r="G408" s="197"/>
      <c r="H408" s="197"/>
      <c r="I408" s="197"/>
      <c r="J408" s="8"/>
      <c r="K408" s="197"/>
      <c r="L408" s="8"/>
      <c r="M408" s="197"/>
      <c r="N408" s="197"/>
      <c r="O408" s="197"/>
      <c r="P408" s="197"/>
      <c r="Q408" s="197"/>
      <c r="R408" s="197"/>
      <c r="S408" s="197"/>
      <c r="T408" s="13"/>
      <c r="U408" s="13"/>
      <c r="V408" s="13"/>
      <c r="W408" s="13"/>
      <c r="X408" s="13"/>
      <c r="Y408" s="13"/>
      <c r="Z408" s="13"/>
    </row>
    <row r="409" spans="1:26" ht="12.75" customHeight="1" x14ac:dyDescent="0.2">
      <c r="A409" s="8"/>
      <c r="B409" s="8"/>
      <c r="C409" s="197"/>
      <c r="D409" s="8"/>
      <c r="E409" s="197"/>
      <c r="F409" s="197"/>
      <c r="G409" s="197"/>
      <c r="H409" s="197"/>
      <c r="I409" s="197"/>
      <c r="J409" s="8"/>
      <c r="K409" s="197"/>
      <c r="L409" s="8"/>
      <c r="M409" s="197"/>
      <c r="N409" s="197"/>
      <c r="O409" s="197"/>
      <c r="P409" s="197"/>
      <c r="Q409" s="197"/>
      <c r="R409" s="197"/>
      <c r="S409" s="197"/>
      <c r="T409" s="13"/>
      <c r="U409" s="13"/>
      <c r="V409" s="13"/>
      <c r="W409" s="13"/>
      <c r="X409" s="13"/>
      <c r="Y409" s="13"/>
      <c r="Z409" s="13"/>
    </row>
    <row r="410" spans="1:26" ht="12.75" customHeight="1" x14ac:dyDescent="0.2">
      <c r="A410" s="8"/>
      <c r="B410" s="8"/>
      <c r="C410" s="197"/>
      <c r="D410" s="8"/>
      <c r="E410" s="197"/>
      <c r="F410" s="197"/>
      <c r="G410" s="197"/>
      <c r="H410" s="197"/>
      <c r="I410" s="197"/>
      <c r="J410" s="8"/>
      <c r="K410" s="197"/>
      <c r="L410" s="8"/>
      <c r="M410" s="197"/>
      <c r="N410" s="197"/>
      <c r="O410" s="197"/>
      <c r="P410" s="197"/>
      <c r="Q410" s="197"/>
      <c r="R410" s="197"/>
      <c r="S410" s="197"/>
      <c r="T410" s="13"/>
      <c r="U410" s="13"/>
      <c r="V410" s="13"/>
      <c r="W410" s="13"/>
      <c r="X410" s="13"/>
      <c r="Y410" s="13"/>
      <c r="Z410" s="13"/>
    </row>
    <row r="411" spans="1:26" ht="12.75" customHeight="1" x14ac:dyDescent="0.2">
      <c r="A411" s="8"/>
      <c r="B411" s="8"/>
      <c r="C411" s="197"/>
      <c r="D411" s="8"/>
      <c r="E411" s="197"/>
      <c r="F411" s="197"/>
      <c r="G411" s="197"/>
      <c r="H411" s="197"/>
      <c r="I411" s="197"/>
      <c r="J411" s="8"/>
      <c r="K411" s="197"/>
      <c r="L411" s="8"/>
      <c r="M411" s="197"/>
      <c r="N411" s="197"/>
      <c r="O411" s="197"/>
      <c r="P411" s="197"/>
      <c r="Q411" s="197"/>
      <c r="R411" s="197"/>
      <c r="S411" s="197"/>
      <c r="T411" s="13"/>
      <c r="U411" s="13"/>
      <c r="V411" s="13"/>
      <c r="W411" s="13"/>
      <c r="X411" s="13"/>
      <c r="Y411" s="13"/>
      <c r="Z411" s="13"/>
    </row>
    <row r="412" spans="1:26" ht="12.75" customHeight="1" x14ac:dyDescent="0.2">
      <c r="A412" s="8"/>
      <c r="B412" s="8"/>
      <c r="C412" s="197"/>
      <c r="D412" s="8"/>
      <c r="E412" s="197"/>
      <c r="F412" s="197"/>
      <c r="G412" s="197"/>
      <c r="H412" s="197"/>
      <c r="I412" s="197"/>
      <c r="J412" s="8"/>
      <c r="K412" s="197"/>
      <c r="L412" s="8"/>
      <c r="M412" s="197"/>
      <c r="N412" s="197"/>
      <c r="O412" s="197"/>
      <c r="P412" s="197"/>
      <c r="Q412" s="197"/>
      <c r="R412" s="197"/>
      <c r="S412" s="197"/>
      <c r="T412" s="13"/>
      <c r="U412" s="13"/>
      <c r="V412" s="13"/>
      <c r="W412" s="13"/>
      <c r="X412" s="13"/>
      <c r="Y412" s="13"/>
      <c r="Z412" s="13"/>
    </row>
    <row r="413" spans="1:26" ht="12.75" customHeight="1" x14ac:dyDescent="0.2">
      <c r="A413" s="8"/>
      <c r="B413" s="8"/>
      <c r="C413" s="197"/>
      <c r="D413" s="8"/>
      <c r="E413" s="197"/>
      <c r="F413" s="197"/>
      <c r="G413" s="197"/>
      <c r="H413" s="197"/>
      <c r="I413" s="197"/>
      <c r="J413" s="8"/>
      <c r="K413" s="197"/>
      <c r="L413" s="8"/>
      <c r="M413" s="197"/>
      <c r="N413" s="197"/>
      <c r="O413" s="197"/>
      <c r="P413" s="197"/>
      <c r="Q413" s="197"/>
      <c r="R413" s="197"/>
      <c r="S413" s="197"/>
      <c r="T413" s="13"/>
      <c r="U413" s="13"/>
      <c r="V413" s="13"/>
      <c r="W413" s="13"/>
      <c r="X413" s="13"/>
      <c r="Y413" s="13"/>
      <c r="Z413" s="13"/>
    </row>
    <row r="414" spans="1:26" ht="12.75" customHeight="1" x14ac:dyDescent="0.2">
      <c r="A414" s="8"/>
      <c r="B414" s="8"/>
      <c r="C414" s="197"/>
      <c r="D414" s="8"/>
      <c r="E414" s="197"/>
      <c r="F414" s="197"/>
      <c r="G414" s="197"/>
      <c r="H414" s="197"/>
      <c r="I414" s="197"/>
      <c r="J414" s="8"/>
      <c r="K414" s="197"/>
      <c r="L414" s="8"/>
      <c r="M414" s="197"/>
      <c r="N414" s="197"/>
      <c r="O414" s="197"/>
      <c r="P414" s="197"/>
      <c r="Q414" s="197"/>
      <c r="R414" s="197"/>
      <c r="S414" s="197"/>
      <c r="T414" s="13"/>
      <c r="U414" s="13"/>
      <c r="V414" s="13"/>
      <c r="W414" s="13"/>
      <c r="X414" s="13"/>
      <c r="Y414" s="13"/>
      <c r="Z414" s="13"/>
    </row>
    <row r="415" spans="1:26" ht="12.75" customHeight="1" x14ac:dyDescent="0.2">
      <c r="A415" s="8"/>
      <c r="B415" s="8"/>
      <c r="C415" s="197"/>
      <c r="D415" s="8"/>
      <c r="E415" s="197"/>
      <c r="F415" s="197"/>
      <c r="G415" s="197"/>
      <c r="H415" s="197"/>
      <c r="I415" s="197"/>
      <c r="J415" s="8"/>
      <c r="K415" s="197"/>
      <c r="L415" s="8"/>
      <c r="M415" s="197"/>
      <c r="N415" s="197"/>
      <c r="O415" s="197"/>
      <c r="P415" s="197"/>
      <c r="Q415" s="197"/>
      <c r="R415" s="197"/>
      <c r="S415" s="197"/>
      <c r="T415" s="13"/>
      <c r="U415" s="13"/>
      <c r="V415" s="13"/>
      <c r="W415" s="13"/>
      <c r="X415" s="13"/>
      <c r="Y415" s="13"/>
      <c r="Z415" s="13"/>
    </row>
    <row r="416" spans="1:26" ht="12.75" customHeight="1" x14ac:dyDescent="0.2">
      <c r="A416" s="8"/>
      <c r="B416" s="8"/>
      <c r="C416" s="197"/>
      <c r="D416" s="8"/>
      <c r="E416" s="197"/>
      <c r="F416" s="197"/>
      <c r="G416" s="197"/>
      <c r="H416" s="197"/>
      <c r="I416" s="197"/>
      <c r="J416" s="8"/>
      <c r="K416" s="197"/>
      <c r="L416" s="8"/>
      <c r="M416" s="197"/>
      <c r="N416" s="197"/>
      <c r="O416" s="197"/>
      <c r="P416" s="197"/>
      <c r="Q416" s="197"/>
      <c r="R416" s="197"/>
      <c r="S416" s="197"/>
      <c r="T416" s="13"/>
      <c r="U416" s="13"/>
      <c r="V416" s="13"/>
      <c r="W416" s="13"/>
      <c r="X416" s="13"/>
      <c r="Y416" s="13"/>
      <c r="Z416" s="13"/>
    </row>
    <row r="417" spans="1:26" ht="12.75" customHeight="1" x14ac:dyDescent="0.2">
      <c r="A417" s="8"/>
      <c r="B417" s="8"/>
      <c r="C417" s="197"/>
      <c r="D417" s="8"/>
      <c r="E417" s="197"/>
      <c r="F417" s="197"/>
      <c r="G417" s="197"/>
      <c r="H417" s="197"/>
      <c r="I417" s="197"/>
      <c r="J417" s="8"/>
      <c r="K417" s="197"/>
      <c r="L417" s="8"/>
      <c r="M417" s="197"/>
      <c r="N417" s="197"/>
      <c r="O417" s="197"/>
      <c r="P417" s="197"/>
      <c r="Q417" s="197"/>
      <c r="R417" s="197"/>
      <c r="S417" s="197"/>
      <c r="T417" s="13"/>
      <c r="U417" s="13"/>
      <c r="V417" s="13"/>
      <c r="W417" s="13"/>
      <c r="X417" s="13"/>
      <c r="Y417" s="13"/>
      <c r="Z417" s="13"/>
    </row>
    <row r="418" spans="1:26" ht="12.75" customHeight="1" x14ac:dyDescent="0.2">
      <c r="A418" s="8"/>
      <c r="B418" s="8"/>
      <c r="C418" s="197"/>
      <c r="D418" s="8"/>
      <c r="E418" s="197"/>
      <c r="F418" s="197"/>
      <c r="G418" s="197"/>
      <c r="H418" s="197"/>
      <c r="I418" s="197"/>
      <c r="J418" s="8"/>
      <c r="K418" s="197"/>
      <c r="L418" s="8"/>
      <c r="M418" s="197"/>
      <c r="N418" s="197"/>
      <c r="O418" s="197"/>
      <c r="P418" s="197"/>
      <c r="Q418" s="197"/>
      <c r="R418" s="197"/>
      <c r="S418" s="197"/>
      <c r="T418" s="13"/>
      <c r="U418" s="13"/>
      <c r="V418" s="13"/>
      <c r="W418" s="13"/>
      <c r="X418" s="13"/>
      <c r="Y418" s="13"/>
      <c r="Z418" s="13"/>
    </row>
    <row r="419" spans="1:26" ht="12.75" customHeight="1" x14ac:dyDescent="0.2">
      <c r="A419" s="8"/>
      <c r="B419" s="8"/>
      <c r="C419" s="197"/>
      <c r="D419" s="8"/>
      <c r="E419" s="197"/>
      <c r="F419" s="197"/>
      <c r="G419" s="197"/>
      <c r="H419" s="197"/>
      <c r="I419" s="197"/>
      <c r="J419" s="8"/>
      <c r="K419" s="197"/>
      <c r="L419" s="8"/>
      <c r="M419" s="197"/>
      <c r="N419" s="197"/>
      <c r="O419" s="197"/>
      <c r="P419" s="197"/>
      <c r="Q419" s="197"/>
      <c r="R419" s="197"/>
      <c r="S419" s="197"/>
      <c r="T419" s="13"/>
      <c r="U419" s="13"/>
      <c r="V419" s="13"/>
      <c r="W419" s="13"/>
      <c r="X419" s="13"/>
      <c r="Y419" s="13"/>
      <c r="Z419" s="13"/>
    </row>
    <row r="420" spans="1:26" ht="12.75" customHeight="1" x14ac:dyDescent="0.2">
      <c r="A420" s="8"/>
      <c r="B420" s="8"/>
      <c r="C420" s="197"/>
      <c r="D420" s="8"/>
      <c r="E420" s="197"/>
      <c r="F420" s="197"/>
      <c r="G420" s="197"/>
      <c r="H420" s="197"/>
      <c r="I420" s="197"/>
      <c r="J420" s="8"/>
      <c r="K420" s="197"/>
      <c r="L420" s="8"/>
      <c r="M420" s="197"/>
      <c r="N420" s="197"/>
      <c r="O420" s="197"/>
      <c r="P420" s="197"/>
      <c r="Q420" s="197"/>
      <c r="R420" s="197"/>
      <c r="S420" s="197"/>
      <c r="T420" s="13"/>
      <c r="U420" s="13"/>
      <c r="V420" s="13"/>
      <c r="W420" s="13"/>
      <c r="X420" s="13"/>
      <c r="Y420" s="13"/>
      <c r="Z420" s="13"/>
    </row>
    <row r="421" spans="1:26" ht="12.75" customHeight="1" x14ac:dyDescent="0.2">
      <c r="A421" s="8"/>
      <c r="B421" s="8"/>
      <c r="C421" s="197"/>
      <c r="D421" s="8"/>
      <c r="E421" s="197"/>
      <c r="F421" s="197"/>
      <c r="G421" s="197"/>
      <c r="H421" s="197"/>
      <c r="I421" s="197"/>
      <c r="J421" s="8"/>
      <c r="K421" s="197"/>
      <c r="L421" s="8"/>
      <c r="M421" s="197"/>
      <c r="N421" s="197"/>
      <c r="O421" s="197"/>
      <c r="P421" s="197"/>
      <c r="Q421" s="197"/>
      <c r="R421" s="197"/>
      <c r="S421" s="197"/>
      <c r="T421" s="13"/>
      <c r="U421" s="13"/>
      <c r="V421" s="13"/>
      <c r="W421" s="13"/>
      <c r="X421" s="13"/>
      <c r="Y421" s="13"/>
      <c r="Z421" s="13"/>
    </row>
    <row r="422" spans="1:26" ht="12.75" customHeight="1" x14ac:dyDescent="0.2">
      <c r="A422" s="8"/>
      <c r="B422" s="8"/>
      <c r="C422" s="197"/>
      <c r="D422" s="8"/>
      <c r="E422" s="197"/>
      <c r="F422" s="197"/>
      <c r="G422" s="197"/>
      <c r="H422" s="197"/>
      <c r="I422" s="197"/>
      <c r="J422" s="8"/>
      <c r="K422" s="197"/>
      <c r="L422" s="8"/>
      <c r="M422" s="197"/>
      <c r="N422" s="197"/>
      <c r="O422" s="197"/>
      <c r="P422" s="197"/>
      <c r="Q422" s="197"/>
      <c r="R422" s="197"/>
      <c r="S422" s="197"/>
      <c r="T422" s="13"/>
      <c r="U422" s="13"/>
      <c r="V422" s="13"/>
      <c r="W422" s="13"/>
      <c r="X422" s="13"/>
      <c r="Y422" s="13"/>
      <c r="Z422" s="13"/>
    </row>
    <row r="423" spans="1:26" ht="12.75" customHeight="1" x14ac:dyDescent="0.2">
      <c r="A423" s="8"/>
      <c r="B423" s="8"/>
      <c r="C423" s="197"/>
      <c r="D423" s="8"/>
      <c r="E423" s="197"/>
      <c r="F423" s="197"/>
      <c r="G423" s="197"/>
      <c r="H423" s="197"/>
      <c r="I423" s="197"/>
      <c r="J423" s="8"/>
      <c r="K423" s="197"/>
      <c r="L423" s="8"/>
      <c r="M423" s="197"/>
      <c r="N423" s="197"/>
      <c r="O423" s="197"/>
      <c r="P423" s="197"/>
      <c r="Q423" s="197"/>
      <c r="R423" s="197"/>
      <c r="S423" s="197"/>
      <c r="T423" s="13"/>
      <c r="U423" s="13"/>
      <c r="V423" s="13"/>
      <c r="W423" s="13"/>
      <c r="X423" s="13"/>
      <c r="Y423" s="13"/>
      <c r="Z423" s="13"/>
    </row>
    <row r="424" spans="1:26" ht="12.75" customHeight="1" x14ac:dyDescent="0.2">
      <c r="A424" s="8"/>
      <c r="B424" s="8"/>
      <c r="C424" s="197"/>
      <c r="D424" s="8"/>
      <c r="E424" s="197"/>
      <c r="F424" s="197"/>
      <c r="G424" s="197"/>
      <c r="H424" s="197"/>
      <c r="I424" s="197"/>
      <c r="J424" s="8"/>
      <c r="K424" s="197"/>
      <c r="L424" s="8"/>
      <c r="M424" s="197"/>
      <c r="N424" s="197"/>
      <c r="O424" s="197"/>
      <c r="P424" s="197"/>
      <c r="Q424" s="197"/>
      <c r="R424" s="197"/>
      <c r="S424" s="197"/>
      <c r="T424" s="13"/>
      <c r="U424" s="13"/>
      <c r="V424" s="13"/>
      <c r="W424" s="13"/>
      <c r="X424" s="13"/>
      <c r="Y424" s="13"/>
      <c r="Z424" s="13"/>
    </row>
    <row r="425" spans="1:26" ht="12.75" customHeight="1" x14ac:dyDescent="0.2">
      <c r="A425" s="8"/>
      <c r="B425" s="8"/>
      <c r="C425" s="197"/>
      <c r="D425" s="8"/>
      <c r="E425" s="197"/>
      <c r="F425" s="197"/>
      <c r="G425" s="197"/>
      <c r="H425" s="197"/>
      <c r="I425" s="197"/>
      <c r="J425" s="8"/>
      <c r="K425" s="197"/>
      <c r="L425" s="8"/>
      <c r="M425" s="197"/>
      <c r="N425" s="197"/>
      <c r="O425" s="197"/>
      <c r="P425" s="197"/>
      <c r="Q425" s="197"/>
      <c r="R425" s="197"/>
      <c r="S425" s="197"/>
      <c r="T425" s="13"/>
      <c r="U425" s="13"/>
      <c r="V425" s="13"/>
      <c r="W425" s="13"/>
      <c r="X425" s="13"/>
      <c r="Y425" s="13"/>
      <c r="Z425" s="13"/>
    </row>
    <row r="426" spans="1:26" ht="12.75" customHeight="1" x14ac:dyDescent="0.2">
      <c r="A426" s="8"/>
      <c r="B426" s="8"/>
      <c r="C426" s="197"/>
      <c r="D426" s="8"/>
      <c r="E426" s="197"/>
      <c r="F426" s="197"/>
      <c r="G426" s="197"/>
      <c r="H426" s="197"/>
      <c r="I426" s="197"/>
      <c r="J426" s="8"/>
      <c r="K426" s="197"/>
      <c r="L426" s="8"/>
      <c r="M426" s="197"/>
      <c r="N426" s="197"/>
      <c r="O426" s="197"/>
      <c r="P426" s="197"/>
      <c r="Q426" s="197"/>
      <c r="R426" s="197"/>
      <c r="S426" s="197"/>
      <c r="T426" s="13"/>
      <c r="U426" s="13"/>
      <c r="V426" s="13"/>
      <c r="W426" s="13"/>
      <c r="X426" s="13"/>
      <c r="Y426" s="13"/>
      <c r="Z426" s="13"/>
    </row>
    <row r="427" spans="1:26" ht="12.75" customHeight="1" x14ac:dyDescent="0.2">
      <c r="A427" s="8"/>
      <c r="B427" s="8"/>
      <c r="C427" s="197"/>
      <c r="D427" s="8"/>
      <c r="E427" s="197"/>
      <c r="F427" s="197"/>
      <c r="G427" s="197"/>
      <c r="H427" s="197"/>
      <c r="I427" s="197"/>
      <c r="J427" s="8"/>
      <c r="K427" s="197"/>
      <c r="L427" s="8"/>
      <c r="M427" s="197"/>
      <c r="N427" s="197"/>
      <c r="O427" s="197"/>
      <c r="P427" s="197"/>
      <c r="Q427" s="197"/>
      <c r="R427" s="197"/>
      <c r="S427" s="197"/>
      <c r="T427" s="13"/>
      <c r="U427" s="13"/>
      <c r="V427" s="13"/>
      <c r="W427" s="13"/>
      <c r="X427" s="13"/>
      <c r="Y427" s="13"/>
      <c r="Z427" s="13"/>
    </row>
    <row r="428" spans="1:26" ht="12.75" customHeight="1" x14ac:dyDescent="0.2">
      <c r="A428" s="8"/>
      <c r="B428" s="8"/>
      <c r="C428" s="197"/>
      <c r="D428" s="8"/>
      <c r="E428" s="197"/>
      <c r="F428" s="197"/>
      <c r="G428" s="197"/>
      <c r="H428" s="197"/>
      <c r="I428" s="197"/>
      <c r="J428" s="8"/>
      <c r="K428" s="197"/>
      <c r="L428" s="8"/>
      <c r="M428" s="197"/>
      <c r="N428" s="197"/>
      <c r="O428" s="197"/>
      <c r="P428" s="197"/>
      <c r="Q428" s="197"/>
      <c r="R428" s="197"/>
      <c r="S428" s="197"/>
      <c r="T428" s="13"/>
      <c r="U428" s="13"/>
      <c r="V428" s="13"/>
      <c r="W428" s="13"/>
      <c r="X428" s="13"/>
      <c r="Y428" s="13"/>
      <c r="Z428" s="13"/>
    </row>
    <row r="429" spans="1:26" ht="12.75" customHeight="1" x14ac:dyDescent="0.2">
      <c r="A429" s="8"/>
      <c r="B429" s="8"/>
      <c r="C429" s="197"/>
      <c r="D429" s="8"/>
      <c r="E429" s="197"/>
      <c r="F429" s="197"/>
      <c r="G429" s="197"/>
      <c r="H429" s="197"/>
      <c r="I429" s="197"/>
      <c r="J429" s="8"/>
      <c r="K429" s="197"/>
      <c r="L429" s="8"/>
      <c r="M429" s="197"/>
      <c r="N429" s="197"/>
      <c r="O429" s="197"/>
      <c r="P429" s="197"/>
      <c r="Q429" s="197"/>
      <c r="R429" s="197"/>
      <c r="S429" s="197"/>
      <c r="T429" s="13"/>
      <c r="U429" s="13"/>
      <c r="V429" s="13"/>
      <c r="W429" s="13"/>
      <c r="X429" s="13"/>
      <c r="Y429" s="13"/>
      <c r="Z429" s="13"/>
    </row>
    <row r="430" spans="1:26" ht="12.75" customHeight="1" x14ac:dyDescent="0.2">
      <c r="A430" s="8"/>
      <c r="B430" s="8"/>
      <c r="C430" s="197"/>
      <c r="D430" s="8"/>
      <c r="E430" s="197"/>
      <c r="F430" s="197"/>
      <c r="G430" s="197"/>
      <c r="H430" s="197"/>
      <c r="I430" s="197"/>
      <c r="J430" s="8"/>
      <c r="K430" s="197"/>
      <c r="L430" s="8"/>
      <c r="M430" s="197"/>
      <c r="N430" s="197"/>
      <c r="O430" s="197"/>
      <c r="P430" s="197"/>
      <c r="Q430" s="197"/>
      <c r="R430" s="197"/>
      <c r="S430" s="197"/>
      <c r="T430" s="13"/>
      <c r="U430" s="13"/>
      <c r="V430" s="13"/>
      <c r="W430" s="13"/>
      <c r="X430" s="13"/>
      <c r="Y430" s="13"/>
      <c r="Z430" s="13"/>
    </row>
    <row r="431" spans="1:26" ht="12.75" customHeight="1" x14ac:dyDescent="0.2">
      <c r="A431" s="8"/>
      <c r="B431" s="8"/>
      <c r="C431" s="197"/>
      <c r="D431" s="8"/>
      <c r="E431" s="197"/>
      <c r="F431" s="197"/>
      <c r="G431" s="197"/>
      <c r="H431" s="197"/>
      <c r="I431" s="197"/>
      <c r="J431" s="8"/>
      <c r="K431" s="197"/>
      <c r="L431" s="8"/>
      <c r="M431" s="197"/>
      <c r="N431" s="197"/>
      <c r="O431" s="197"/>
      <c r="P431" s="197"/>
      <c r="Q431" s="197"/>
      <c r="R431" s="197"/>
      <c r="S431" s="197"/>
      <c r="T431" s="13"/>
      <c r="U431" s="13"/>
      <c r="V431" s="13"/>
      <c r="W431" s="13"/>
      <c r="X431" s="13"/>
      <c r="Y431" s="13"/>
      <c r="Z431" s="13"/>
    </row>
    <row r="432" spans="1:26" ht="12.75" customHeight="1" x14ac:dyDescent="0.2">
      <c r="A432" s="8"/>
      <c r="B432" s="8"/>
      <c r="C432" s="197"/>
      <c r="D432" s="8"/>
      <c r="E432" s="197"/>
      <c r="F432" s="197"/>
      <c r="G432" s="197"/>
      <c r="H432" s="197"/>
      <c r="I432" s="197"/>
      <c r="J432" s="8"/>
      <c r="K432" s="197"/>
      <c r="L432" s="8"/>
      <c r="M432" s="197"/>
      <c r="N432" s="197"/>
      <c r="O432" s="197"/>
      <c r="P432" s="197"/>
      <c r="Q432" s="197"/>
      <c r="R432" s="197"/>
      <c r="S432" s="197"/>
      <c r="T432" s="13"/>
      <c r="U432" s="13"/>
      <c r="V432" s="13"/>
      <c r="W432" s="13"/>
      <c r="X432" s="13"/>
      <c r="Y432" s="13"/>
      <c r="Z432" s="13"/>
    </row>
    <row r="433" spans="1:26" ht="12.75" customHeight="1" x14ac:dyDescent="0.2">
      <c r="A433" s="8"/>
      <c r="B433" s="8"/>
      <c r="C433" s="197"/>
      <c r="D433" s="8"/>
      <c r="E433" s="197"/>
      <c r="F433" s="197"/>
      <c r="G433" s="197"/>
      <c r="H433" s="197"/>
      <c r="I433" s="197"/>
      <c r="J433" s="8"/>
      <c r="K433" s="197"/>
      <c r="L433" s="8"/>
      <c r="M433" s="197"/>
      <c r="N433" s="197"/>
      <c r="O433" s="197"/>
      <c r="P433" s="197"/>
      <c r="Q433" s="197"/>
      <c r="R433" s="197"/>
      <c r="S433" s="197"/>
      <c r="T433" s="13"/>
      <c r="U433" s="13"/>
      <c r="V433" s="13"/>
      <c r="W433" s="13"/>
      <c r="X433" s="13"/>
      <c r="Y433" s="13"/>
      <c r="Z433" s="13"/>
    </row>
    <row r="434" spans="1:26" ht="12.75" customHeight="1" x14ac:dyDescent="0.2">
      <c r="A434" s="8"/>
      <c r="B434" s="8"/>
      <c r="C434" s="197"/>
      <c r="D434" s="8"/>
      <c r="E434" s="197"/>
      <c r="F434" s="197"/>
      <c r="G434" s="197"/>
      <c r="H434" s="197"/>
      <c r="I434" s="197"/>
      <c r="J434" s="8"/>
      <c r="K434" s="197"/>
      <c r="L434" s="8"/>
      <c r="M434" s="197"/>
      <c r="N434" s="197"/>
      <c r="O434" s="197"/>
      <c r="P434" s="197"/>
      <c r="Q434" s="197"/>
      <c r="R434" s="197"/>
      <c r="S434" s="197"/>
      <c r="T434" s="13"/>
      <c r="U434" s="13"/>
      <c r="V434" s="13"/>
      <c r="W434" s="13"/>
      <c r="X434" s="13"/>
      <c r="Y434" s="13"/>
      <c r="Z434" s="13"/>
    </row>
    <row r="435" spans="1:26" ht="12.75" customHeight="1" x14ac:dyDescent="0.2">
      <c r="A435" s="8"/>
      <c r="B435" s="8"/>
      <c r="C435" s="197"/>
      <c r="D435" s="8"/>
      <c r="E435" s="197"/>
      <c r="F435" s="197"/>
      <c r="G435" s="197"/>
      <c r="H435" s="197"/>
      <c r="I435" s="197"/>
      <c r="J435" s="8"/>
      <c r="K435" s="197"/>
      <c r="L435" s="8"/>
      <c r="M435" s="197"/>
      <c r="N435" s="197"/>
      <c r="O435" s="197"/>
      <c r="P435" s="197"/>
      <c r="Q435" s="197"/>
      <c r="R435" s="197"/>
      <c r="S435" s="197"/>
      <c r="T435" s="13"/>
      <c r="U435" s="13"/>
      <c r="V435" s="13"/>
      <c r="W435" s="13"/>
      <c r="X435" s="13"/>
      <c r="Y435" s="13"/>
      <c r="Z435" s="13"/>
    </row>
    <row r="436" spans="1:26" ht="12.75" customHeight="1" x14ac:dyDescent="0.2">
      <c r="A436" s="8"/>
      <c r="B436" s="8"/>
      <c r="C436" s="197"/>
      <c r="D436" s="8"/>
      <c r="E436" s="197"/>
      <c r="F436" s="197"/>
      <c r="G436" s="197"/>
      <c r="H436" s="197"/>
      <c r="I436" s="197"/>
      <c r="J436" s="8"/>
      <c r="K436" s="197"/>
      <c r="L436" s="8"/>
      <c r="M436" s="197"/>
      <c r="N436" s="197"/>
      <c r="O436" s="197"/>
      <c r="P436" s="197"/>
      <c r="Q436" s="197"/>
      <c r="R436" s="197"/>
      <c r="S436" s="197"/>
      <c r="T436" s="13"/>
      <c r="U436" s="13"/>
      <c r="V436" s="13"/>
      <c r="W436" s="13"/>
      <c r="X436" s="13"/>
      <c r="Y436" s="13"/>
      <c r="Z436" s="13"/>
    </row>
    <row r="437" spans="1:26" ht="12.75" customHeight="1" x14ac:dyDescent="0.2">
      <c r="A437" s="8"/>
      <c r="B437" s="8"/>
      <c r="C437" s="197"/>
      <c r="D437" s="8"/>
      <c r="E437" s="197"/>
      <c r="F437" s="197"/>
      <c r="G437" s="197"/>
      <c r="H437" s="197"/>
      <c r="I437" s="197"/>
      <c r="J437" s="8"/>
      <c r="K437" s="197"/>
      <c r="L437" s="8"/>
      <c r="M437" s="197"/>
      <c r="N437" s="197"/>
      <c r="O437" s="197"/>
      <c r="P437" s="197"/>
      <c r="Q437" s="197"/>
      <c r="R437" s="197"/>
      <c r="S437" s="197"/>
      <c r="T437" s="13"/>
      <c r="U437" s="13"/>
      <c r="V437" s="13"/>
      <c r="W437" s="13"/>
      <c r="X437" s="13"/>
      <c r="Y437" s="13"/>
      <c r="Z437" s="13"/>
    </row>
    <row r="438" spans="1:26" ht="12.75" customHeight="1" x14ac:dyDescent="0.2">
      <c r="A438" s="8"/>
      <c r="B438" s="8"/>
      <c r="C438" s="197"/>
      <c r="D438" s="8"/>
      <c r="E438" s="197"/>
      <c r="F438" s="197"/>
      <c r="G438" s="197"/>
      <c r="H438" s="197"/>
      <c r="I438" s="197"/>
      <c r="J438" s="8"/>
      <c r="K438" s="197"/>
      <c r="L438" s="8"/>
      <c r="M438" s="197"/>
      <c r="N438" s="197"/>
      <c r="O438" s="197"/>
      <c r="P438" s="197"/>
      <c r="Q438" s="197"/>
      <c r="R438" s="197"/>
      <c r="S438" s="197"/>
      <c r="T438" s="13"/>
      <c r="U438" s="13"/>
      <c r="V438" s="13"/>
      <c r="W438" s="13"/>
      <c r="X438" s="13"/>
      <c r="Y438" s="13"/>
      <c r="Z438" s="13"/>
    </row>
    <row r="439" spans="1:26" ht="12.75" customHeight="1" x14ac:dyDescent="0.2">
      <c r="A439" s="8"/>
      <c r="B439" s="8"/>
      <c r="C439" s="197"/>
      <c r="D439" s="8"/>
      <c r="E439" s="197"/>
      <c r="F439" s="197"/>
      <c r="G439" s="197"/>
      <c r="H439" s="197"/>
      <c r="I439" s="197"/>
      <c r="J439" s="8"/>
      <c r="K439" s="197"/>
      <c r="L439" s="8"/>
      <c r="M439" s="197"/>
      <c r="N439" s="197"/>
      <c r="O439" s="197"/>
      <c r="P439" s="197"/>
      <c r="Q439" s="197"/>
      <c r="R439" s="197"/>
      <c r="S439" s="197"/>
      <c r="T439" s="13"/>
      <c r="U439" s="13"/>
      <c r="V439" s="13"/>
      <c r="W439" s="13"/>
      <c r="X439" s="13"/>
      <c r="Y439" s="13"/>
      <c r="Z439" s="13"/>
    </row>
    <row r="440" spans="1:26" ht="12.75" customHeight="1" x14ac:dyDescent="0.2">
      <c r="A440" s="8"/>
      <c r="B440" s="8"/>
      <c r="C440" s="197"/>
      <c r="D440" s="8"/>
      <c r="E440" s="197"/>
      <c r="F440" s="197"/>
      <c r="G440" s="197"/>
      <c r="H440" s="197"/>
      <c r="I440" s="197"/>
      <c r="J440" s="8"/>
      <c r="K440" s="197"/>
      <c r="L440" s="8"/>
      <c r="M440" s="197"/>
      <c r="N440" s="197"/>
      <c r="O440" s="197"/>
      <c r="P440" s="197"/>
      <c r="Q440" s="197"/>
      <c r="R440" s="197"/>
      <c r="S440" s="197"/>
      <c r="T440" s="13"/>
      <c r="U440" s="13"/>
      <c r="V440" s="13"/>
      <c r="W440" s="13"/>
      <c r="X440" s="13"/>
      <c r="Y440" s="13"/>
      <c r="Z440" s="13"/>
    </row>
    <row r="441" spans="1:26" ht="12.75" customHeight="1" x14ac:dyDescent="0.2">
      <c r="A441" s="8"/>
      <c r="B441" s="8"/>
      <c r="C441" s="197"/>
      <c r="D441" s="8"/>
      <c r="E441" s="197"/>
      <c r="F441" s="197"/>
      <c r="G441" s="197"/>
      <c r="H441" s="197"/>
      <c r="I441" s="197"/>
      <c r="J441" s="8"/>
      <c r="K441" s="197"/>
      <c r="L441" s="8"/>
      <c r="M441" s="197"/>
      <c r="N441" s="197"/>
      <c r="O441" s="197"/>
      <c r="P441" s="197"/>
      <c r="Q441" s="197"/>
      <c r="R441" s="197"/>
      <c r="S441" s="197"/>
      <c r="T441" s="13"/>
      <c r="U441" s="13"/>
      <c r="V441" s="13"/>
      <c r="W441" s="13"/>
      <c r="X441" s="13"/>
      <c r="Y441" s="13"/>
      <c r="Z441" s="13"/>
    </row>
    <row r="442" spans="1:26" ht="12.75" customHeight="1" x14ac:dyDescent="0.2">
      <c r="A442" s="8"/>
      <c r="B442" s="8"/>
      <c r="C442" s="197"/>
      <c r="D442" s="8"/>
      <c r="E442" s="197"/>
      <c r="F442" s="197"/>
      <c r="G442" s="197"/>
      <c r="H442" s="197"/>
      <c r="I442" s="197"/>
      <c r="J442" s="8"/>
      <c r="K442" s="197"/>
      <c r="L442" s="8"/>
      <c r="M442" s="197"/>
      <c r="N442" s="197"/>
      <c r="O442" s="197"/>
      <c r="P442" s="197"/>
      <c r="Q442" s="197"/>
      <c r="R442" s="197"/>
      <c r="S442" s="197"/>
      <c r="T442" s="13"/>
      <c r="U442" s="13"/>
      <c r="V442" s="13"/>
      <c r="W442" s="13"/>
      <c r="X442" s="13"/>
      <c r="Y442" s="13"/>
      <c r="Z442" s="13"/>
    </row>
    <row r="443" spans="1:26" ht="12.75" customHeight="1" x14ac:dyDescent="0.2">
      <c r="A443" s="8"/>
      <c r="B443" s="8"/>
      <c r="C443" s="197"/>
      <c r="D443" s="8"/>
      <c r="E443" s="197"/>
      <c r="F443" s="197"/>
      <c r="G443" s="197"/>
      <c r="H443" s="197"/>
      <c r="I443" s="197"/>
      <c r="J443" s="8"/>
      <c r="K443" s="197"/>
      <c r="L443" s="8"/>
      <c r="M443" s="197"/>
      <c r="N443" s="197"/>
      <c r="O443" s="197"/>
      <c r="P443" s="197"/>
      <c r="Q443" s="197"/>
      <c r="R443" s="197"/>
      <c r="S443" s="197"/>
      <c r="T443" s="13"/>
      <c r="U443" s="13"/>
      <c r="V443" s="13"/>
      <c r="W443" s="13"/>
      <c r="X443" s="13"/>
      <c r="Y443" s="13"/>
      <c r="Z443" s="13"/>
    </row>
    <row r="444" spans="1:26" ht="12.75" customHeight="1" x14ac:dyDescent="0.2">
      <c r="A444" s="8"/>
      <c r="B444" s="8"/>
      <c r="C444" s="197"/>
      <c r="D444" s="8"/>
      <c r="E444" s="197"/>
      <c r="F444" s="197"/>
      <c r="G444" s="197"/>
      <c r="H444" s="197"/>
      <c r="I444" s="197"/>
      <c r="J444" s="8"/>
      <c r="K444" s="197"/>
      <c r="L444" s="8"/>
      <c r="M444" s="197"/>
      <c r="N444" s="197"/>
      <c r="O444" s="197"/>
      <c r="P444" s="197"/>
      <c r="Q444" s="197"/>
      <c r="R444" s="197"/>
      <c r="S444" s="197"/>
      <c r="T444" s="13"/>
      <c r="U444" s="13"/>
      <c r="V444" s="13"/>
      <c r="W444" s="13"/>
      <c r="X444" s="13"/>
      <c r="Y444" s="13"/>
      <c r="Z444" s="13"/>
    </row>
    <row r="445" spans="1:26" ht="12.75" customHeight="1" x14ac:dyDescent="0.2">
      <c r="A445" s="8"/>
      <c r="B445" s="8"/>
      <c r="C445" s="197"/>
      <c r="D445" s="8"/>
      <c r="E445" s="197"/>
      <c r="F445" s="197"/>
      <c r="G445" s="197"/>
      <c r="H445" s="197"/>
      <c r="I445" s="197"/>
      <c r="J445" s="8"/>
      <c r="K445" s="197"/>
      <c r="L445" s="8"/>
      <c r="M445" s="197"/>
      <c r="N445" s="197"/>
      <c r="O445" s="197"/>
      <c r="P445" s="197"/>
      <c r="Q445" s="197"/>
      <c r="R445" s="197"/>
      <c r="S445" s="197"/>
      <c r="T445" s="13"/>
      <c r="U445" s="13"/>
      <c r="V445" s="13"/>
      <c r="W445" s="13"/>
      <c r="X445" s="13"/>
      <c r="Y445" s="13"/>
      <c r="Z445" s="13"/>
    </row>
    <row r="446" spans="1:26" ht="12.75" customHeight="1" x14ac:dyDescent="0.2">
      <c r="A446" s="8"/>
      <c r="B446" s="8"/>
      <c r="C446" s="197"/>
      <c r="D446" s="8"/>
      <c r="E446" s="197"/>
      <c r="F446" s="197"/>
      <c r="G446" s="197"/>
      <c r="H446" s="197"/>
      <c r="I446" s="197"/>
      <c r="J446" s="8"/>
      <c r="K446" s="197"/>
      <c r="L446" s="8"/>
      <c r="M446" s="197"/>
      <c r="N446" s="197"/>
      <c r="O446" s="197"/>
      <c r="P446" s="197"/>
      <c r="Q446" s="197"/>
      <c r="R446" s="197"/>
      <c r="S446" s="197"/>
      <c r="T446" s="13"/>
      <c r="U446" s="13"/>
      <c r="V446" s="13"/>
      <c r="W446" s="13"/>
      <c r="X446" s="13"/>
      <c r="Y446" s="13"/>
      <c r="Z446" s="13"/>
    </row>
    <row r="447" spans="1:26" ht="12.75" customHeight="1" x14ac:dyDescent="0.2">
      <c r="A447" s="8"/>
      <c r="B447" s="8"/>
      <c r="C447" s="197"/>
      <c r="D447" s="8"/>
      <c r="E447" s="197"/>
      <c r="F447" s="197"/>
      <c r="G447" s="197"/>
      <c r="H447" s="197"/>
      <c r="I447" s="197"/>
      <c r="J447" s="8"/>
      <c r="K447" s="197"/>
      <c r="L447" s="8"/>
      <c r="M447" s="197"/>
      <c r="N447" s="197"/>
      <c r="O447" s="197"/>
      <c r="P447" s="197"/>
      <c r="Q447" s="197"/>
      <c r="R447" s="197"/>
      <c r="S447" s="197"/>
      <c r="T447" s="13"/>
      <c r="U447" s="13"/>
      <c r="V447" s="13"/>
      <c r="W447" s="13"/>
      <c r="X447" s="13"/>
      <c r="Y447" s="13"/>
      <c r="Z447" s="13"/>
    </row>
    <row r="448" spans="1:26" ht="12.75" customHeight="1" x14ac:dyDescent="0.2">
      <c r="A448" s="8"/>
      <c r="B448" s="8"/>
      <c r="C448" s="197"/>
      <c r="D448" s="8"/>
      <c r="E448" s="197"/>
      <c r="F448" s="197"/>
      <c r="G448" s="197"/>
      <c r="H448" s="197"/>
      <c r="I448" s="197"/>
      <c r="J448" s="8"/>
      <c r="K448" s="197"/>
      <c r="L448" s="8"/>
      <c r="M448" s="197"/>
      <c r="N448" s="197"/>
      <c r="O448" s="197"/>
      <c r="P448" s="197"/>
      <c r="Q448" s="197"/>
      <c r="R448" s="197"/>
      <c r="S448" s="197"/>
      <c r="T448" s="13"/>
      <c r="U448" s="13"/>
      <c r="V448" s="13"/>
      <c r="W448" s="13"/>
      <c r="X448" s="13"/>
      <c r="Y448" s="13"/>
      <c r="Z448" s="13"/>
    </row>
    <row r="449" spans="1:26" ht="12.75" customHeight="1" x14ac:dyDescent="0.2">
      <c r="A449" s="8"/>
      <c r="B449" s="8"/>
      <c r="C449" s="197"/>
      <c r="D449" s="8"/>
      <c r="E449" s="197"/>
      <c r="F449" s="197"/>
      <c r="G449" s="197"/>
      <c r="H449" s="197"/>
      <c r="I449" s="197"/>
      <c r="J449" s="8"/>
      <c r="K449" s="197"/>
      <c r="L449" s="8"/>
      <c r="M449" s="197"/>
      <c r="N449" s="197"/>
      <c r="O449" s="197"/>
      <c r="P449" s="197"/>
      <c r="Q449" s="197"/>
      <c r="R449" s="197"/>
      <c r="S449" s="197"/>
      <c r="T449" s="13"/>
      <c r="U449" s="13"/>
      <c r="V449" s="13"/>
      <c r="W449" s="13"/>
      <c r="X449" s="13"/>
      <c r="Y449" s="13"/>
      <c r="Z449" s="13"/>
    </row>
    <row r="450" spans="1:26" ht="12.75" customHeight="1" x14ac:dyDescent="0.2">
      <c r="A450" s="8"/>
      <c r="B450" s="8"/>
      <c r="C450" s="197"/>
      <c r="D450" s="8"/>
      <c r="E450" s="197"/>
      <c r="F450" s="197"/>
      <c r="G450" s="197"/>
      <c r="H450" s="197"/>
      <c r="I450" s="197"/>
      <c r="J450" s="8"/>
      <c r="K450" s="197"/>
      <c r="L450" s="8"/>
      <c r="M450" s="197"/>
      <c r="N450" s="197"/>
      <c r="O450" s="197"/>
      <c r="P450" s="197"/>
      <c r="Q450" s="197"/>
      <c r="R450" s="197"/>
      <c r="S450" s="197"/>
      <c r="T450" s="13"/>
      <c r="U450" s="13"/>
      <c r="V450" s="13"/>
      <c r="W450" s="13"/>
      <c r="X450" s="13"/>
      <c r="Y450" s="13"/>
      <c r="Z450" s="13"/>
    </row>
    <row r="451" spans="1:26" ht="12.75" customHeight="1" x14ac:dyDescent="0.2">
      <c r="A451" s="8"/>
      <c r="B451" s="8"/>
      <c r="C451" s="197"/>
      <c r="D451" s="8"/>
      <c r="E451" s="197"/>
      <c r="F451" s="197"/>
      <c r="G451" s="197"/>
      <c r="H451" s="197"/>
      <c r="I451" s="197"/>
      <c r="J451" s="8"/>
      <c r="K451" s="197"/>
      <c r="L451" s="8"/>
      <c r="M451" s="197"/>
      <c r="N451" s="197"/>
      <c r="O451" s="197"/>
      <c r="P451" s="197"/>
      <c r="Q451" s="197"/>
      <c r="R451" s="197"/>
      <c r="S451" s="197"/>
      <c r="T451" s="13"/>
      <c r="U451" s="13"/>
      <c r="V451" s="13"/>
      <c r="W451" s="13"/>
      <c r="X451" s="13"/>
      <c r="Y451" s="13"/>
      <c r="Z451" s="13"/>
    </row>
    <row r="452" spans="1:26" ht="12.75" customHeight="1" x14ac:dyDescent="0.2">
      <c r="A452" s="8"/>
      <c r="B452" s="8"/>
      <c r="C452" s="197"/>
      <c r="D452" s="8"/>
      <c r="E452" s="197"/>
      <c r="F452" s="197"/>
      <c r="G452" s="197"/>
      <c r="H452" s="197"/>
      <c r="I452" s="197"/>
      <c r="J452" s="8"/>
      <c r="K452" s="197"/>
      <c r="L452" s="8"/>
      <c r="M452" s="197"/>
      <c r="N452" s="197"/>
      <c r="O452" s="197"/>
      <c r="P452" s="197"/>
      <c r="Q452" s="197"/>
      <c r="R452" s="197"/>
      <c r="S452" s="197"/>
      <c r="T452" s="13"/>
      <c r="U452" s="13"/>
      <c r="V452" s="13"/>
      <c r="W452" s="13"/>
      <c r="X452" s="13"/>
      <c r="Y452" s="13"/>
      <c r="Z452" s="13"/>
    </row>
    <row r="453" spans="1:26" ht="12.75" customHeight="1" x14ac:dyDescent="0.2">
      <c r="A453" s="8"/>
      <c r="B453" s="8"/>
      <c r="C453" s="197"/>
      <c r="D453" s="8"/>
      <c r="E453" s="197"/>
      <c r="F453" s="197"/>
      <c r="G453" s="197"/>
      <c r="H453" s="197"/>
      <c r="I453" s="197"/>
      <c r="J453" s="8"/>
      <c r="K453" s="197"/>
      <c r="L453" s="8"/>
      <c r="M453" s="197"/>
      <c r="N453" s="197"/>
      <c r="O453" s="197"/>
      <c r="P453" s="197"/>
      <c r="Q453" s="197"/>
      <c r="R453" s="197"/>
      <c r="S453" s="197"/>
      <c r="T453" s="13"/>
      <c r="U453" s="13"/>
      <c r="V453" s="13"/>
      <c r="W453" s="13"/>
      <c r="X453" s="13"/>
      <c r="Y453" s="13"/>
      <c r="Z453" s="13"/>
    </row>
    <row r="454" spans="1:26" ht="12.75" customHeight="1" x14ac:dyDescent="0.2">
      <c r="A454" s="8"/>
      <c r="B454" s="8"/>
      <c r="C454" s="197"/>
      <c r="D454" s="8"/>
      <c r="E454" s="197"/>
      <c r="F454" s="197"/>
      <c r="G454" s="197"/>
      <c r="H454" s="197"/>
      <c r="I454" s="197"/>
      <c r="J454" s="8"/>
      <c r="K454" s="197"/>
      <c r="L454" s="8"/>
      <c r="M454" s="197"/>
      <c r="N454" s="197"/>
      <c r="O454" s="197"/>
      <c r="P454" s="197"/>
      <c r="Q454" s="197"/>
      <c r="R454" s="197"/>
      <c r="S454" s="197"/>
      <c r="T454" s="13"/>
      <c r="U454" s="13"/>
      <c r="V454" s="13"/>
      <c r="W454" s="13"/>
      <c r="X454" s="13"/>
      <c r="Y454" s="13"/>
      <c r="Z454" s="13"/>
    </row>
    <row r="455" spans="1:26" ht="12.75" customHeight="1" x14ac:dyDescent="0.2">
      <c r="A455" s="8"/>
      <c r="B455" s="8"/>
      <c r="C455" s="197"/>
      <c r="D455" s="8"/>
      <c r="E455" s="197"/>
      <c r="F455" s="197"/>
      <c r="G455" s="197"/>
      <c r="H455" s="197"/>
      <c r="I455" s="197"/>
      <c r="J455" s="8"/>
      <c r="K455" s="197"/>
      <c r="L455" s="8"/>
      <c r="M455" s="197"/>
      <c r="N455" s="197"/>
      <c r="O455" s="197"/>
      <c r="P455" s="197"/>
      <c r="Q455" s="197"/>
      <c r="R455" s="197"/>
      <c r="S455" s="197"/>
      <c r="T455" s="13"/>
      <c r="U455" s="13"/>
      <c r="V455" s="13"/>
      <c r="W455" s="13"/>
      <c r="X455" s="13"/>
      <c r="Y455" s="13"/>
      <c r="Z455" s="13"/>
    </row>
    <row r="456" spans="1:26" ht="12.75" customHeight="1" x14ac:dyDescent="0.2">
      <c r="A456" s="8"/>
      <c r="B456" s="8"/>
      <c r="C456" s="197"/>
      <c r="D456" s="8"/>
      <c r="E456" s="197"/>
      <c r="F456" s="197"/>
      <c r="G456" s="197"/>
      <c r="H456" s="197"/>
      <c r="I456" s="197"/>
      <c r="J456" s="8"/>
      <c r="K456" s="197"/>
      <c r="L456" s="8"/>
      <c r="M456" s="197"/>
      <c r="N456" s="197"/>
      <c r="O456" s="197"/>
      <c r="P456" s="197"/>
      <c r="Q456" s="197"/>
      <c r="R456" s="197"/>
      <c r="S456" s="197"/>
      <c r="T456" s="13"/>
      <c r="U456" s="13"/>
      <c r="V456" s="13"/>
      <c r="W456" s="13"/>
      <c r="X456" s="13"/>
      <c r="Y456" s="13"/>
      <c r="Z456" s="13"/>
    </row>
    <row r="457" spans="1:26" ht="12.75" customHeight="1" x14ac:dyDescent="0.2">
      <c r="A457" s="8"/>
      <c r="B457" s="8"/>
      <c r="C457" s="197"/>
      <c r="D457" s="8"/>
      <c r="E457" s="197"/>
      <c r="F457" s="197"/>
      <c r="G457" s="197"/>
      <c r="H457" s="197"/>
      <c r="I457" s="197"/>
      <c r="J457" s="8"/>
      <c r="K457" s="197"/>
      <c r="L457" s="8"/>
      <c r="M457" s="197"/>
      <c r="N457" s="197"/>
      <c r="O457" s="197"/>
      <c r="P457" s="197"/>
      <c r="Q457" s="197"/>
      <c r="R457" s="197"/>
      <c r="S457" s="197"/>
      <c r="T457" s="13"/>
      <c r="U457" s="13"/>
      <c r="V457" s="13"/>
      <c r="W457" s="13"/>
      <c r="X457" s="13"/>
      <c r="Y457" s="13"/>
      <c r="Z457" s="13"/>
    </row>
    <row r="458" spans="1:26" ht="12.75" customHeight="1" x14ac:dyDescent="0.2">
      <c r="A458" s="8"/>
      <c r="B458" s="8"/>
      <c r="C458" s="197"/>
      <c r="D458" s="8"/>
      <c r="E458" s="197"/>
      <c r="F458" s="197"/>
      <c r="G458" s="197"/>
      <c r="H458" s="197"/>
      <c r="I458" s="197"/>
      <c r="J458" s="8"/>
      <c r="K458" s="197"/>
      <c r="L458" s="8"/>
      <c r="M458" s="197"/>
      <c r="N458" s="197"/>
      <c r="O458" s="197"/>
      <c r="P458" s="197"/>
      <c r="Q458" s="197"/>
      <c r="R458" s="197"/>
      <c r="S458" s="197"/>
      <c r="T458" s="13"/>
      <c r="U458" s="13"/>
      <c r="V458" s="13"/>
      <c r="W458" s="13"/>
      <c r="X458" s="13"/>
      <c r="Y458" s="13"/>
      <c r="Z458" s="13"/>
    </row>
    <row r="459" spans="1:26" ht="12.75" customHeight="1" x14ac:dyDescent="0.2">
      <c r="A459" s="8"/>
      <c r="B459" s="8"/>
      <c r="C459" s="197"/>
      <c r="D459" s="8"/>
      <c r="E459" s="197"/>
      <c r="F459" s="197"/>
      <c r="G459" s="197"/>
      <c r="H459" s="197"/>
      <c r="I459" s="197"/>
      <c r="J459" s="8"/>
      <c r="K459" s="197"/>
      <c r="L459" s="8"/>
      <c r="M459" s="197"/>
      <c r="N459" s="197"/>
      <c r="O459" s="197"/>
      <c r="P459" s="197"/>
      <c r="Q459" s="197"/>
      <c r="R459" s="197"/>
      <c r="S459" s="197"/>
      <c r="T459" s="13"/>
      <c r="U459" s="13"/>
      <c r="V459" s="13"/>
      <c r="W459" s="13"/>
      <c r="X459" s="13"/>
      <c r="Y459" s="13"/>
      <c r="Z459" s="13"/>
    </row>
    <row r="460" spans="1:26" ht="12.75" customHeight="1" x14ac:dyDescent="0.2">
      <c r="A460" s="8"/>
      <c r="B460" s="8"/>
      <c r="C460" s="197"/>
      <c r="D460" s="8"/>
      <c r="E460" s="197"/>
      <c r="F460" s="197"/>
      <c r="G460" s="197"/>
      <c r="H460" s="197"/>
      <c r="I460" s="197"/>
      <c r="J460" s="8"/>
      <c r="K460" s="197"/>
      <c r="L460" s="8"/>
      <c r="M460" s="197"/>
      <c r="N460" s="197"/>
      <c r="O460" s="197"/>
      <c r="P460" s="197"/>
      <c r="Q460" s="197"/>
      <c r="R460" s="197"/>
      <c r="S460" s="197"/>
      <c r="T460" s="13"/>
      <c r="U460" s="13"/>
      <c r="V460" s="13"/>
      <c r="W460" s="13"/>
      <c r="X460" s="13"/>
      <c r="Y460" s="13"/>
      <c r="Z460" s="13"/>
    </row>
    <row r="461" spans="1:26" ht="12.75" customHeight="1" x14ac:dyDescent="0.2">
      <c r="A461" s="8"/>
      <c r="B461" s="8"/>
      <c r="C461" s="197"/>
      <c r="D461" s="8"/>
      <c r="E461" s="197"/>
      <c r="F461" s="197"/>
      <c r="G461" s="197"/>
      <c r="H461" s="197"/>
      <c r="I461" s="197"/>
      <c r="J461" s="8"/>
      <c r="K461" s="197"/>
      <c r="L461" s="8"/>
      <c r="M461" s="197"/>
      <c r="N461" s="197"/>
      <c r="O461" s="197"/>
      <c r="P461" s="197"/>
      <c r="Q461" s="197"/>
      <c r="R461" s="197"/>
      <c r="S461" s="197"/>
      <c r="T461" s="13"/>
      <c r="U461" s="13"/>
      <c r="V461" s="13"/>
      <c r="W461" s="13"/>
      <c r="X461" s="13"/>
      <c r="Y461" s="13"/>
      <c r="Z461" s="13"/>
    </row>
    <row r="462" spans="1:26" ht="12.75" customHeight="1" x14ac:dyDescent="0.2">
      <c r="A462" s="8"/>
      <c r="B462" s="8"/>
      <c r="C462" s="197"/>
      <c r="D462" s="8"/>
      <c r="E462" s="197"/>
      <c r="F462" s="197"/>
      <c r="G462" s="197"/>
      <c r="H462" s="197"/>
      <c r="I462" s="197"/>
      <c r="J462" s="8"/>
      <c r="K462" s="197"/>
      <c r="L462" s="8"/>
      <c r="M462" s="197"/>
      <c r="N462" s="197"/>
      <c r="O462" s="197"/>
      <c r="P462" s="197"/>
      <c r="Q462" s="197"/>
      <c r="R462" s="197"/>
      <c r="S462" s="197"/>
      <c r="T462" s="13"/>
      <c r="U462" s="13"/>
      <c r="V462" s="13"/>
      <c r="W462" s="13"/>
      <c r="X462" s="13"/>
      <c r="Y462" s="13"/>
      <c r="Z462" s="13"/>
    </row>
    <row r="463" spans="1:26" ht="12.75" customHeight="1" x14ac:dyDescent="0.2">
      <c r="A463" s="8"/>
      <c r="B463" s="8"/>
      <c r="C463" s="197"/>
      <c r="D463" s="8"/>
      <c r="E463" s="197"/>
      <c r="F463" s="197"/>
      <c r="G463" s="197"/>
      <c r="H463" s="197"/>
      <c r="I463" s="197"/>
      <c r="J463" s="8"/>
      <c r="K463" s="197"/>
      <c r="L463" s="8"/>
      <c r="M463" s="197"/>
      <c r="N463" s="197"/>
      <c r="O463" s="197"/>
      <c r="P463" s="197"/>
      <c r="Q463" s="197"/>
      <c r="R463" s="197"/>
      <c r="S463" s="197"/>
      <c r="T463" s="13"/>
      <c r="U463" s="13"/>
      <c r="V463" s="13"/>
      <c r="W463" s="13"/>
      <c r="X463" s="13"/>
      <c r="Y463" s="13"/>
      <c r="Z463" s="13"/>
    </row>
    <row r="464" spans="1:26" ht="12.75" customHeight="1" x14ac:dyDescent="0.2">
      <c r="A464" s="8"/>
      <c r="B464" s="8"/>
      <c r="C464" s="197"/>
      <c r="D464" s="8"/>
      <c r="E464" s="197"/>
      <c r="F464" s="197"/>
      <c r="G464" s="197"/>
      <c r="H464" s="197"/>
      <c r="I464" s="197"/>
      <c r="J464" s="8"/>
      <c r="K464" s="197"/>
      <c r="L464" s="8"/>
      <c r="M464" s="197"/>
      <c r="N464" s="197"/>
      <c r="O464" s="197"/>
      <c r="P464" s="197"/>
      <c r="Q464" s="197"/>
      <c r="R464" s="197"/>
      <c r="S464" s="197"/>
      <c r="T464" s="13"/>
      <c r="U464" s="13"/>
      <c r="V464" s="13"/>
      <c r="W464" s="13"/>
      <c r="X464" s="13"/>
      <c r="Y464" s="13"/>
      <c r="Z464" s="13"/>
    </row>
    <row r="465" spans="1:26" ht="12.75" customHeight="1" x14ac:dyDescent="0.2">
      <c r="A465" s="8"/>
      <c r="B465" s="8"/>
      <c r="C465" s="197"/>
      <c r="D465" s="8"/>
      <c r="E465" s="197"/>
      <c r="F465" s="197"/>
      <c r="G465" s="197"/>
      <c r="H465" s="197"/>
      <c r="I465" s="197"/>
      <c r="J465" s="8"/>
      <c r="K465" s="197"/>
      <c r="L465" s="8"/>
      <c r="M465" s="197"/>
      <c r="N465" s="197"/>
      <c r="O465" s="197"/>
      <c r="P465" s="197"/>
      <c r="Q465" s="197"/>
      <c r="R465" s="197"/>
      <c r="S465" s="197"/>
      <c r="T465" s="13"/>
      <c r="U465" s="13"/>
      <c r="V465" s="13"/>
      <c r="W465" s="13"/>
      <c r="X465" s="13"/>
      <c r="Y465" s="13"/>
      <c r="Z465" s="13"/>
    </row>
    <row r="466" spans="1:26" ht="12.75" customHeight="1" x14ac:dyDescent="0.2">
      <c r="A466" s="8"/>
      <c r="B466" s="8"/>
      <c r="C466" s="197"/>
      <c r="D466" s="8"/>
      <c r="E466" s="197"/>
      <c r="F466" s="197"/>
      <c r="G466" s="197"/>
      <c r="H466" s="197"/>
      <c r="I466" s="197"/>
      <c r="J466" s="8"/>
      <c r="K466" s="197"/>
      <c r="L466" s="8"/>
      <c r="M466" s="197"/>
      <c r="N466" s="197"/>
      <c r="O466" s="197"/>
      <c r="P466" s="197"/>
      <c r="Q466" s="197"/>
      <c r="R466" s="197"/>
      <c r="S466" s="197"/>
      <c r="T466" s="13"/>
      <c r="U466" s="13"/>
      <c r="V466" s="13"/>
      <c r="W466" s="13"/>
      <c r="X466" s="13"/>
      <c r="Y466" s="13"/>
      <c r="Z466" s="13"/>
    </row>
    <row r="467" spans="1:26" ht="12.75" customHeight="1" x14ac:dyDescent="0.2">
      <c r="A467" s="8"/>
      <c r="B467" s="8"/>
      <c r="C467" s="197"/>
      <c r="D467" s="8"/>
      <c r="E467" s="197"/>
      <c r="F467" s="197"/>
      <c r="G467" s="197"/>
      <c r="H467" s="197"/>
      <c r="I467" s="197"/>
      <c r="J467" s="8"/>
      <c r="K467" s="197"/>
      <c r="L467" s="8"/>
      <c r="M467" s="197"/>
      <c r="N467" s="197"/>
      <c r="O467" s="197"/>
      <c r="P467" s="197"/>
      <c r="Q467" s="197"/>
      <c r="R467" s="197"/>
      <c r="S467" s="197"/>
      <c r="T467" s="13"/>
      <c r="U467" s="13"/>
      <c r="V467" s="13"/>
      <c r="W467" s="13"/>
      <c r="X467" s="13"/>
      <c r="Y467" s="13"/>
      <c r="Z467" s="13"/>
    </row>
    <row r="468" spans="1:26" ht="12.75" customHeight="1" x14ac:dyDescent="0.2">
      <c r="A468" s="8"/>
      <c r="B468" s="8"/>
      <c r="C468" s="197"/>
      <c r="D468" s="8"/>
      <c r="E468" s="197"/>
      <c r="F468" s="197"/>
      <c r="G468" s="197"/>
      <c r="H468" s="197"/>
      <c r="I468" s="197"/>
      <c r="J468" s="8"/>
      <c r="K468" s="197"/>
      <c r="L468" s="8"/>
      <c r="M468" s="197"/>
      <c r="N468" s="197"/>
      <c r="O468" s="197"/>
      <c r="P468" s="197"/>
      <c r="Q468" s="197"/>
      <c r="R468" s="197"/>
      <c r="S468" s="197"/>
      <c r="T468" s="13"/>
      <c r="U468" s="13"/>
      <c r="V468" s="13"/>
      <c r="W468" s="13"/>
      <c r="X468" s="13"/>
      <c r="Y468" s="13"/>
      <c r="Z468" s="13"/>
    </row>
    <row r="469" spans="1:26" ht="12.75" customHeight="1" x14ac:dyDescent="0.2">
      <c r="A469" s="8"/>
      <c r="B469" s="8"/>
      <c r="C469" s="197"/>
      <c r="D469" s="8"/>
      <c r="E469" s="197"/>
      <c r="F469" s="197"/>
      <c r="G469" s="197"/>
      <c r="H469" s="197"/>
      <c r="I469" s="197"/>
      <c r="J469" s="8"/>
      <c r="K469" s="197"/>
      <c r="L469" s="8"/>
      <c r="M469" s="197"/>
      <c r="N469" s="197"/>
      <c r="O469" s="197"/>
      <c r="P469" s="197"/>
      <c r="Q469" s="197"/>
      <c r="R469" s="197"/>
      <c r="S469" s="197"/>
      <c r="T469" s="13"/>
      <c r="U469" s="13"/>
      <c r="V469" s="13"/>
      <c r="W469" s="13"/>
      <c r="X469" s="13"/>
      <c r="Y469" s="13"/>
      <c r="Z469" s="13"/>
    </row>
    <row r="470" spans="1:26" ht="12.75" customHeight="1" x14ac:dyDescent="0.2">
      <c r="A470" s="8"/>
      <c r="B470" s="8"/>
      <c r="C470" s="197"/>
      <c r="D470" s="8"/>
      <c r="E470" s="197"/>
      <c r="F470" s="197"/>
      <c r="G470" s="197"/>
      <c r="H470" s="197"/>
      <c r="I470" s="197"/>
      <c r="J470" s="8"/>
      <c r="K470" s="197"/>
      <c r="L470" s="8"/>
      <c r="M470" s="197"/>
      <c r="N470" s="197"/>
      <c r="O470" s="197"/>
      <c r="P470" s="197"/>
      <c r="Q470" s="197"/>
      <c r="R470" s="197"/>
      <c r="S470" s="197"/>
      <c r="T470" s="13"/>
      <c r="U470" s="13"/>
      <c r="V470" s="13"/>
      <c r="W470" s="13"/>
      <c r="X470" s="13"/>
      <c r="Y470" s="13"/>
      <c r="Z470" s="13"/>
    </row>
    <row r="471" spans="1:26" ht="12.75" customHeight="1" x14ac:dyDescent="0.2">
      <c r="A471" s="8"/>
      <c r="B471" s="8"/>
      <c r="C471" s="197"/>
      <c r="D471" s="8"/>
      <c r="E471" s="197"/>
      <c r="F471" s="197"/>
      <c r="G471" s="197"/>
      <c r="H471" s="197"/>
      <c r="I471" s="197"/>
      <c r="J471" s="8"/>
      <c r="K471" s="197"/>
      <c r="L471" s="8"/>
      <c r="M471" s="197"/>
      <c r="N471" s="197"/>
      <c r="O471" s="197"/>
      <c r="P471" s="197"/>
      <c r="Q471" s="197"/>
      <c r="R471" s="197"/>
      <c r="S471" s="197"/>
      <c r="T471" s="13"/>
      <c r="U471" s="13"/>
      <c r="V471" s="13"/>
      <c r="W471" s="13"/>
      <c r="X471" s="13"/>
      <c r="Y471" s="13"/>
      <c r="Z471" s="13"/>
    </row>
    <row r="472" spans="1:26" ht="12.75" customHeight="1" x14ac:dyDescent="0.2">
      <c r="A472" s="8"/>
      <c r="B472" s="8"/>
      <c r="C472" s="197"/>
      <c r="D472" s="8"/>
      <c r="E472" s="197"/>
      <c r="F472" s="197"/>
      <c r="G472" s="197"/>
      <c r="H472" s="197"/>
      <c r="I472" s="197"/>
      <c r="J472" s="8"/>
      <c r="K472" s="197"/>
      <c r="L472" s="8"/>
      <c r="M472" s="197"/>
      <c r="N472" s="197"/>
      <c r="O472" s="197"/>
      <c r="P472" s="197"/>
      <c r="Q472" s="197"/>
      <c r="R472" s="197"/>
      <c r="S472" s="197"/>
      <c r="T472" s="13"/>
      <c r="U472" s="13"/>
      <c r="V472" s="13"/>
      <c r="W472" s="13"/>
      <c r="X472" s="13"/>
      <c r="Y472" s="13"/>
      <c r="Z472" s="13"/>
    </row>
    <row r="473" spans="1:26" ht="12.75" customHeight="1" x14ac:dyDescent="0.2">
      <c r="A473" s="8"/>
      <c r="B473" s="8"/>
      <c r="C473" s="197"/>
      <c r="D473" s="8"/>
      <c r="E473" s="197"/>
      <c r="F473" s="197"/>
      <c r="G473" s="197"/>
      <c r="H473" s="197"/>
      <c r="I473" s="197"/>
      <c r="J473" s="8"/>
      <c r="K473" s="197"/>
      <c r="L473" s="8"/>
      <c r="M473" s="197"/>
      <c r="N473" s="197"/>
      <c r="O473" s="197"/>
      <c r="P473" s="197"/>
      <c r="Q473" s="197"/>
      <c r="R473" s="197"/>
      <c r="S473" s="197"/>
      <c r="T473" s="13"/>
      <c r="U473" s="13"/>
      <c r="V473" s="13"/>
      <c r="W473" s="13"/>
      <c r="X473" s="13"/>
      <c r="Y473" s="13"/>
      <c r="Z473" s="13"/>
    </row>
    <row r="474" spans="1:26" ht="12.75" customHeight="1" x14ac:dyDescent="0.2">
      <c r="A474" s="8"/>
      <c r="B474" s="8"/>
      <c r="C474" s="197"/>
      <c r="D474" s="8"/>
      <c r="E474" s="197"/>
      <c r="F474" s="197"/>
      <c r="G474" s="197"/>
      <c r="H474" s="197"/>
      <c r="I474" s="197"/>
      <c r="J474" s="8"/>
      <c r="K474" s="197"/>
      <c r="L474" s="8"/>
      <c r="M474" s="197"/>
      <c r="N474" s="197"/>
      <c r="O474" s="197"/>
      <c r="P474" s="197"/>
      <c r="Q474" s="197"/>
      <c r="R474" s="197"/>
      <c r="S474" s="197"/>
      <c r="T474" s="13"/>
      <c r="U474" s="13"/>
      <c r="V474" s="13"/>
      <c r="W474" s="13"/>
      <c r="X474" s="13"/>
      <c r="Y474" s="13"/>
      <c r="Z474" s="13"/>
    </row>
    <row r="475" spans="1:26" ht="12.75" customHeight="1" x14ac:dyDescent="0.2">
      <c r="A475" s="8"/>
      <c r="B475" s="8"/>
      <c r="C475" s="197"/>
      <c r="D475" s="8"/>
      <c r="E475" s="197"/>
      <c r="F475" s="197"/>
      <c r="G475" s="197"/>
      <c r="H475" s="197"/>
      <c r="I475" s="197"/>
      <c r="J475" s="8"/>
      <c r="K475" s="197"/>
      <c r="L475" s="8"/>
      <c r="M475" s="197"/>
      <c r="N475" s="197"/>
      <c r="O475" s="197"/>
      <c r="P475" s="197"/>
      <c r="Q475" s="197"/>
      <c r="R475" s="197"/>
      <c r="S475" s="197"/>
      <c r="T475" s="13"/>
      <c r="U475" s="13"/>
      <c r="V475" s="13"/>
      <c r="W475" s="13"/>
      <c r="X475" s="13"/>
      <c r="Y475" s="13"/>
      <c r="Z475" s="13"/>
    </row>
    <row r="476" spans="1:26" ht="12.75" customHeight="1" x14ac:dyDescent="0.2">
      <c r="A476" s="8"/>
      <c r="B476" s="8"/>
      <c r="C476" s="197"/>
      <c r="D476" s="8"/>
      <c r="E476" s="197"/>
      <c r="F476" s="197"/>
      <c r="G476" s="197"/>
      <c r="H476" s="197"/>
      <c r="I476" s="197"/>
      <c r="J476" s="8"/>
      <c r="K476" s="197"/>
      <c r="L476" s="8"/>
      <c r="M476" s="197"/>
      <c r="N476" s="197"/>
      <c r="O476" s="197"/>
      <c r="P476" s="197"/>
      <c r="Q476" s="197"/>
      <c r="R476" s="197"/>
      <c r="S476" s="197"/>
      <c r="T476" s="13"/>
      <c r="U476" s="13"/>
      <c r="V476" s="13"/>
      <c r="W476" s="13"/>
      <c r="X476" s="13"/>
      <c r="Y476" s="13"/>
      <c r="Z476" s="13"/>
    </row>
    <row r="477" spans="1:26" ht="12.75" customHeight="1" x14ac:dyDescent="0.2">
      <c r="A477" s="8"/>
      <c r="B477" s="8"/>
      <c r="C477" s="197"/>
      <c r="D477" s="8"/>
      <c r="E477" s="197"/>
      <c r="F477" s="197"/>
      <c r="G477" s="197"/>
      <c r="H477" s="197"/>
      <c r="I477" s="197"/>
      <c r="J477" s="8"/>
      <c r="K477" s="197"/>
      <c r="L477" s="8"/>
      <c r="M477" s="197"/>
      <c r="N477" s="197"/>
      <c r="O477" s="197"/>
      <c r="P477" s="197"/>
      <c r="Q477" s="197"/>
      <c r="R477" s="197"/>
      <c r="S477" s="197"/>
      <c r="T477" s="13"/>
      <c r="U477" s="13"/>
      <c r="V477" s="13"/>
      <c r="W477" s="13"/>
      <c r="X477" s="13"/>
      <c r="Y477" s="13"/>
      <c r="Z477" s="13"/>
    </row>
    <row r="478" spans="1:26" ht="12.75" customHeight="1" x14ac:dyDescent="0.2">
      <c r="A478" s="8"/>
      <c r="B478" s="8"/>
      <c r="C478" s="197"/>
      <c r="D478" s="8"/>
      <c r="E478" s="197"/>
      <c r="F478" s="197"/>
      <c r="G478" s="197"/>
      <c r="H478" s="197"/>
      <c r="I478" s="197"/>
      <c r="J478" s="8"/>
      <c r="K478" s="197"/>
      <c r="L478" s="8"/>
      <c r="M478" s="197"/>
      <c r="N478" s="197"/>
      <c r="O478" s="197"/>
      <c r="P478" s="197"/>
      <c r="Q478" s="197"/>
      <c r="R478" s="197"/>
      <c r="S478" s="197"/>
      <c r="T478" s="13"/>
      <c r="U478" s="13"/>
      <c r="V478" s="13"/>
      <c r="W478" s="13"/>
      <c r="X478" s="13"/>
      <c r="Y478" s="13"/>
      <c r="Z478" s="13"/>
    </row>
    <row r="479" spans="1:26" ht="12.75" customHeight="1" x14ac:dyDescent="0.2">
      <c r="A479" s="8"/>
      <c r="B479" s="8"/>
      <c r="C479" s="197"/>
      <c r="D479" s="8"/>
      <c r="E479" s="197"/>
      <c r="F479" s="197"/>
      <c r="G479" s="197"/>
      <c r="H479" s="197"/>
      <c r="I479" s="197"/>
      <c r="J479" s="8"/>
      <c r="K479" s="197"/>
      <c r="L479" s="8"/>
      <c r="M479" s="197"/>
      <c r="N479" s="197"/>
      <c r="O479" s="197"/>
      <c r="P479" s="197"/>
      <c r="Q479" s="197"/>
      <c r="R479" s="197"/>
      <c r="S479" s="197"/>
      <c r="T479" s="13"/>
      <c r="U479" s="13"/>
      <c r="V479" s="13"/>
      <c r="W479" s="13"/>
      <c r="X479" s="13"/>
      <c r="Y479" s="13"/>
      <c r="Z479" s="13"/>
    </row>
    <row r="480" spans="1:26" ht="12.75" customHeight="1" x14ac:dyDescent="0.2">
      <c r="A480" s="8"/>
      <c r="B480" s="8"/>
      <c r="C480" s="197"/>
      <c r="D480" s="8"/>
      <c r="E480" s="197"/>
      <c r="F480" s="197"/>
      <c r="G480" s="197"/>
      <c r="H480" s="197"/>
      <c r="I480" s="197"/>
      <c r="J480" s="8"/>
      <c r="K480" s="197"/>
      <c r="L480" s="8"/>
      <c r="M480" s="197"/>
      <c r="N480" s="197"/>
      <c r="O480" s="197"/>
      <c r="P480" s="197"/>
      <c r="Q480" s="197"/>
      <c r="R480" s="197"/>
      <c r="S480" s="197"/>
      <c r="T480" s="13"/>
      <c r="U480" s="13"/>
      <c r="V480" s="13"/>
      <c r="W480" s="13"/>
      <c r="X480" s="13"/>
      <c r="Y480" s="13"/>
      <c r="Z480" s="13"/>
    </row>
    <row r="481" spans="1:26" ht="12.75" customHeight="1" x14ac:dyDescent="0.2">
      <c r="A481" s="8"/>
      <c r="B481" s="8"/>
      <c r="C481" s="197"/>
      <c r="D481" s="8"/>
      <c r="E481" s="197"/>
      <c r="F481" s="197"/>
      <c r="G481" s="197"/>
      <c r="H481" s="197"/>
      <c r="I481" s="197"/>
      <c r="J481" s="8"/>
      <c r="K481" s="197"/>
      <c r="L481" s="8"/>
      <c r="M481" s="197"/>
      <c r="N481" s="197"/>
      <c r="O481" s="197"/>
      <c r="P481" s="197"/>
      <c r="Q481" s="197"/>
      <c r="R481" s="197"/>
      <c r="S481" s="197"/>
      <c r="T481" s="13"/>
      <c r="U481" s="13"/>
      <c r="V481" s="13"/>
      <c r="W481" s="13"/>
      <c r="X481" s="13"/>
      <c r="Y481" s="13"/>
      <c r="Z481" s="13"/>
    </row>
    <row r="482" spans="1:26" ht="12.75" customHeight="1" x14ac:dyDescent="0.2">
      <c r="A482" s="8"/>
      <c r="B482" s="8"/>
      <c r="C482" s="197"/>
      <c r="D482" s="8"/>
      <c r="E482" s="197"/>
      <c r="F482" s="197"/>
      <c r="G482" s="197"/>
      <c r="H482" s="197"/>
      <c r="I482" s="197"/>
      <c r="J482" s="8"/>
      <c r="K482" s="197"/>
      <c r="L482" s="8"/>
      <c r="M482" s="197"/>
      <c r="N482" s="197"/>
      <c r="O482" s="197"/>
      <c r="P482" s="197"/>
      <c r="Q482" s="197"/>
      <c r="R482" s="197"/>
      <c r="S482" s="197"/>
      <c r="T482" s="13"/>
      <c r="U482" s="13"/>
      <c r="V482" s="13"/>
      <c r="W482" s="13"/>
      <c r="X482" s="13"/>
      <c r="Y482" s="13"/>
      <c r="Z482" s="13"/>
    </row>
    <row r="483" spans="1:26" ht="12.75" customHeight="1" x14ac:dyDescent="0.2">
      <c r="A483" s="8"/>
      <c r="B483" s="8"/>
      <c r="C483" s="197"/>
      <c r="D483" s="8"/>
      <c r="E483" s="197"/>
      <c r="F483" s="197"/>
      <c r="G483" s="197"/>
      <c r="H483" s="197"/>
      <c r="I483" s="197"/>
      <c r="J483" s="8"/>
      <c r="K483" s="197"/>
      <c r="L483" s="8"/>
      <c r="M483" s="197"/>
      <c r="N483" s="197"/>
      <c r="O483" s="197"/>
      <c r="P483" s="197"/>
      <c r="Q483" s="197"/>
      <c r="R483" s="197"/>
      <c r="S483" s="197"/>
      <c r="T483" s="13"/>
      <c r="U483" s="13"/>
      <c r="V483" s="13"/>
      <c r="W483" s="13"/>
      <c r="X483" s="13"/>
      <c r="Y483" s="13"/>
      <c r="Z483" s="13"/>
    </row>
    <row r="484" spans="1:26" ht="12.75" customHeight="1" x14ac:dyDescent="0.2">
      <c r="A484" s="8"/>
      <c r="B484" s="8"/>
      <c r="C484" s="197"/>
      <c r="D484" s="8"/>
      <c r="E484" s="197"/>
      <c r="F484" s="197"/>
      <c r="G484" s="197"/>
      <c r="H484" s="197"/>
      <c r="I484" s="197"/>
      <c r="J484" s="8"/>
      <c r="K484" s="197"/>
      <c r="L484" s="8"/>
      <c r="M484" s="197"/>
      <c r="N484" s="197"/>
      <c r="O484" s="197"/>
      <c r="P484" s="197"/>
      <c r="Q484" s="197"/>
      <c r="R484" s="197"/>
      <c r="S484" s="197"/>
      <c r="T484" s="13"/>
      <c r="U484" s="13"/>
      <c r="V484" s="13"/>
      <c r="W484" s="13"/>
      <c r="X484" s="13"/>
      <c r="Y484" s="13"/>
      <c r="Z484" s="13"/>
    </row>
    <row r="485" spans="1:26" ht="12.75" customHeight="1" x14ac:dyDescent="0.2">
      <c r="A485" s="8"/>
      <c r="B485" s="8"/>
      <c r="C485" s="197"/>
      <c r="D485" s="8"/>
      <c r="E485" s="197"/>
      <c r="F485" s="197"/>
      <c r="G485" s="197"/>
      <c r="H485" s="197"/>
      <c r="I485" s="197"/>
      <c r="J485" s="8"/>
      <c r="K485" s="197"/>
      <c r="L485" s="8"/>
      <c r="M485" s="197"/>
      <c r="N485" s="197"/>
      <c r="O485" s="197"/>
      <c r="P485" s="197"/>
      <c r="Q485" s="197"/>
      <c r="R485" s="197"/>
      <c r="S485" s="197"/>
      <c r="T485" s="13"/>
      <c r="U485" s="13"/>
      <c r="V485" s="13"/>
      <c r="W485" s="13"/>
      <c r="X485" s="13"/>
      <c r="Y485" s="13"/>
      <c r="Z485" s="13"/>
    </row>
    <row r="486" spans="1:26" ht="12.75" customHeight="1" x14ac:dyDescent="0.2">
      <c r="A486" s="8"/>
      <c r="B486" s="8"/>
      <c r="C486" s="197"/>
      <c r="D486" s="8"/>
      <c r="E486" s="197"/>
      <c r="F486" s="197"/>
      <c r="G486" s="197"/>
      <c r="H486" s="197"/>
      <c r="I486" s="197"/>
      <c r="J486" s="8"/>
      <c r="K486" s="197"/>
      <c r="L486" s="8"/>
      <c r="M486" s="197"/>
      <c r="N486" s="197"/>
      <c r="O486" s="197"/>
      <c r="P486" s="197"/>
      <c r="Q486" s="197"/>
      <c r="R486" s="197"/>
      <c r="S486" s="197"/>
      <c r="T486" s="13"/>
      <c r="U486" s="13"/>
      <c r="V486" s="13"/>
      <c r="W486" s="13"/>
      <c r="X486" s="13"/>
      <c r="Y486" s="13"/>
      <c r="Z486" s="13"/>
    </row>
    <row r="487" spans="1:26" ht="12.75" customHeight="1" x14ac:dyDescent="0.2">
      <c r="A487" s="8"/>
      <c r="B487" s="8"/>
      <c r="C487" s="197"/>
      <c r="D487" s="8"/>
      <c r="E487" s="197"/>
      <c r="F487" s="197"/>
      <c r="G487" s="197"/>
      <c r="H487" s="197"/>
      <c r="I487" s="197"/>
      <c r="J487" s="8"/>
      <c r="K487" s="197"/>
      <c r="L487" s="8"/>
      <c r="M487" s="197"/>
      <c r="N487" s="197"/>
      <c r="O487" s="197"/>
      <c r="P487" s="197"/>
      <c r="Q487" s="197"/>
      <c r="R487" s="197"/>
      <c r="S487" s="197"/>
      <c r="T487" s="13"/>
      <c r="U487" s="13"/>
      <c r="V487" s="13"/>
      <c r="W487" s="13"/>
      <c r="X487" s="13"/>
      <c r="Y487" s="13"/>
      <c r="Z487" s="13"/>
    </row>
    <row r="488" spans="1:26" ht="12.75" customHeight="1" x14ac:dyDescent="0.2">
      <c r="A488" s="8"/>
      <c r="B488" s="8"/>
      <c r="C488" s="197"/>
      <c r="D488" s="8"/>
      <c r="E488" s="197"/>
      <c r="F488" s="197"/>
      <c r="G488" s="197"/>
      <c r="H488" s="197"/>
      <c r="I488" s="197"/>
      <c r="J488" s="8"/>
      <c r="K488" s="197"/>
      <c r="L488" s="8"/>
      <c r="M488" s="197"/>
      <c r="N488" s="197"/>
      <c r="O488" s="197"/>
      <c r="P488" s="197"/>
      <c r="Q488" s="197"/>
      <c r="R488" s="197"/>
      <c r="S488" s="197"/>
      <c r="T488" s="13"/>
      <c r="U488" s="13"/>
      <c r="V488" s="13"/>
      <c r="W488" s="13"/>
      <c r="X488" s="13"/>
      <c r="Y488" s="13"/>
      <c r="Z488" s="13"/>
    </row>
    <row r="489" spans="1:26" ht="12.75" customHeight="1" x14ac:dyDescent="0.2">
      <c r="A489" s="8"/>
      <c r="B489" s="8"/>
      <c r="C489" s="197"/>
      <c r="D489" s="8"/>
      <c r="E489" s="197"/>
      <c r="F489" s="197"/>
      <c r="G489" s="197"/>
      <c r="H489" s="197"/>
      <c r="I489" s="197"/>
      <c r="J489" s="8"/>
      <c r="K489" s="197"/>
      <c r="L489" s="8"/>
      <c r="M489" s="197"/>
      <c r="N489" s="197"/>
      <c r="O489" s="197"/>
      <c r="P489" s="197"/>
      <c r="Q489" s="197"/>
      <c r="R489" s="197"/>
      <c r="S489" s="197"/>
      <c r="T489" s="13"/>
      <c r="U489" s="13"/>
      <c r="V489" s="13"/>
      <c r="W489" s="13"/>
      <c r="X489" s="13"/>
      <c r="Y489" s="13"/>
      <c r="Z489" s="13"/>
    </row>
    <row r="490" spans="1:26" ht="12.75" customHeight="1" x14ac:dyDescent="0.2">
      <c r="A490" s="8"/>
      <c r="B490" s="8"/>
      <c r="C490" s="197"/>
      <c r="D490" s="8"/>
      <c r="E490" s="197"/>
      <c r="F490" s="197"/>
      <c r="G490" s="197"/>
      <c r="H490" s="197"/>
      <c r="I490" s="197"/>
      <c r="J490" s="8"/>
      <c r="K490" s="197"/>
      <c r="L490" s="8"/>
      <c r="M490" s="197"/>
      <c r="N490" s="197"/>
      <c r="O490" s="197"/>
      <c r="P490" s="197"/>
      <c r="Q490" s="197"/>
      <c r="R490" s="197"/>
      <c r="S490" s="197"/>
      <c r="T490" s="13"/>
      <c r="U490" s="13"/>
      <c r="V490" s="13"/>
      <c r="W490" s="13"/>
      <c r="X490" s="13"/>
      <c r="Y490" s="13"/>
      <c r="Z490" s="13"/>
    </row>
    <row r="491" spans="1:26" ht="12.75" customHeight="1" x14ac:dyDescent="0.2">
      <c r="A491" s="8"/>
      <c r="B491" s="8"/>
      <c r="C491" s="197"/>
      <c r="D491" s="8"/>
      <c r="E491" s="197"/>
      <c r="F491" s="197"/>
      <c r="G491" s="197"/>
      <c r="H491" s="197"/>
      <c r="I491" s="197"/>
      <c r="J491" s="8"/>
      <c r="K491" s="197"/>
      <c r="L491" s="8"/>
      <c r="M491" s="197"/>
      <c r="N491" s="197"/>
      <c r="O491" s="197"/>
      <c r="P491" s="197"/>
      <c r="Q491" s="197"/>
      <c r="R491" s="197"/>
      <c r="S491" s="197"/>
      <c r="T491" s="13"/>
      <c r="U491" s="13"/>
      <c r="V491" s="13"/>
      <c r="W491" s="13"/>
      <c r="X491" s="13"/>
      <c r="Y491" s="13"/>
      <c r="Z491" s="13"/>
    </row>
    <row r="492" spans="1:26" ht="12.75" customHeight="1" x14ac:dyDescent="0.2">
      <c r="A492" s="8"/>
      <c r="B492" s="8"/>
      <c r="C492" s="197"/>
      <c r="D492" s="8"/>
      <c r="E492" s="197"/>
      <c r="F492" s="197"/>
      <c r="G492" s="197"/>
      <c r="H492" s="197"/>
      <c r="I492" s="197"/>
      <c r="J492" s="8"/>
      <c r="K492" s="197"/>
      <c r="L492" s="8"/>
      <c r="M492" s="197"/>
      <c r="N492" s="197"/>
      <c r="O492" s="197"/>
      <c r="P492" s="197"/>
      <c r="Q492" s="197"/>
      <c r="R492" s="197"/>
      <c r="S492" s="197"/>
      <c r="T492" s="13"/>
      <c r="U492" s="13"/>
      <c r="V492" s="13"/>
      <c r="W492" s="13"/>
      <c r="X492" s="13"/>
      <c r="Y492" s="13"/>
      <c r="Z492" s="13"/>
    </row>
    <row r="493" spans="1:26" ht="12.75" customHeight="1" x14ac:dyDescent="0.2">
      <c r="A493" s="8"/>
      <c r="B493" s="8"/>
      <c r="C493" s="197"/>
      <c r="D493" s="8"/>
      <c r="E493" s="197"/>
      <c r="F493" s="197"/>
      <c r="G493" s="197"/>
      <c r="H493" s="197"/>
      <c r="I493" s="197"/>
      <c r="J493" s="8"/>
      <c r="K493" s="197"/>
      <c r="L493" s="8"/>
      <c r="M493" s="197"/>
      <c r="N493" s="197"/>
      <c r="O493" s="197"/>
      <c r="P493" s="197"/>
      <c r="Q493" s="197"/>
      <c r="R493" s="197"/>
      <c r="S493" s="197"/>
      <c r="T493" s="13"/>
      <c r="U493" s="13"/>
      <c r="V493" s="13"/>
      <c r="W493" s="13"/>
      <c r="X493" s="13"/>
      <c r="Y493" s="13"/>
      <c r="Z493" s="13"/>
    </row>
    <row r="494" spans="1:26" ht="12.75" customHeight="1" x14ac:dyDescent="0.2">
      <c r="A494" s="8"/>
      <c r="B494" s="8"/>
      <c r="C494" s="197"/>
      <c r="D494" s="8"/>
      <c r="E494" s="197"/>
      <c r="F494" s="197"/>
      <c r="G494" s="197"/>
      <c r="H494" s="197"/>
      <c r="I494" s="197"/>
      <c r="J494" s="8"/>
      <c r="K494" s="197"/>
      <c r="L494" s="8"/>
      <c r="M494" s="197"/>
      <c r="N494" s="197"/>
      <c r="O494" s="197"/>
      <c r="P494" s="197"/>
      <c r="Q494" s="197"/>
      <c r="R494" s="197"/>
      <c r="S494" s="197"/>
      <c r="T494" s="13"/>
      <c r="U494" s="13"/>
      <c r="V494" s="13"/>
      <c r="W494" s="13"/>
      <c r="X494" s="13"/>
      <c r="Y494" s="13"/>
      <c r="Z494" s="13"/>
    </row>
    <row r="495" spans="1:26" ht="12.75" customHeight="1" x14ac:dyDescent="0.2">
      <c r="A495" s="8"/>
      <c r="B495" s="8"/>
      <c r="C495" s="197"/>
      <c r="D495" s="8"/>
      <c r="E495" s="197"/>
      <c r="F495" s="197"/>
      <c r="G495" s="197"/>
      <c r="H495" s="197"/>
      <c r="I495" s="197"/>
      <c r="J495" s="8"/>
      <c r="K495" s="197"/>
      <c r="L495" s="8"/>
      <c r="M495" s="197"/>
      <c r="N495" s="197"/>
      <c r="O495" s="197"/>
      <c r="P495" s="197"/>
      <c r="Q495" s="197"/>
      <c r="R495" s="197"/>
      <c r="S495" s="197"/>
      <c r="T495" s="13"/>
      <c r="U495" s="13"/>
      <c r="V495" s="13"/>
      <c r="W495" s="13"/>
      <c r="X495" s="13"/>
      <c r="Y495" s="13"/>
      <c r="Z495" s="13"/>
    </row>
    <row r="496" spans="1:26" ht="12.75" customHeight="1" x14ac:dyDescent="0.2">
      <c r="A496" s="8"/>
      <c r="B496" s="8"/>
      <c r="C496" s="197"/>
      <c r="D496" s="8"/>
      <c r="E496" s="197"/>
      <c r="F496" s="197"/>
      <c r="G496" s="197"/>
      <c r="H496" s="197"/>
      <c r="I496" s="197"/>
      <c r="J496" s="8"/>
      <c r="K496" s="197"/>
      <c r="L496" s="8"/>
      <c r="M496" s="197"/>
      <c r="N496" s="197"/>
      <c r="O496" s="197"/>
      <c r="P496" s="197"/>
      <c r="Q496" s="197"/>
      <c r="R496" s="197"/>
      <c r="S496" s="197"/>
      <c r="T496" s="13"/>
      <c r="U496" s="13"/>
      <c r="V496" s="13"/>
      <c r="W496" s="13"/>
      <c r="X496" s="13"/>
      <c r="Y496" s="13"/>
      <c r="Z496" s="13"/>
    </row>
    <row r="497" spans="1:26" ht="12.75" customHeight="1" x14ac:dyDescent="0.2">
      <c r="A497" s="8"/>
      <c r="B497" s="8"/>
      <c r="C497" s="197"/>
      <c r="D497" s="8"/>
      <c r="E497" s="197"/>
      <c r="F497" s="197"/>
      <c r="G497" s="197"/>
      <c r="H497" s="197"/>
      <c r="I497" s="197"/>
      <c r="J497" s="8"/>
      <c r="K497" s="197"/>
      <c r="L497" s="8"/>
      <c r="M497" s="197"/>
      <c r="N497" s="197"/>
      <c r="O497" s="197"/>
      <c r="P497" s="197"/>
      <c r="Q497" s="197"/>
      <c r="R497" s="197"/>
      <c r="S497" s="197"/>
      <c r="T497" s="13"/>
      <c r="U497" s="13"/>
      <c r="V497" s="13"/>
      <c r="W497" s="13"/>
      <c r="X497" s="13"/>
      <c r="Y497" s="13"/>
      <c r="Z497" s="13"/>
    </row>
    <row r="498" spans="1:26" ht="12.75" customHeight="1" x14ac:dyDescent="0.2">
      <c r="A498" s="8"/>
      <c r="B498" s="8"/>
      <c r="C498" s="197"/>
      <c r="D498" s="8"/>
      <c r="E498" s="197"/>
      <c r="F498" s="197"/>
      <c r="G498" s="197"/>
      <c r="H498" s="197"/>
      <c r="I498" s="197"/>
      <c r="J498" s="8"/>
      <c r="K498" s="197"/>
      <c r="L498" s="8"/>
      <c r="M498" s="197"/>
      <c r="N498" s="197"/>
      <c r="O498" s="197"/>
      <c r="P498" s="197"/>
      <c r="Q498" s="197"/>
      <c r="R498" s="197"/>
      <c r="S498" s="197"/>
      <c r="T498" s="13"/>
      <c r="U498" s="13"/>
      <c r="V498" s="13"/>
      <c r="W498" s="13"/>
      <c r="X498" s="13"/>
      <c r="Y498" s="13"/>
      <c r="Z498" s="13"/>
    </row>
    <row r="499" spans="1:26" ht="12.75" customHeight="1" x14ac:dyDescent="0.2">
      <c r="A499" s="8"/>
      <c r="B499" s="8"/>
      <c r="C499" s="197"/>
      <c r="D499" s="8"/>
      <c r="E499" s="197"/>
      <c r="F499" s="197"/>
      <c r="G499" s="197"/>
      <c r="H499" s="197"/>
      <c r="I499" s="197"/>
      <c r="J499" s="8"/>
      <c r="K499" s="197"/>
      <c r="L499" s="8"/>
      <c r="M499" s="197"/>
      <c r="N499" s="197"/>
      <c r="O499" s="197"/>
      <c r="P499" s="197"/>
      <c r="Q499" s="197"/>
      <c r="R499" s="197"/>
      <c r="S499" s="197"/>
      <c r="T499" s="13"/>
      <c r="U499" s="13"/>
      <c r="V499" s="13"/>
      <c r="W499" s="13"/>
      <c r="X499" s="13"/>
      <c r="Y499" s="13"/>
      <c r="Z499" s="13"/>
    </row>
    <row r="500" spans="1:26" ht="12.75" customHeight="1" x14ac:dyDescent="0.2">
      <c r="A500" s="8"/>
      <c r="B500" s="8"/>
      <c r="C500" s="197"/>
      <c r="D500" s="8"/>
      <c r="E500" s="197"/>
      <c r="F500" s="197"/>
      <c r="G500" s="197"/>
      <c r="H500" s="197"/>
      <c r="I500" s="197"/>
      <c r="J500" s="8"/>
      <c r="K500" s="197"/>
      <c r="L500" s="8"/>
      <c r="M500" s="197"/>
      <c r="N500" s="197"/>
      <c r="O500" s="197"/>
      <c r="P500" s="197"/>
      <c r="Q500" s="197"/>
      <c r="R500" s="197"/>
      <c r="S500" s="197"/>
      <c r="T500" s="13"/>
      <c r="U500" s="13"/>
      <c r="V500" s="13"/>
      <c r="W500" s="13"/>
      <c r="X500" s="13"/>
      <c r="Y500" s="13"/>
      <c r="Z500" s="13"/>
    </row>
    <row r="501" spans="1:26" ht="12.75" customHeight="1" x14ac:dyDescent="0.2">
      <c r="A501" s="8"/>
      <c r="B501" s="8"/>
      <c r="C501" s="197"/>
      <c r="D501" s="8"/>
      <c r="E501" s="197"/>
      <c r="F501" s="197"/>
      <c r="G501" s="197"/>
      <c r="H501" s="197"/>
      <c r="I501" s="197"/>
      <c r="J501" s="8"/>
      <c r="K501" s="197"/>
      <c r="L501" s="8"/>
      <c r="M501" s="197"/>
      <c r="N501" s="197"/>
      <c r="O501" s="197"/>
      <c r="P501" s="197"/>
      <c r="Q501" s="197"/>
      <c r="R501" s="197"/>
      <c r="S501" s="197"/>
      <c r="T501" s="13"/>
      <c r="U501" s="13"/>
      <c r="V501" s="13"/>
      <c r="W501" s="13"/>
      <c r="X501" s="13"/>
      <c r="Y501" s="13"/>
      <c r="Z501" s="13"/>
    </row>
    <row r="502" spans="1:26" ht="12.75" customHeight="1" x14ac:dyDescent="0.2">
      <c r="A502" s="8"/>
      <c r="B502" s="8"/>
      <c r="C502" s="197"/>
      <c r="D502" s="8"/>
      <c r="E502" s="197"/>
      <c r="F502" s="197"/>
      <c r="G502" s="197"/>
      <c r="H502" s="197"/>
      <c r="I502" s="197"/>
      <c r="J502" s="8"/>
      <c r="K502" s="197"/>
      <c r="L502" s="8"/>
      <c r="M502" s="197"/>
      <c r="N502" s="197"/>
      <c r="O502" s="197"/>
      <c r="P502" s="197"/>
      <c r="Q502" s="197"/>
      <c r="R502" s="197"/>
      <c r="S502" s="197"/>
      <c r="T502" s="13"/>
      <c r="U502" s="13"/>
      <c r="V502" s="13"/>
      <c r="W502" s="13"/>
      <c r="X502" s="13"/>
      <c r="Y502" s="13"/>
      <c r="Z502" s="13"/>
    </row>
    <row r="503" spans="1:26" ht="12.75" customHeight="1" x14ac:dyDescent="0.2">
      <c r="A503" s="8"/>
      <c r="B503" s="8"/>
      <c r="C503" s="197"/>
      <c r="D503" s="8"/>
      <c r="E503" s="197"/>
      <c r="F503" s="197"/>
      <c r="G503" s="197"/>
      <c r="H503" s="197"/>
      <c r="I503" s="197"/>
      <c r="J503" s="8"/>
      <c r="K503" s="197"/>
      <c r="L503" s="8"/>
      <c r="M503" s="197"/>
      <c r="N503" s="197"/>
      <c r="O503" s="197"/>
      <c r="P503" s="197"/>
      <c r="Q503" s="197"/>
      <c r="R503" s="197"/>
      <c r="S503" s="197"/>
      <c r="T503" s="13"/>
      <c r="U503" s="13"/>
      <c r="V503" s="13"/>
      <c r="W503" s="13"/>
      <c r="X503" s="13"/>
      <c r="Y503" s="13"/>
      <c r="Z503" s="13"/>
    </row>
    <row r="504" spans="1:26" ht="12.75" customHeight="1" x14ac:dyDescent="0.2">
      <c r="A504" s="8"/>
      <c r="B504" s="8"/>
      <c r="C504" s="197"/>
      <c r="D504" s="8"/>
      <c r="E504" s="197"/>
      <c r="F504" s="197"/>
      <c r="G504" s="197"/>
      <c r="H504" s="197"/>
      <c r="I504" s="197"/>
      <c r="J504" s="8"/>
      <c r="K504" s="197"/>
      <c r="L504" s="8"/>
      <c r="M504" s="197"/>
      <c r="N504" s="197"/>
      <c r="O504" s="197"/>
      <c r="P504" s="197"/>
      <c r="Q504" s="197"/>
      <c r="R504" s="197"/>
      <c r="S504" s="197"/>
      <c r="T504" s="13"/>
      <c r="U504" s="13"/>
      <c r="V504" s="13"/>
      <c r="W504" s="13"/>
      <c r="X504" s="13"/>
      <c r="Y504" s="13"/>
      <c r="Z504" s="13"/>
    </row>
    <row r="505" spans="1:26" ht="12.75" customHeight="1" x14ac:dyDescent="0.2">
      <c r="A505" s="8"/>
      <c r="B505" s="8"/>
      <c r="C505" s="197"/>
      <c r="D505" s="8"/>
      <c r="E505" s="197"/>
      <c r="F505" s="197"/>
      <c r="G505" s="197"/>
      <c r="H505" s="197"/>
      <c r="I505" s="197"/>
      <c r="J505" s="8"/>
      <c r="K505" s="197"/>
      <c r="L505" s="8"/>
      <c r="M505" s="197"/>
      <c r="N505" s="197"/>
      <c r="O505" s="197"/>
      <c r="P505" s="197"/>
      <c r="Q505" s="197"/>
      <c r="R505" s="197"/>
      <c r="S505" s="197"/>
      <c r="T505" s="13"/>
      <c r="U505" s="13"/>
      <c r="V505" s="13"/>
      <c r="W505" s="13"/>
      <c r="X505" s="13"/>
      <c r="Y505" s="13"/>
      <c r="Z505" s="13"/>
    </row>
    <row r="506" spans="1:26" ht="12.75" customHeight="1" x14ac:dyDescent="0.2">
      <c r="A506" s="8"/>
      <c r="B506" s="8"/>
      <c r="C506" s="197"/>
      <c r="D506" s="8"/>
      <c r="E506" s="197"/>
      <c r="F506" s="197"/>
      <c r="G506" s="197"/>
      <c r="H506" s="197"/>
      <c r="I506" s="197"/>
      <c r="J506" s="8"/>
      <c r="K506" s="197"/>
      <c r="L506" s="8"/>
      <c r="M506" s="197"/>
      <c r="N506" s="197"/>
      <c r="O506" s="197"/>
      <c r="P506" s="197"/>
      <c r="Q506" s="197"/>
      <c r="R506" s="197"/>
      <c r="S506" s="197"/>
      <c r="T506" s="13"/>
      <c r="U506" s="13"/>
      <c r="V506" s="13"/>
      <c r="W506" s="13"/>
      <c r="X506" s="13"/>
      <c r="Y506" s="13"/>
      <c r="Z506" s="13"/>
    </row>
    <row r="507" spans="1:26" ht="12.75" customHeight="1" x14ac:dyDescent="0.2">
      <c r="A507" s="8"/>
      <c r="B507" s="8"/>
      <c r="C507" s="197"/>
      <c r="D507" s="8"/>
      <c r="E507" s="197"/>
      <c r="F507" s="197"/>
      <c r="G507" s="197"/>
      <c r="H507" s="197"/>
      <c r="I507" s="197"/>
      <c r="J507" s="8"/>
      <c r="K507" s="197"/>
      <c r="L507" s="8"/>
      <c r="M507" s="197"/>
      <c r="N507" s="197"/>
      <c r="O507" s="197"/>
      <c r="P507" s="197"/>
      <c r="Q507" s="197"/>
      <c r="R507" s="197"/>
      <c r="S507" s="197"/>
      <c r="T507" s="13"/>
      <c r="U507" s="13"/>
      <c r="V507" s="13"/>
      <c r="W507" s="13"/>
      <c r="X507" s="13"/>
      <c r="Y507" s="13"/>
      <c r="Z507" s="13"/>
    </row>
    <row r="508" spans="1:26" ht="12.75" customHeight="1" x14ac:dyDescent="0.2">
      <c r="A508" s="8"/>
      <c r="B508" s="8"/>
      <c r="C508" s="197"/>
      <c r="D508" s="8"/>
      <c r="E508" s="197"/>
      <c r="F508" s="197"/>
      <c r="G508" s="197"/>
      <c r="H508" s="197"/>
      <c r="I508" s="197"/>
      <c r="J508" s="8"/>
      <c r="K508" s="197"/>
      <c r="L508" s="8"/>
      <c r="M508" s="197"/>
      <c r="N508" s="197"/>
      <c r="O508" s="197"/>
      <c r="P508" s="197"/>
      <c r="Q508" s="197"/>
      <c r="R508" s="197"/>
      <c r="S508" s="197"/>
      <c r="T508" s="13"/>
      <c r="U508" s="13"/>
      <c r="V508" s="13"/>
      <c r="W508" s="13"/>
      <c r="X508" s="13"/>
      <c r="Y508" s="13"/>
      <c r="Z508" s="13"/>
    </row>
    <row r="509" spans="1:26" ht="12.75" customHeight="1" x14ac:dyDescent="0.2">
      <c r="A509" s="8"/>
      <c r="B509" s="8"/>
      <c r="C509" s="197"/>
      <c r="D509" s="8"/>
      <c r="E509" s="197"/>
      <c r="F509" s="197"/>
      <c r="G509" s="197"/>
      <c r="H509" s="197"/>
      <c r="I509" s="197"/>
      <c r="J509" s="8"/>
      <c r="K509" s="197"/>
      <c r="L509" s="8"/>
      <c r="M509" s="197"/>
      <c r="N509" s="197"/>
      <c r="O509" s="197"/>
      <c r="P509" s="197"/>
      <c r="Q509" s="197"/>
      <c r="R509" s="197"/>
      <c r="S509" s="197"/>
      <c r="T509" s="13"/>
      <c r="U509" s="13"/>
      <c r="V509" s="13"/>
      <c r="W509" s="13"/>
      <c r="X509" s="13"/>
      <c r="Y509" s="13"/>
      <c r="Z509" s="13"/>
    </row>
    <row r="510" spans="1:26" ht="12.75" customHeight="1" x14ac:dyDescent="0.2">
      <c r="A510" s="8"/>
      <c r="B510" s="8"/>
      <c r="C510" s="197"/>
      <c r="D510" s="8"/>
      <c r="E510" s="197"/>
      <c r="F510" s="197"/>
      <c r="G510" s="197"/>
      <c r="H510" s="197"/>
      <c r="I510" s="197"/>
      <c r="J510" s="8"/>
      <c r="K510" s="197"/>
      <c r="L510" s="8"/>
      <c r="M510" s="197"/>
      <c r="N510" s="197"/>
      <c r="O510" s="197"/>
      <c r="P510" s="197"/>
      <c r="Q510" s="197"/>
      <c r="R510" s="197"/>
      <c r="S510" s="197"/>
      <c r="T510" s="13"/>
      <c r="U510" s="13"/>
      <c r="V510" s="13"/>
      <c r="W510" s="13"/>
      <c r="X510" s="13"/>
      <c r="Y510" s="13"/>
      <c r="Z510" s="13"/>
    </row>
    <row r="511" spans="1:26" ht="12.75" customHeight="1" x14ac:dyDescent="0.2">
      <c r="A511" s="8"/>
      <c r="B511" s="8"/>
      <c r="C511" s="197"/>
      <c r="D511" s="8"/>
      <c r="E511" s="197"/>
      <c r="F511" s="197"/>
      <c r="G511" s="197"/>
      <c r="H511" s="197"/>
      <c r="I511" s="197"/>
      <c r="J511" s="8"/>
      <c r="K511" s="197"/>
      <c r="L511" s="8"/>
      <c r="M511" s="197"/>
      <c r="N511" s="197"/>
      <c r="O511" s="197"/>
      <c r="P511" s="197"/>
      <c r="Q511" s="197"/>
      <c r="R511" s="197"/>
      <c r="S511" s="197"/>
      <c r="T511" s="13"/>
      <c r="U511" s="13"/>
      <c r="V511" s="13"/>
      <c r="W511" s="13"/>
      <c r="X511" s="13"/>
      <c r="Y511" s="13"/>
      <c r="Z511" s="13"/>
    </row>
    <row r="512" spans="1:26" ht="12.75" customHeight="1" x14ac:dyDescent="0.2">
      <c r="A512" s="8"/>
      <c r="B512" s="8"/>
      <c r="C512" s="197"/>
      <c r="D512" s="8"/>
      <c r="E512" s="197"/>
      <c r="F512" s="197"/>
      <c r="G512" s="197"/>
      <c r="H512" s="197"/>
      <c r="I512" s="197"/>
      <c r="J512" s="8"/>
      <c r="K512" s="197"/>
      <c r="L512" s="8"/>
      <c r="M512" s="197"/>
      <c r="N512" s="197"/>
      <c r="O512" s="197"/>
      <c r="P512" s="197"/>
      <c r="Q512" s="197"/>
      <c r="R512" s="197"/>
      <c r="S512" s="197"/>
      <c r="T512" s="13"/>
      <c r="U512" s="13"/>
      <c r="V512" s="13"/>
      <c r="W512" s="13"/>
      <c r="X512" s="13"/>
      <c r="Y512" s="13"/>
      <c r="Z512" s="13"/>
    </row>
    <row r="513" spans="1:26" ht="12.75" customHeight="1" x14ac:dyDescent="0.2">
      <c r="A513" s="8"/>
      <c r="B513" s="8"/>
      <c r="C513" s="197"/>
      <c r="D513" s="8"/>
      <c r="E513" s="197"/>
      <c r="F513" s="197"/>
      <c r="G513" s="197"/>
      <c r="H513" s="197"/>
      <c r="I513" s="197"/>
      <c r="J513" s="8"/>
      <c r="K513" s="197"/>
      <c r="L513" s="8"/>
      <c r="M513" s="197"/>
      <c r="N513" s="197"/>
      <c r="O513" s="197"/>
      <c r="P513" s="197"/>
      <c r="Q513" s="197"/>
      <c r="R513" s="197"/>
      <c r="S513" s="197"/>
      <c r="T513" s="13"/>
      <c r="U513" s="13"/>
      <c r="V513" s="13"/>
      <c r="W513" s="13"/>
      <c r="X513" s="13"/>
      <c r="Y513" s="13"/>
      <c r="Z513" s="13"/>
    </row>
    <row r="514" spans="1:26" ht="12.75" customHeight="1" x14ac:dyDescent="0.2">
      <c r="A514" s="8"/>
      <c r="B514" s="8"/>
      <c r="C514" s="197"/>
      <c r="D514" s="8"/>
      <c r="E514" s="197"/>
      <c r="F514" s="197"/>
      <c r="G514" s="197"/>
      <c r="H514" s="197"/>
      <c r="I514" s="197"/>
      <c r="J514" s="8"/>
      <c r="K514" s="197"/>
      <c r="L514" s="8"/>
      <c r="M514" s="197"/>
      <c r="N514" s="197"/>
      <c r="O514" s="197"/>
      <c r="P514" s="197"/>
      <c r="Q514" s="197"/>
      <c r="R514" s="197"/>
      <c r="S514" s="197"/>
      <c r="T514" s="13"/>
      <c r="U514" s="13"/>
      <c r="V514" s="13"/>
      <c r="W514" s="13"/>
      <c r="X514" s="13"/>
      <c r="Y514" s="13"/>
      <c r="Z514" s="13"/>
    </row>
    <row r="515" spans="1:26" ht="12.75" customHeight="1" x14ac:dyDescent="0.2">
      <c r="A515" s="8"/>
      <c r="B515" s="8"/>
      <c r="C515" s="197"/>
      <c r="D515" s="8"/>
      <c r="E515" s="197"/>
      <c r="F515" s="197"/>
      <c r="G515" s="197"/>
      <c r="H515" s="197"/>
      <c r="I515" s="197"/>
      <c r="J515" s="8"/>
      <c r="K515" s="197"/>
      <c r="L515" s="8"/>
      <c r="M515" s="197"/>
      <c r="N515" s="197"/>
      <c r="O515" s="197"/>
      <c r="P515" s="197"/>
      <c r="Q515" s="197"/>
      <c r="R515" s="197"/>
      <c r="S515" s="197"/>
      <c r="T515" s="13"/>
      <c r="U515" s="13"/>
      <c r="V515" s="13"/>
      <c r="W515" s="13"/>
      <c r="X515" s="13"/>
      <c r="Y515" s="13"/>
      <c r="Z515" s="13"/>
    </row>
    <row r="516" spans="1:26" ht="12.75" customHeight="1" x14ac:dyDescent="0.2">
      <c r="A516" s="8"/>
      <c r="B516" s="8"/>
      <c r="C516" s="197"/>
      <c r="D516" s="8"/>
      <c r="E516" s="197"/>
      <c r="F516" s="197"/>
      <c r="G516" s="197"/>
      <c r="H516" s="197"/>
      <c r="I516" s="197"/>
      <c r="J516" s="8"/>
      <c r="K516" s="197"/>
      <c r="L516" s="8"/>
      <c r="M516" s="197"/>
      <c r="N516" s="197"/>
      <c r="O516" s="197"/>
      <c r="P516" s="197"/>
      <c r="Q516" s="197"/>
      <c r="R516" s="197"/>
      <c r="S516" s="197"/>
      <c r="T516" s="13"/>
      <c r="U516" s="13"/>
      <c r="V516" s="13"/>
      <c r="W516" s="13"/>
      <c r="X516" s="13"/>
      <c r="Y516" s="13"/>
      <c r="Z516" s="13"/>
    </row>
    <row r="517" spans="1:26" ht="12.75" customHeight="1" x14ac:dyDescent="0.2">
      <c r="A517" s="8"/>
      <c r="B517" s="8"/>
      <c r="C517" s="197"/>
      <c r="D517" s="8"/>
      <c r="E517" s="197"/>
      <c r="F517" s="197"/>
      <c r="G517" s="197"/>
      <c r="H517" s="197"/>
      <c r="I517" s="197"/>
      <c r="J517" s="8"/>
      <c r="K517" s="197"/>
      <c r="L517" s="8"/>
      <c r="M517" s="197"/>
      <c r="N517" s="197"/>
      <c r="O517" s="197"/>
      <c r="P517" s="197"/>
      <c r="Q517" s="197"/>
      <c r="R517" s="197"/>
      <c r="S517" s="197"/>
      <c r="T517" s="13"/>
      <c r="U517" s="13"/>
      <c r="V517" s="13"/>
      <c r="W517" s="13"/>
      <c r="X517" s="13"/>
      <c r="Y517" s="13"/>
      <c r="Z517" s="13"/>
    </row>
    <row r="518" spans="1:26" ht="12.75" customHeight="1" x14ac:dyDescent="0.2">
      <c r="A518" s="8"/>
      <c r="B518" s="8"/>
      <c r="C518" s="197"/>
      <c r="D518" s="8"/>
      <c r="E518" s="197"/>
      <c r="F518" s="197"/>
      <c r="G518" s="197"/>
      <c r="H518" s="197"/>
      <c r="I518" s="197"/>
      <c r="J518" s="8"/>
      <c r="K518" s="197"/>
      <c r="L518" s="8"/>
      <c r="M518" s="197"/>
      <c r="N518" s="197"/>
      <c r="O518" s="197"/>
      <c r="P518" s="197"/>
      <c r="Q518" s="197"/>
      <c r="R518" s="197"/>
      <c r="S518" s="197"/>
      <c r="T518" s="13"/>
      <c r="U518" s="13"/>
      <c r="V518" s="13"/>
      <c r="W518" s="13"/>
      <c r="X518" s="13"/>
      <c r="Y518" s="13"/>
      <c r="Z518" s="13"/>
    </row>
    <row r="519" spans="1:26" ht="12.75" customHeight="1" x14ac:dyDescent="0.2">
      <c r="A519" s="8"/>
      <c r="B519" s="8"/>
      <c r="C519" s="197"/>
      <c r="D519" s="8"/>
      <c r="E519" s="197"/>
      <c r="F519" s="197"/>
      <c r="G519" s="197"/>
      <c r="H519" s="197"/>
      <c r="I519" s="197"/>
      <c r="J519" s="8"/>
      <c r="K519" s="197"/>
      <c r="L519" s="8"/>
      <c r="M519" s="197"/>
      <c r="N519" s="197"/>
      <c r="O519" s="197"/>
      <c r="P519" s="197"/>
      <c r="Q519" s="197"/>
      <c r="R519" s="197"/>
      <c r="S519" s="197"/>
      <c r="T519" s="13"/>
      <c r="U519" s="13"/>
      <c r="V519" s="13"/>
      <c r="W519" s="13"/>
      <c r="X519" s="13"/>
      <c r="Y519" s="13"/>
      <c r="Z519" s="13"/>
    </row>
    <row r="520" spans="1:26" ht="12.75" customHeight="1" x14ac:dyDescent="0.2">
      <c r="A520" s="8"/>
      <c r="B520" s="8"/>
      <c r="C520" s="197"/>
      <c r="D520" s="8"/>
      <c r="E520" s="197"/>
      <c r="F520" s="197"/>
      <c r="G520" s="197"/>
      <c r="H520" s="197"/>
      <c r="I520" s="197"/>
      <c r="J520" s="8"/>
      <c r="K520" s="197"/>
      <c r="L520" s="8"/>
      <c r="M520" s="197"/>
      <c r="N520" s="197"/>
      <c r="O520" s="197"/>
      <c r="P520" s="197"/>
      <c r="Q520" s="197"/>
      <c r="R520" s="197"/>
      <c r="S520" s="197"/>
      <c r="T520" s="13"/>
      <c r="U520" s="13"/>
      <c r="V520" s="13"/>
      <c r="W520" s="13"/>
      <c r="X520" s="13"/>
      <c r="Y520" s="13"/>
      <c r="Z520" s="13"/>
    </row>
    <row r="521" spans="1:26" ht="12.75" customHeight="1" x14ac:dyDescent="0.2">
      <c r="A521" s="8"/>
      <c r="B521" s="8"/>
      <c r="C521" s="197"/>
      <c r="D521" s="8"/>
      <c r="E521" s="197"/>
      <c r="F521" s="197"/>
      <c r="G521" s="197"/>
      <c r="H521" s="197"/>
      <c r="I521" s="197"/>
      <c r="J521" s="8"/>
      <c r="K521" s="197"/>
      <c r="L521" s="8"/>
      <c r="M521" s="197"/>
      <c r="N521" s="197"/>
      <c r="O521" s="197"/>
      <c r="P521" s="197"/>
      <c r="Q521" s="197"/>
      <c r="R521" s="197"/>
      <c r="S521" s="197"/>
      <c r="T521" s="13"/>
      <c r="U521" s="13"/>
      <c r="V521" s="13"/>
      <c r="W521" s="13"/>
      <c r="X521" s="13"/>
      <c r="Y521" s="13"/>
      <c r="Z521" s="13"/>
    </row>
    <row r="522" spans="1:26" ht="12.75" customHeight="1" x14ac:dyDescent="0.2">
      <c r="A522" s="8"/>
      <c r="B522" s="8"/>
      <c r="C522" s="197"/>
      <c r="D522" s="8"/>
      <c r="E522" s="197"/>
      <c r="F522" s="197"/>
      <c r="G522" s="197"/>
      <c r="H522" s="197"/>
      <c r="I522" s="197"/>
      <c r="J522" s="8"/>
      <c r="K522" s="197"/>
      <c r="L522" s="8"/>
      <c r="M522" s="197"/>
      <c r="N522" s="197"/>
      <c r="O522" s="197"/>
      <c r="P522" s="197"/>
      <c r="Q522" s="197"/>
      <c r="R522" s="197"/>
      <c r="S522" s="197"/>
      <c r="T522" s="13"/>
      <c r="U522" s="13"/>
      <c r="V522" s="13"/>
      <c r="W522" s="13"/>
      <c r="X522" s="13"/>
      <c r="Y522" s="13"/>
      <c r="Z522" s="13"/>
    </row>
    <row r="523" spans="1:26" ht="12.75" customHeight="1" x14ac:dyDescent="0.2">
      <c r="A523" s="8"/>
      <c r="B523" s="8"/>
      <c r="C523" s="197"/>
      <c r="D523" s="8"/>
      <c r="E523" s="197"/>
      <c r="F523" s="197"/>
      <c r="G523" s="197"/>
      <c r="H523" s="197"/>
      <c r="I523" s="197"/>
      <c r="J523" s="8"/>
      <c r="K523" s="197"/>
      <c r="L523" s="8"/>
      <c r="M523" s="197"/>
      <c r="N523" s="197"/>
      <c r="O523" s="197"/>
      <c r="P523" s="197"/>
      <c r="Q523" s="197"/>
      <c r="R523" s="197"/>
      <c r="S523" s="197"/>
      <c r="T523" s="13"/>
      <c r="U523" s="13"/>
      <c r="V523" s="13"/>
      <c r="W523" s="13"/>
      <c r="X523" s="13"/>
      <c r="Y523" s="13"/>
      <c r="Z523" s="13"/>
    </row>
    <row r="524" spans="1:26" ht="12.75" customHeight="1" x14ac:dyDescent="0.2">
      <c r="A524" s="8"/>
      <c r="B524" s="8"/>
      <c r="C524" s="197"/>
      <c r="D524" s="8"/>
      <c r="E524" s="197"/>
      <c r="F524" s="197"/>
      <c r="G524" s="197"/>
      <c r="H524" s="197"/>
      <c r="I524" s="197"/>
      <c r="J524" s="8"/>
      <c r="K524" s="197"/>
      <c r="L524" s="8"/>
      <c r="M524" s="197"/>
      <c r="N524" s="197"/>
      <c r="O524" s="197"/>
      <c r="P524" s="197"/>
      <c r="Q524" s="197"/>
      <c r="R524" s="197"/>
      <c r="S524" s="197"/>
      <c r="T524" s="13"/>
      <c r="U524" s="13"/>
      <c r="V524" s="13"/>
      <c r="W524" s="13"/>
      <c r="X524" s="13"/>
      <c r="Y524" s="13"/>
      <c r="Z524" s="13"/>
    </row>
    <row r="525" spans="1:26" ht="12.75" customHeight="1" x14ac:dyDescent="0.2">
      <c r="A525" s="8"/>
      <c r="B525" s="8"/>
      <c r="C525" s="197"/>
      <c r="D525" s="8"/>
      <c r="E525" s="197"/>
      <c r="F525" s="197"/>
      <c r="G525" s="197"/>
      <c r="H525" s="197"/>
      <c r="I525" s="197"/>
      <c r="J525" s="8"/>
      <c r="K525" s="197"/>
      <c r="L525" s="8"/>
      <c r="M525" s="197"/>
      <c r="N525" s="197"/>
      <c r="O525" s="197"/>
      <c r="P525" s="197"/>
      <c r="Q525" s="197"/>
      <c r="R525" s="197"/>
      <c r="S525" s="197"/>
      <c r="T525" s="13"/>
      <c r="U525" s="13"/>
      <c r="V525" s="13"/>
      <c r="W525" s="13"/>
      <c r="X525" s="13"/>
      <c r="Y525" s="13"/>
      <c r="Z525" s="13"/>
    </row>
    <row r="526" spans="1:26" ht="12.75" customHeight="1" x14ac:dyDescent="0.2">
      <c r="A526" s="8"/>
      <c r="B526" s="8"/>
      <c r="C526" s="197"/>
      <c r="D526" s="8"/>
      <c r="E526" s="197"/>
      <c r="F526" s="197"/>
      <c r="G526" s="197"/>
      <c r="H526" s="197"/>
      <c r="I526" s="197"/>
      <c r="J526" s="8"/>
      <c r="K526" s="197"/>
      <c r="L526" s="8"/>
      <c r="M526" s="197"/>
      <c r="N526" s="197"/>
      <c r="O526" s="197"/>
      <c r="P526" s="197"/>
      <c r="Q526" s="197"/>
      <c r="R526" s="197"/>
      <c r="S526" s="197"/>
      <c r="T526" s="13"/>
      <c r="U526" s="13"/>
      <c r="V526" s="13"/>
      <c r="W526" s="13"/>
      <c r="X526" s="13"/>
      <c r="Y526" s="13"/>
      <c r="Z526" s="13"/>
    </row>
    <row r="527" spans="1:26" ht="12.75" customHeight="1" x14ac:dyDescent="0.2">
      <c r="A527" s="8"/>
      <c r="B527" s="8"/>
      <c r="C527" s="197"/>
      <c r="D527" s="8"/>
      <c r="E527" s="197"/>
      <c r="F527" s="197"/>
      <c r="G527" s="197"/>
      <c r="H527" s="197"/>
      <c r="I527" s="197"/>
      <c r="J527" s="8"/>
      <c r="K527" s="197"/>
      <c r="L527" s="8"/>
      <c r="M527" s="197"/>
      <c r="N527" s="197"/>
      <c r="O527" s="197"/>
      <c r="P527" s="197"/>
      <c r="Q527" s="197"/>
      <c r="R527" s="197"/>
      <c r="S527" s="197"/>
      <c r="T527" s="13"/>
      <c r="U527" s="13"/>
      <c r="V527" s="13"/>
      <c r="W527" s="13"/>
      <c r="X527" s="13"/>
      <c r="Y527" s="13"/>
      <c r="Z527" s="13"/>
    </row>
    <row r="528" spans="1:26" ht="12.75" customHeight="1" x14ac:dyDescent="0.2">
      <c r="A528" s="8"/>
      <c r="B528" s="8"/>
      <c r="C528" s="197"/>
      <c r="D528" s="8"/>
      <c r="E528" s="197"/>
      <c r="F528" s="197"/>
      <c r="G528" s="197"/>
      <c r="H528" s="197"/>
      <c r="I528" s="197"/>
      <c r="J528" s="8"/>
      <c r="K528" s="197"/>
      <c r="L528" s="8"/>
      <c r="M528" s="197"/>
      <c r="N528" s="197"/>
      <c r="O528" s="197"/>
      <c r="P528" s="197"/>
      <c r="Q528" s="197"/>
      <c r="R528" s="197"/>
      <c r="S528" s="197"/>
      <c r="T528" s="13"/>
      <c r="U528" s="13"/>
      <c r="V528" s="13"/>
      <c r="W528" s="13"/>
      <c r="X528" s="13"/>
      <c r="Y528" s="13"/>
      <c r="Z528" s="13"/>
    </row>
    <row r="529" spans="1:26" ht="12.75" customHeight="1" x14ac:dyDescent="0.2">
      <c r="A529" s="8"/>
      <c r="B529" s="8"/>
      <c r="C529" s="197"/>
      <c r="D529" s="8"/>
      <c r="E529" s="197"/>
      <c r="F529" s="197"/>
      <c r="G529" s="197"/>
      <c r="H529" s="197"/>
      <c r="I529" s="197"/>
      <c r="J529" s="8"/>
      <c r="K529" s="197"/>
      <c r="L529" s="8"/>
      <c r="M529" s="197"/>
      <c r="N529" s="197"/>
      <c r="O529" s="197"/>
      <c r="P529" s="197"/>
      <c r="Q529" s="197"/>
      <c r="R529" s="197"/>
      <c r="S529" s="197"/>
      <c r="T529" s="13"/>
      <c r="U529" s="13"/>
      <c r="V529" s="13"/>
      <c r="W529" s="13"/>
      <c r="X529" s="13"/>
      <c r="Y529" s="13"/>
      <c r="Z529" s="13"/>
    </row>
    <row r="530" spans="1:26" ht="12.75" customHeight="1" x14ac:dyDescent="0.2">
      <c r="A530" s="8"/>
      <c r="B530" s="8"/>
      <c r="C530" s="197"/>
      <c r="D530" s="8"/>
      <c r="E530" s="197"/>
      <c r="F530" s="197"/>
      <c r="G530" s="197"/>
      <c r="H530" s="197"/>
      <c r="I530" s="197"/>
      <c r="J530" s="8"/>
      <c r="K530" s="197"/>
      <c r="L530" s="8"/>
      <c r="M530" s="197"/>
      <c r="N530" s="197"/>
      <c r="O530" s="197"/>
      <c r="P530" s="197"/>
      <c r="Q530" s="197"/>
      <c r="R530" s="197"/>
      <c r="S530" s="197"/>
      <c r="T530" s="13"/>
      <c r="U530" s="13"/>
      <c r="V530" s="13"/>
      <c r="W530" s="13"/>
      <c r="X530" s="13"/>
      <c r="Y530" s="13"/>
      <c r="Z530" s="13"/>
    </row>
    <row r="531" spans="1:26" ht="12.75" customHeight="1" x14ac:dyDescent="0.2">
      <c r="A531" s="8"/>
      <c r="B531" s="8"/>
      <c r="C531" s="197"/>
      <c r="D531" s="8"/>
      <c r="E531" s="197"/>
      <c r="F531" s="197"/>
      <c r="G531" s="197"/>
      <c r="H531" s="197"/>
      <c r="I531" s="197"/>
      <c r="J531" s="8"/>
      <c r="K531" s="197"/>
      <c r="L531" s="8"/>
      <c r="M531" s="197"/>
      <c r="N531" s="197"/>
      <c r="O531" s="197"/>
      <c r="P531" s="197"/>
      <c r="Q531" s="197"/>
      <c r="R531" s="197"/>
      <c r="S531" s="197"/>
      <c r="T531" s="13"/>
      <c r="U531" s="13"/>
      <c r="V531" s="13"/>
      <c r="W531" s="13"/>
      <c r="X531" s="13"/>
      <c r="Y531" s="13"/>
      <c r="Z531" s="13"/>
    </row>
    <row r="532" spans="1:26" ht="12.75" customHeight="1" x14ac:dyDescent="0.2">
      <c r="A532" s="8"/>
      <c r="B532" s="8"/>
      <c r="C532" s="197"/>
      <c r="D532" s="8"/>
      <c r="E532" s="197"/>
      <c r="F532" s="197"/>
      <c r="G532" s="197"/>
      <c r="H532" s="197"/>
      <c r="I532" s="197"/>
      <c r="J532" s="8"/>
      <c r="K532" s="197"/>
      <c r="L532" s="8"/>
      <c r="M532" s="197"/>
      <c r="N532" s="197"/>
      <c r="O532" s="197"/>
      <c r="P532" s="197"/>
      <c r="Q532" s="197"/>
      <c r="R532" s="197"/>
      <c r="S532" s="197"/>
      <c r="T532" s="13"/>
      <c r="U532" s="13"/>
      <c r="V532" s="13"/>
      <c r="W532" s="13"/>
      <c r="X532" s="13"/>
      <c r="Y532" s="13"/>
      <c r="Z532" s="13"/>
    </row>
    <row r="533" spans="1:26" ht="12.75" customHeight="1" x14ac:dyDescent="0.2">
      <c r="A533" s="8"/>
      <c r="B533" s="8"/>
      <c r="C533" s="197"/>
      <c r="D533" s="8"/>
      <c r="E533" s="197"/>
      <c r="F533" s="197"/>
      <c r="G533" s="197"/>
      <c r="H533" s="197"/>
      <c r="I533" s="197"/>
      <c r="J533" s="8"/>
      <c r="K533" s="197"/>
      <c r="L533" s="8"/>
      <c r="M533" s="197"/>
      <c r="N533" s="197"/>
      <c r="O533" s="197"/>
      <c r="P533" s="197"/>
      <c r="Q533" s="197"/>
      <c r="R533" s="197"/>
      <c r="S533" s="197"/>
      <c r="T533" s="13"/>
      <c r="U533" s="13"/>
      <c r="V533" s="13"/>
      <c r="W533" s="13"/>
      <c r="X533" s="13"/>
      <c r="Y533" s="13"/>
      <c r="Z533" s="13"/>
    </row>
    <row r="534" spans="1:26" ht="12.75" customHeight="1" x14ac:dyDescent="0.2">
      <c r="A534" s="8"/>
      <c r="B534" s="8"/>
      <c r="C534" s="197"/>
      <c r="D534" s="8"/>
      <c r="E534" s="197"/>
      <c r="F534" s="197"/>
      <c r="G534" s="197"/>
      <c r="H534" s="197"/>
      <c r="I534" s="197"/>
      <c r="J534" s="8"/>
      <c r="K534" s="197"/>
      <c r="L534" s="8"/>
      <c r="M534" s="197"/>
      <c r="N534" s="197"/>
      <c r="O534" s="197"/>
      <c r="P534" s="197"/>
      <c r="Q534" s="197"/>
      <c r="R534" s="197"/>
      <c r="S534" s="197"/>
      <c r="T534" s="13"/>
      <c r="U534" s="13"/>
      <c r="V534" s="13"/>
      <c r="W534" s="13"/>
      <c r="X534" s="13"/>
      <c r="Y534" s="13"/>
      <c r="Z534" s="13"/>
    </row>
    <row r="535" spans="1:26" ht="12.75" customHeight="1" x14ac:dyDescent="0.2">
      <c r="A535" s="8"/>
      <c r="B535" s="8"/>
      <c r="C535" s="197"/>
      <c r="D535" s="8"/>
      <c r="E535" s="197"/>
      <c r="F535" s="197"/>
      <c r="G535" s="197"/>
      <c r="H535" s="197"/>
      <c r="I535" s="197"/>
      <c r="J535" s="8"/>
      <c r="K535" s="197"/>
      <c r="L535" s="8"/>
      <c r="M535" s="197"/>
      <c r="N535" s="197"/>
      <c r="O535" s="197"/>
      <c r="P535" s="197"/>
      <c r="Q535" s="197"/>
      <c r="R535" s="197"/>
      <c r="S535" s="197"/>
      <c r="T535" s="13"/>
      <c r="U535" s="13"/>
      <c r="V535" s="13"/>
      <c r="W535" s="13"/>
      <c r="X535" s="13"/>
      <c r="Y535" s="13"/>
      <c r="Z535" s="13"/>
    </row>
    <row r="536" spans="1:26" ht="12.75" customHeight="1" x14ac:dyDescent="0.2">
      <c r="A536" s="8"/>
      <c r="B536" s="8"/>
      <c r="C536" s="197"/>
      <c r="D536" s="8"/>
      <c r="E536" s="197"/>
      <c r="F536" s="197"/>
      <c r="G536" s="197"/>
      <c r="H536" s="197"/>
      <c r="I536" s="197"/>
      <c r="J536" s="8"/>
      <c r="K536" s="197"/>
      <c r="L536" s="8"/>
      <c r="M536" s="197"/>
      <c r="N536" s="197"/>
      <c r="O536" s="197"/>
      <c r="P536" s="197"/>
      <c r="Q536" s="197"/>
      <c r="R536" s="197"/>
      <c r="S536" s="197"/>
      <c r="T536" s="13"/>
      <c r="U536" s="13"/>
      <c r="V536" s="13"/>
      <c r="W536" s="13"/>
      <c r="X536" s="13"/>
      <c r="Y536" s="13"/>
      <c r="Z536" s="13"/>
    </row>
    <row r="537" spans="1:26" ht="12.75" customHeight="1" x14ac:dyDescent="0.2">
      <c r="A537" s="8"/>
      <c r="B537" s="8"/>
      <c r="C537" s="197"/>
      <c r="D537" s="8"/>
      <c r="E537" s="197"/>
      <c r="F537" s="197"/>
      <c r="G537" s="197"/>
      <c r="H537" s="197"/>
      <c r="I537" s="197"/>
      <c r="J537" s="8"/>
      <c r="K537" s="197"/>
      <c r="L537" s="8"/>
      <c r="M537" s="197"/>
      <c r="N537" s="197"/>
      <c r="O537" s="197"/>
      <c r="P537" s="197"/>
      <c r="Q537" s="197"/>
      <c r="R537" s="197"/>
      <c r="S537" s="197"/>
      <c r="T537" s="13"/>
      <c r="U537" s="13"/>
      <c r="V537" s="13"/>
      <c r="W537" s="13"/>
      <c r="X537" s="13"/>
      <c r="Y537" s="13"/>
      <c r="Z537" s="13"/>
    </row>
    <row r="538" spans="1:26" ht="12.75" customHeight="1" x14ac:dyDescent="0.2">
      <c r="A538" s="8"/>
      <c r="B538" s="8"/>
      <c r="C538" s="197"/>
      <c r="D538" s="8"/>
      <c r="E538" s="197"/>
      <c r="F538" s="197"/>
      <c r="G538" s="197"/>
      <c r="H538" s="197"/>
      <c r="I538" s="197"/>
      <c r="J538" s="8"/>
      <c r="K538" s="197"/>
      <c r="L538" s="8"/>
      <c r="M538" s="197"/>
      <c r="N538" s="197"/>
      <c r="O538" s="197"/>
      <c r="P538" s="197"/>
      <c r="Q538" s="197"/>
      <c r="R538" s="197"/>
      <c r="S538" s="197"/>
      <c r="T538" s="13"/>
      <c r="U538" s="13"/>
      <c r="V538" s="13"/>
      <c r="W538" s="13"/>
      <c r="X538" s="13"/>
      <c r="Y538" s="13"/>
      <c r="Z538" s="13"/>
    </row>
    <row r="539" spans="1:26" ht="12.75" customHeight="1" x14ac:dyDescent="0.2">
      <c r="A539" s="8"/>
      <c r="B539" s="8"/>
      <c r="C539" s="197"/>
      <c r="D539" s="8"/>
      <c r="E539" s="197"/>
      <c r="F539" s="197"/>
      <c r="G539" s="197"/>
      <c r="H539" s="197"/>
      <c r="I539" s="197"/>
      <c r="J539" s="8"/>
      <c r="K539" s="197"/>
      <c r="L539" s="8"/>
      <c r="M539" s="197"/>
      <c r="N539" s="197"/>
      <c r="O539" s="197"/>
      <c r="P539" s="197"/>
      <c r="Q539" s="197"/>
      <c r="R539" s="197"/>
      <c r="S539" s="197"/>
      <c r="T539" s="13"/>
      <c r="U539" s="13"/>
      <c r="V539" s="13"/>
      <c r="W539" s="13"/>
      <c r="X539" s="13"/>
      <c r="Y539" s="13"/>
      <c r="Z539" s="13"/>
    </row>
    <row r="540" spans="1:26" ht="12.75" customHeight="1" x14ac:dyDescent="0.2">
      <c r="A540" s="8"/>
      <c r="B540" s="8"/>
      <c r="C540" s="197"/>
      <c r="D540" s="8"/>
      <c r="E540" s="197"/>
      <c r="F540" s="197"/>
      <c r="G540" s="197"/>
      <c r="H540" s="197"/>
      <c r="I540" s="197"/>
      <c r="J540" s="8"/>
      <c r="K540" s="197"/>
      <c r="L540" s="8"/>
      <c r="M540" s="197"/>
      <c r="N540" s="197"/>
      <c r="O540" s="197"/>
      <c r="P540" s="197"/>
      <c r="Q540" s="197"/>
      <c r="R540" s="197"/>
      <c r="S540" s="197"/>
      <c r="T540" s="13"/>
      <c r="U540" s="13"/>
      <c r="V540" s="13"/>
      <c r="W540" s="13"/>
      <c r="X540" s="13"/>
      <c r="Y540" s="13"/>
      <c r="Z540" s="13"/>
    </row>
    <row r="541" spans="1:26" ht="12.75" customHeight="1" x14ac:dyDescent="0.2">
      <c r="A541" s="8"/>
      <c r="B541" s="8"/>
      <c r="C541" s="197"/>
      <c r="D541" s="8"/>
      <c r="E541" s="197"/>
      <c r="F541" s="197"/>
      <c r="G541" s="197"/>
      <c r="H541" s="197"/>
      <c r="I541" s="197"/>
      <c r="J541" s="8"/>
      <c r="K541" s="197"/>
      <c r="L541" s="8"/>
      <c r="M541" s="197"/>
      <c r="N541" s="197"/>
      <c r="O541" s="197"/>
      <c r="P541" s="197"/>
      <c r="Q541" s="197"/>
      <c r="R541" s="197"/>
      <c r="S541" s="197"/>
      <c r="T541" s="13"/>
      <c r="U541" s="13"/>
      <c r="V541" s="13"/>
      <c r="W541" s="13"/>
      <c r="X541" s="13"/>
      <c r="Y541" s="13"/>
      <c r="Z541" s="13"/>
    </row>
    <row r="542" spans="1:26" ht="12.75" customHeight="1" x14ac:dyDescent="0.2">
      <c r="A542" s="8"/>
      <c r="B542" s="8"/>
      <c r="C542" s="197"/>
      <c r="D542" s="8"/>
      <c r="E542" s="197"/>
      <c r="F542" s="197"/>
      <c r="G542" s="197"/>
      <c r="H542" s="197"/>
      <c r="I542" s="197"/>
      <c r="J542" s="8"/>
      <c r="K542" s="197"/>
      <c r="L542" s="8"/>
      <c r="M542" s="197"/>
      <c r="N542" s="197"/>
      <c r="O542" s="197"/>
      <c r="P542" s="197"/>
      <c r="Q542" s="197"/>
      <c r="R542" s="197"/>
      <c r="S542" s="197"/>
      <c r="T542" s="13"/>
      <c r="U542" s="13"/>
      <c r="V542" s="13"/>
      <c r="W542" s="13"/>
      <c r="X542" s="13"/>
      <c r="Y542" s="13"/>
      <c r="Z542" s="13"/>
    </row>
    <row r="543" spans="1:26" ht="12.75" customHeight="1" x14ac:dyDescent="0.2">
      <c r="A543" s="8"/>
      <c r="B543" s="8"/>
      <c r="C543" s="197"/>
      <c r="D543" s="8"/>
      <c r="E543" s="197"/>
      <c r="F543" s="197"/>
      <c r="G543" s="197"/>
      <c r="H543" s="197"/>
      <c r="I543" s="197"/>
      <c r="J543" s="8"/>
      <c r="K543" s="197"/>
      <c r="L543" s="8"/>
      <c r="M543" s="197"/>
      <c r="N543" s="197"/>
      <c r="O543" s="197"/>
      <c r="P543" s="197"/>
      <c r="Q543" s="197"/>
      <c r="R543" s="197"/>
      <c r="S543" s="197"/>
      <c r="T543" s="13"/>
      <c r="U543" s="13"/>
      <c r="V543" s="13"/>
      <c r="W543" s="13"/>
      <c r="X543" s="13"/>
      <c r="Y543" s="13"/>
      <c r="Z543" s="13"/>
    </row>
    <row r="544" spans="1:26" ht="12.75" customHeight="1" x14ac:dyDescent="0.2">
      <c r="A544" s="8"/>
      <c r="B544" s="8"/>
      <c r="C544" s="197"/>
      <c r="D544" s="8"/>
      <c r="E544" s="197"/>
      <c r="F544" s="197"/>
      <c r="G544" s="197"/>
      <c r="H544" s="197"/>
      <c r="I544" s="197"/>
      <c r="J544" s="8"/>
      <c r="K544" s="197"/>
      <c r="L544" s="8"/>
      <c r="M544" s="197"/>
      <c r="N544" s="197"/>
      <c r="O544" s="197"/>
      <c r="P544" s="197"/>
      <c r="Q544" s="197"/>
      <c r="R544" s="197"/>
      <c r="S544" s="197"/>
      <c r="T544" s="13"/>
      <c r="U544" s="13"/>
      <c r="V544" s="13"/>
      <c r="W544" s="13"/>
      <c r="X544" s="13"/>
      <c r="Y544" s="13"/>
      <c r="Z544" s="13"/>
    </row>
    <row r="545" spans="1:26" ht="12.75" customHeight="1" x14ac:dyDescent="0.2">
      <c r="A545" s="8"/>
      <c r="B545" s="8"/>
      <c r="C545" s="197"/>
      <c r="D545" s="8"/>
      <c r="E545" s="197"/>
      <c r="F545" s="197"/>
      <c r="G545" s="197"/>
      <c r="H545" s="197"/>
      <c r="I545" s="197"/>
      <c r="J545" s="8"/>
      <c r="K545" s="197"/>
      <c r="L545" s="8"/>
      <c r="M545" s="197"/>
      <c r="N545" s="197"/>
      <c r="O545" s="197"/>
      <c r="P545" s="197"/>
      <c r="Q545" s="197"/>
      <c r="R545" s="197"/>
      <c r="S545" s="197"/>
      <c r="T545" s="13"/>
      <c r="U545" s="13"/>
      <c r="V545" s="13"/>
      <c r="W545" s="13"/>
      <c r="X545" s="13"/>
      <c r="Y545" s="13"/>
      <c r="Z545" s="13"/>
    </row>
    <row r="546" spans="1:26" ht="12.75" customHeight="1" x14ac:dyDescent="0.2">
      <c r="A546" s="8"/>
      <c r="B546" s="8"/>
      <c r="C546" s="197"/>
      <c r="D546" s="8"/>
      <c r="E546" s="197"/>
      <c r="F546" s="197"/>
      <c r="G546" s="197"/>
      <c r="H546" s="197"/>
      <c r="I546" s="197"/>
      <c r="J546" s="8"/>
      <c r="K546" s="197"/>
      <c r="L546" s="8"/>
      <c r="M546" s="197"/>
      <c r="N546" s="197"/>
      <c r="O546" s="197"/>
      <c r="P546" s="197"/>
      <c r="Q546" s="197"/>
      <c r="R546" s="197"/>
      <c r="S546" s="197"/>
      <c r="T546" s="13"/>
      <c r="U546" s="13"/>
      <c r="V546" s="13"/>
      <c r="W546" s="13"/>
      <c r="X546" s="13"/>
      <c r="Y546" s="13"/>
      <c r="Z546" s="13"/>
    </row>
    <row r="547" spans="1:26" ht="12.75" customHeight="1" x14ac:dyDescent="0.2">
      <c r="A547" s="8"/>
      <c r="B547" s="8"/>
      <c r="C547" s="197"/>
      <c r="D547" s="8"/>
      <c r="E547" s="197"/>
      <c r="F547" s="197"/>
      <c r="G547" s="197"/>
      <c r="H547" s="197"/>
      <c r="I547" s="197"/>
      <c r="J547" s="8"/>
      <c r="K547" s="197"/>
      <c r="L547" s="8"/>
      <c r="M547" s="197"/>
      <c r="N547" s="197"/>
      <c r="O547" s="197"/>
      <c r="P547" s="197"/>
      <c r="Q547" s="197"/>
      <c r="R547" s="197"/>
      <c r="S547" s="197"/>
      <c r="T547" s="13"/>
      <c r="U547" s="13"/>
      <c r="V547" s="13"/>
      <c r="W547" s="13"/>
      <c r="X547" s="13"/>
      <c r="Y547" s="13"/>
      <c r="Z547" s="13"/>
    </row>
    <row r="548" spans="1:26" ht="12.75" customHeight="1" x14ac:dyDescent="0.2">
      <c r="A548" s="8"/>
      <c r="B548" s="8"/>
      <c r="C548" s="197"/>
      <c r="D548" s="8"/>
      <c r="E548" s="197"/>
      <c r="F548" s="197"/>
      <c r="G548" s="197"/>
      <c r="H548" s="197"/>
      <c r="I548" s="197"/>
      <c r="J548" s="8"/>
      <c r="K548" s="197"/>
      <c r="L548" s="8"/>
      <c r="M548" s="197"/>
      <c r="N548" s="197"/>
      <c r="O548" s="197"/>
      <c r="P548" s="197"/>
      <c r="Q548" s="197"/>
      <c r="R548" s="197"/>
      <c r="S548" s="197"/>
      <c r="T548" s="13"/>
      <c r="U548" s="13"/>
      <c r="V548" s="13"/>
      <c r="W548" s="13"/>
      <c r="X548" s="13"/>
      <c r="Y548" s="13"/>
      <c r="Z548" s="13"/>
    </row>
    <row r="549" spans="1:26" ht="12.75" customHeight="1" x14ac:dyDescent="0.2">
      <c r="A549" s="8"/>
      <c r="B549" s="8"/>
      <c r="C549" s="197"/>
      <c r="D549" s="8"/>
      <c r="E549" s="197"/>
      <c r="F549" s="197"/>
      <c r="G549" s="197"/>
      <c r="H549" s="197"/>
      <c r="I549" s="197"/>
      <c r="J549" s="8"/>
      <c r="K549" s="197"/>
      <c r="L549" s="8"/>
      <c r="M549" s="197"/>
      <c r="N549" s="197"/>
      <c r="O549" s="197"/>
      <c r="P549" s="197"/>
      <c r="Q549" s="197"/>
      <c r="R549" s="197"/>
      <c r="S549" s="197"/>
      <c r="T549" s="13"/>
      <c r="U549" s="13"/>
      <c r="V549" s="13"/>
      <c r="W549" s="13"/>
      <c r="X549" s="13"/>
      <c r="Y549" s="13"/>
      <c r="Z549" s="13"/>
    </row>
    <row r="550" spans="1:26" ht="12.75" customHeight="1" x14ac:dyDescent="0.2">
      <c r="A550" s="8"/>
      <c r="B550" s="8"/>
      <c r="C550" s="197"/>
      <c r="D550" s="8"/>
      <c r="E550" s="197"/>
      <c r="F550" s="197"/>
      <c r="G550" s="197"/>
      <c r="H550" s="197"/>
      <c r="I550" s="197"/>
      <c r="J550" s="8"/>
      <c r="K550" s="197"/>
      <c r="L550" s="8"/>
      <c r="M550" s="197"/>
      <c r="N550" s="197"/>
      <c r="O550" s="197"/>
      <c r="P550" s="197"/>
      <c r="Q550" s="197"/>
      <c r="R550" s="197"/>
      <c r="S550" s="197"/>
      <c r="T550" s="13"/>
      <c r="U550" s="13"/>
      <c r="V550" s="13"/>
      <c r="W550" s="13"/>
      <c r="X550" s="13"/>
      <c r="Y550" s="13"/>
      <c r="Z550" s="13"/>
    </row>
    <row r="551" spans="1:26" ht="12.75" customHeight="1" x14ac:dyDescent="0.2">
      <c r="A551" s="8"/>
      <c r="B551" s="8"/>
      <c r="C551" s="197"/>
      <c r="D551" s="8"/>
      <c r="E551" s="197"/>
      <c r="F551" s="197"/>
      <c r="G551" s="197"/>
      <c r="H551" s="197"/>
      <c r="I551" s="197"/>
      <c r="J551" s="8"/>
      <c r="K551" s="197"/>
      <c r="L551" s="8"/>
      <c r="M551" s="197"/>
      <c r="N551" s="197"/>
      <c r="O551" s="197"/>
      <c r="P551" s="197"/>
      <c r="Q551" s="197"/>
      <c r="R551" s="197"/>
      <c r="S551" s="197"/>
      <c r="T551" s="13"/>
      <c r="U551" s="13"/>
      <c r="V551" s="13"/>
      <c r="W551" s="13"/>
      <c r="X551" s="13"/>
      <c r="Y551" s="13"/>
      <c r="Z551" s="13"/>
    </row>
    <row r="552" spans="1:26" ht="12.75" customHeight="1" x14ac:dyDescent="0.2">
      <c r="A552" s="8"/>
      <c r="B552" s="8"/>
      <c r="C552" s="197"/>
      <c r="D552" s="8"/>
      <c r="E552" s="197"/>
      <c r="F552" s="197"/>
      <c r="G552" s="197"/>
      <c r="H552" s="197"/>
      <c r="I552" s="197"/>
      <c r="J552" s="8"/>
      <c r="K552" s="197"/>
      <c r="L552" s="8"/>
      <c r="M552" s="197"/>
      <c r="N552" s="197"/>
      <c r="O552" s="197"/>
      <c r="P552" s="197"/>
      <c r="Q552" s="197"/>
      <c r="R552" s="197"/>
      <c r="S552" s="197"/>
      <c r="T552" s="13"/>
      <c r="U552" s="13"/>
      <c r="V552" s="13"/>
      <c r="W552" s="13"/>
      <c r="X552" s="13"/>
      <c r="Y552" s="13"/>
      <c r="Z552" s="13"/>
    </row>
    <row r="553" spans="1:26" ht="12.75" customHeight="1" x14ac:dyDescent="0.2">
      <c r="A553" s="8"/>
      <c r="B553" s="8"/>
      <c r="C553" s="197"/>
      <c r="D553" s="8"/>
      <c r="E553" s="197"/>
      <c r="F553" s="197"/>
      <c r="G553" s="197"/>
      <c r="H553" s="197"/>
      <c r="I553" s="197"/>
      <c r="J553" s="8"/>
      <c r="K553" s="197"/>
      <c r="L553" s="8"/>
      <c r="M553" s="197"/>
      <c r="N553" s="197"/>
      <c r="O553" s="197"/>
      <c r="P553" s="197"/>
      <c r="Q553" s="197"/>
      <c r="R553" s="197"/>
      <c r="S553" s="197"/>
      <c r="T553" s="13"/>
      <c r="U553" s="13"/>
      <c r="V553" s="13"/>
      <c r="W553" s="13"/>
      <c r="X553" s="13"/>
      <c r="Y553" s="13"/>
      <c r="Z553" s="13"/>
    </row>
    <row r="554" spans="1:26" ht="12.75" customHeight="1" x14ac:dyDescent="0.2">
      <c r="A554" s="8"/>
      <c r="B554" s="8"/>
      <c r="C554" s="197"/>
      <c r="D554" s="8"/>
      <c r="E554" s="197"/>
      <c r="F554" s="197"/>
      <c r="G554" s="197"/>
      <c r="H554" s="197"/>
      <c r="I554" s="197"/>
      <c r="J554" s="8"/>
      <c r="K554" s="197"/>
      <c r="L554" s="8"/>
      <c r="M554" s="197"/>
      <c r="N554" s="197"/>
      <c r="O554" s="197"/>
      <c r="P554" s="197"/>
      <c r="Q554" s="197"/>
      <c r="R554" s="197"/>
      <c r="S554" s="197"/>
      <c r="T554" s="13"/>
      <c r="U554" s="13"/>
      <c r="V554" s="13"/>
      <c r="W554" s="13"/>
      <c r="X554" s="13"/>
      <c r="Y554" s="13"/>
      <c r="Z554" s="13"/>
    </row>
    <row r="555" spans="1:26" ht="12.75" customHeight="1" x14ac:dyDescent="0.2">
      <c r="A555" s="8"/>
      <c r="B555" s="8"/>
      <c r="C555" s="197"/>
      <c r="D555" s="8"/>
      <c r="E555" s="197"/>
      <c r="F555" s="197"/>
      <c r="G555" s="197"/>
      <c r="H555" s="197"/>
      <c r="I555" s="197"/>
      <c r="J555" s="8"/>
      <c r="K555" s="197"/>
      <c r="L555" s="8"/>
      <c r="M555" s="197"/>
      <c r="N555" s="197"/>
      <c r="O555" s="197"/>
      <c r="P555" s="197"/>
      <c r="Q555" s="197"/>
      <c r="R555" s="197"/>
      <c r="S555" s="197"/>
      <c r="T555" s="13"/>
      <c r="U555" s="13"/>
      <c r="V555" s="13"/>
      <c r="W555" s="13"/>
      <c r="X555" s="13"/>
      <c r="Y555" s="13"/>
      <c r="Z555" s="13"/>
    </row>
    <row r="556" spans="1:26" ht="12.75" customHeight="1" x14ac:dyDescent="0.2">
      <c r="A556" s="8"/>
      <c r="B556" s="8"/>
      <c r="C556" s="197"/>
      <c r="D556" s="8"/>
      <c r="E556" s="197"/>
      <c r="F556" s="197"/>
      <c r="G556" s="197"/>
      <c r="H556" s="197"/>
      <c r="I556" s="197"/>
      <c r="J556" s="8"/>
      <c r="K556" s="197"/>
      <c r="L556" s="8"/>
      <c r="M556" s="197"/>
      <c r="N556" s="197"/>
      <c r="O556" s="197"/>
      <c r="P556" s="197"/>
      <c r="Q556" s="197"/>
      <c r="R556" s="197"/>
      <c r="S556" s="197"/>
      <c r="T556" s="13"/>
      <c r="U556" s="13"/>
      <c r="V556" s="13"/>
      <c r="W556" s="13"/>
      <c r="X556" s="13"/>
      <c r="Y556" s="13"/>
      <c r="Z556" s="13"/>
    </row>
    <row r="557" spans="1:26" ht="12.75" customHeight="1" x14ac:dyDescent="0.2">
      <c r="A557" s="8"/>
      <c r="B557" s="8"/>
      <c r="C557" s="197"/>
      <c r="D557" s="8"/>
      <c r="E557" s="197"/>
      <c r="F557" s="197"/>
      <c r="G557" s="197"/>
      <c r="H557" s="197"/>
      <c r="I557" s="197"/>
      <c r="J557" s="8"/>
      <c r="K557" s="197"/>
      <c r="L557" s="8"/>
      <c r="M557" s="197"/>
      <c r="N557" s="197"/>
      <c r="O557" s="197"/>
      <c r="P557" s="197"/>
      <c r="Q557" s="197"/>
      <c r="R557" s="197"/>
      <c r="S557" s="197"/>
      <c r="T557" s="13"/>
      <c r="U557" s="13"/>
      <c r="V557" s="13"/>
      <c r="W557" s="13"/>
      <c r="X557" s="13"/>
      <c r="Y557" s="13"/>
      <c r="Z557" s="13"/>
    </row>
    <row r="558" spans="1:26" ht="12.75" customHeight="1" x14ac:dyDescent="0.2">
      <c r="A558" s="8"/>
      <c r="B558" s="8"/>
      <c r="C558" s="197"/>
      <c r="D558" s="8"/>
      <c r="E558" s="197"/>
      <c r="F558" s="197"/>
      <c r="G558" s="197"/>
      <c r="H558" s="197"/>
      <c r="I558" s="197"/>
      <c r="J558" s="8"/>
      <c r="K558" s="197"/>
      <c r="L558" s="8"/>
      <c r="M558" s="197"/>
      <c r="N558" s="197"/>
      <c r="O558" s="197"/>
      <c r="P558" s="197"/>
      <c r="Q558" s="197"/>
      <c r="R558" s="197"/>
      <c r="S558" s="197"/>
      <c r="T558" s="13"/>
      <c r="U558" s="13"/>
      <c r="V558" s="13"/>
      <c r="W558" s="13"/>
      <c r="X558" s="13"/>
      <c r="Y558" s="13"/>
      <c r="Z558" s="13"/>
    </row>
    <row r="559" spans="1:26" ht="12.75" customHeight="1" x14ac:dyDescent="0.2">
      <c r="A559" s="8"/>
      <c r="B559" s="8"/>
      <c r="C559" s="197"/>
      <c r="D559" s="8"/>
      <c r="E559" s="197"/>
      <c r="F559" s="197"/>
      <c r="G559" s="197"/>
      <c r="H559" s="197"/>
      <c r="I559" s="197"/>
      <c r="J559" s="8"/>
      <c r="K559" s="197"/>
      <c r="L559" s="8"/>
      <c r="M559" s="197"/>
      <c r="N559" s="197"/>
      <c r="O559" s="197"/>
      <c r="P559" s="197"/>
      <c r="Q559" s="197"/>
      <c r="R559" s="197"/>
      <c r="S559" s="197"/>
      <c r="T559" s="13"/>
      <c r="U559" s="13"/>
      <c r="V559" s="13"/>
      <c r="W559" s="13"/>
      <c r="X559" s="13"/>
      <c r="Y559" s="13"/>
      <c r="Z559" s="13"/>
    </row>
    <row r="560" spans="1:26" ht="12.75" customHeight="1" x14ac:dyDescent="0.2">
      <c r="A560" s="8"/>
      <c r="B560" s="8"/>
      <c r="C560" s="197"/>
      <c r="D560" s="8"/>
      <c r="E560" s="197"/>
      <c r="F560" s="197"/>
      <c r="G560" s="197"/>
      <c r="H560" s="197"/>
      <c r="I560" s="197"/>
      <c r="J560" s="8"/>
      <c r="K560" s="197"/>
      <c r="L560" s="8"/>
      <c r="M560" s="197"/>
      <c r="N560" s="197"/>
      <c r="O560" s="197"/>
      <c r="P560" s="197"/>
      <c r="Q560" s="197"/>
      <c r="R560" s="197"/>
      <c r="S560" s="197"/>
      <c r="T560" s="13"/>
      <c r="U560" s="13"/>
      <c r="V560" s="13"/>
      <c r="W560" s="13"/>
      <c r="X560" s="13"/>
      <c r="Y560" s="13"/>
      <c r="Z560" s="13"/>
    </row>
    <row r="561" spans="1:26" ht="12.75" customHeight="1" x14ac:dyDescent="0.2">
      <c r="A561" s="8"/>
      <c r="B561" s="8"/>
      <c r="C561" s="197"/>
      <c r="D561" s="8"/>
      <c r="E561" s="197"/>
      <c r="F561" s="197"/>
      <c r="G561" s="197"/>
      <c r="H561" s="197"/>
      <c r="I561" s="197"/>
      <c r="J561" s="8"/>
      <c r="K561" s="197"/>
      <c r="L561" s="8"/>
      <c r="M561" s="197"/>
      <c r="N561" s="197"/>
      <c r="O561" s="197"/>
      <c r="P561" s="197"/>
      <c r="Q561" s="197"/>
      <c r="R561" s="197"/>
      <c r="S561" s="197"/>
      <c r="T561" s="13"/>
      <c r="U561" s="13"/>
      <c r="V561" s="13"/>
      <c r="W561" s="13"/>
      <c r="X561" s="13"/>
      <c r="Y561" s="13"/>
      <c r="Z561" s="13"/>
    </row>
    <row r="562" spans="1:26" ht="12.75" customHeight="1" x14ac:dyDescent="0.2">
      <c r="A562" s="8"/>
      <c r="B562" s="8"/>
      <c r="C562" s="197"/>
      <c r="D562" s="8"/>
      <c r="E562" s="197"/>
      <c r="F562" s="197"/>
      <c r="G562" s="197"/>
      <c r="H562" s="197"/>
      <c r="I562" s="197"/>
      <c r="J562" s="8"/>
      <c r="K562" s="197"/>
      <c r="L562" s="8"/>
      <c r="M562" s="197"/>
      <c r="N562" s="197"/>
      <c r="O562" s="197"/>
      <c r="P562" s="197"/>
      <c r="Q562" s="197"/>
      <c r="R562" s="197"/>
      <c r="S562" s="197"/>
      <c r="T562" s="13"/>
      <c r="U562" s="13"/>
      <c r="V562" s="13"/>
      <c r="W562" s="13"/>
      <c r="X562" s="13"/>
      <c r="Y562" s="13"/>
      <c r="Z562" s="13"/>
    </row>
    <row r="563" spans="1:26" ht="12.75" customHeight="1" x14ac:dyDescent="0.2">
      <c r="A563" s="8"/>
      <c r="B563" s="8"/>
      <c r="C563" s="197"/>
      <c r="D563" s="8"/>
      <c r="E563" s="197"/>
      <c r="F563" s="197"/>
      <c r="G563" s="197"/>
      <c r="H563" s="197"/>
      <c r="I563" s="197"/>
      <c r="J563" s="8"/>
      <c r="K563" s="197"/>
      <c r="L563" s="8"/>
      <c r="M563" s="197"/>
      <c r="N563" s="197"/>
      <c r="O563" s="197"/>
      <c r="P563" s="197"/>
      <c r="Q563" s="197"/>
      <c r="R563" s="197"/>
      <c r="S563" s="197"/>
      <c r="T563" s="13"/>
      <c r="U563" s="13"/>
      <c r="V563" s="13"/>
      <c r="W563" s="13"/>
      <c r="X563" s="13"/>
      <c r="Y563" s="13"/>
      <c r="Z563" s="13"/>
    </row>
    <row r="564" spans="1:26" ht="12.75" customHeight="1" x14ac:dyDescent="0.2">
      <c r="A564" s="8"/>
      <c r="B564" s="8"/>
      <c r="C564" s="197"/>
      <c r="D564" s="8"/>
      <c r="E564" s="197"/>
      <c r="F564" s="197"/>
      <c r="G564" s="197"/>
      <c r="H564" s="197"/>
      <c r="I564" s="197"/>
      <c r="J564" s="8"/>
      <c r="K564" s="197"/>
      <c r="L564" s="8"/>
      <c r="M564" s="197"/>
      <c r="N564" s="197"/>
      <c r="O564" s="197"/>
      <c r="P564" s="197"/>
      <c r="Q564" s="197"/>
      <c r="R564" s="197"/>
      <c r="S564" s="197"/>
      <c r="T564" s="13"/>
      <c r="U564" s="13"/>
      <c r="V564" s="13"/>
      <c r="W564" s="13"/>
      <c r="X564" s="13"/>
      <c r="Y564" s="13"/>
      <c r="Z564" s="13"/>
    </row>
    <row r="565" spans="1:26" ht="12.75" customHeight="1" x14ac:dyDescent="0.2">
      <c r="A565" s="8"/>
      <c r="B565" s="8"/>
      <c r="C565" s="197"/>
      <c r="D565" s="8"/>
      <c r="E565" s="197"/>
      <c r="F565" s="197"/>
      <c r="G565" s="197"/>
      <c r="H565" s="197"/>
      <c r="I565" s="197"/>
      <c r="J565" s="8"/>
      <c r="K565" s="197"/>
      <c r="L565" s="8"/>
      <c r="M565" s="197"/>
      <c r="N565" s="197"/>
      <c r="O565" s="197"/>
      <c r="P565" s="197"/>
      <c r="Q565" s="197"/>
      <c r="R565" s="197"/>
      <c r="S565" s="197"/>
      <c r="T565" s="13"/>
      <c r="U565" s="13"/>
      <c r="V565" s="13"/>
      <c r="W565" s="13"/>
      <c r="X565" s="13"/>
      <c r="Y565" s="13"/>
      <c r="Z565" s="13"/>
    </row>
    <row r="566" spans="1:26" ht="12.75" customHeight="1" x14ac:dyDescent="0.2">
      <c r="A566" s="8"/>
      <c r="B566" s="8"/>
      <c r="C566" s="197"/>
      <c r="D566" s="8"/>
      <c r="E566" s="197"/>
      <c r="F566" s="197"/>
      <c r="G566" s="197"/>
      <c r="H566" s="197"/>
      <c r="I566" s="197"/>
      <c r="J566" s="8"/>
      <c r="K566" s="197"/>
      <c r="L566" s="8"/>
      <c r="M566" s="197"/>
      <c r="N566" s="197"/>
      <c r="O566" s="197"/>
      <c r="P566" s="197"/>
      <c r="Q566" s="197"/>
      <c r="R566" s="197"/>
      <c r="S566" s="197"/>
      <c r="T566" s="13"/>
      <c r="U566" s="13"/>
      <c r="V566" s="13"/>
      <c r="W566" s="13"/>
      <c r="X566" s="13"/>
      <c r="Y566" s="13"/>
      <c r="Z566" s="13"/>
    </row>
    <row r="567" spans="1:26" ht="12.75" customHeight="1" x14ac:dyDescent="0.2">
      <c r="A567" s="8"/>
      <c r="B567" s="8"/>
      <c r="C567" s="197"/>
      <c r="D567" s="8"/>
      <c r="E567" s="197"/>
      <c r="F567" s="197"/>
      <c r="G567" s="197"/>
      <c r="H567" s="197"/>
      <c r="I567" s="197"/>
      <c r="J567" s="8"/>
      <c r="K567" s="197"/>
      <c r="L567" s="8"/>
      <c r="M567" s="197"/>
      <c r="N567" s="197"/>
      <c r="O567" s="197"/>
      <c r="P567" s="197"/>
      <c r="Q567" s="197"/>
      <c r="R567" s="197"/>
      <c r="S567" s="197"/>
      <c r="T567" s="13"/>
      <c r="U567" s="13"/>
      <c r="V567" s="13"/>
      <c r="W567" s="13"/>
      <c r="X567" s="13"/>
      <c r="Y567" s="13"/>
      <c r="Z567" s="13"/>
    </row>
    <row r="568" spans="1:26" ht="12.75" customHeight="1" x14ac:dyDescent="0.2">
      <c r="A568" s="8"/>
      <c r="B568" s="8"/>
      <c r="C568" s="197"/>
      <c r="D568" s="8"/>
      <c r="E568" s="197"/>
      <c r="F568" s="197"/>
      <c r="G568" s="197"/>
      <c r="H568" s="197"/>
      <c r="I568" s="197"/>
      <c r="J568" s="8"/>
      <c r="K568" s="197"/>
      <c r="L568" s="8"/>
      <c r="M568" s="197"/>
      <c r="N568" s="197"/>
      <c r="O568" s="197"/>
      <c r="P568" s="197"/>
      <c r="Q568" s="197"/>
      <c r="R568" s="197"/>
      <c r="S568" s="197"/>
      <c r="T568" s="13"/>
      <c r="U568" s="13"/>
      <c r="V568" s="13"/>
      <c r="W568" s="13"/>
      <c r="X568" s="13"/>
      <c r="Y568" s="13"/>
      <c r="Z568" s="13"/>
    </row>
    <row r="569" spans="1:26" ht="12.75" customHeight="1" x14ac:dyDescent="0.2">
      <c r="A569" s="8"/>
      <c r="B569" s="8"/>
      <c r="C569" s="197"/>
      <c r="D569" s="8"/>
      <c r="E569" s="197"/>
      <c r="F569" s="197"/>
      <c r="G569" s="197"/>
      <c r="H569" s="197"/>
      <c r="I569" s="197"/>
      <c r="J569" s="8"/>
      <c r="K569" s="197"/>
      <c r="L569" s="8"/>
      <c r="M569" s="197"/>
      <c r="N569" s="197"/>
      <c r="O569" s="197"/>
      <c r="P569" s="197"/>
      <c r="Q569" s="197"/>
      <c r="R569" s="197"/>
      <c r="S569" s="197"/>
      <c r="T569" s="13"/>
      <c r="U569" s="13"/>
      <c r="V569" s="13"/>
      <c r="W569" s="13"/>
      <c r="X569" s="13"/>
      <c r="Y569" s="13"/>
      <c r="Z569" s="13"/>
    </row>
    <row r="570" spans="1:26" ht="12.75" customHeight="1" x14ac:dyDescent="0.2">
      <c r="A570" s="8"/>
      <c r="B570" s="8"/>
      <c r="C570" s="197"/>
      <c r="D570" s="8"/>
      <c r="E570" s="197"/>
      <c r="F570" s="197"/>
      <c r="G570" s="197"/>
      <c r="H570" s="197"/>
      <c r="I570" s="197"/>
      <c r="J570" s="8"/>
      <c r="K570" s="197"/>
      <c r="L570" s="8"/>
      <c r="M570" s="197"/>
      <c r="N570" s="197"/>
      <c r="O570" s="197"/>
      <c r="P570" s="197"/>
      <c r="Q570" s="197"/>
      <c r="R570" s="197"/>
      <c r="S570" s="197"/>
      <c r="T570" s="13"/>
      <c r="U570" s="13"/>
      <c r="V570" s="13"/>
      <c r="W570" s="13"/>
      <c r="X570" s="13"/>
      <c r="Y570" s="13"/>
      <c r="Z570" s="13"/>
    </row>
    <row r="571" spans="1:26" ht="12.75" customHeight="1" x14ac:dyDescent="0.2">
      <c r="A571" s="8"/>
      <c r="B571" s="8"/>
      <c r="C571" s="197"/>
      <c r="D571" s="8"/>
      <c r="E571" s="197"/>
      <c r="F571" s="197"/>
      <c r="G571" s="197"/>
      <c r="H571" s="197"/>
      <c r="I571" s="197"/>
      <c r="J571" s="8"/>
      <c r="K571" s="197"/>
      <c r="L571" s="8"/>
      <c r="M571" s="197"/>
      <c r="N571" s="197"/>
      <c r="O571" s="197"/>
      <c r="P571" s="197"/>
      <c r="Q571" s="197"/>
      <c r="R571" s="197"/>
      <c r="S571" s="197"/>
      <c r="T571" s="13"/>
      <c r="U571" s="13"/>
      <c r="V571" s="13"/>
      <c r="W571" s="13"/>
      <c r="X571" s="13"/>
      <c r="Y571" s="13"/>
      <c r="Z571" s="13"/>
    </row>
    <row r="572" spans="1:26" ht="12.75" customHeight="1" x14ac:dyDescent="0.2">
      <c r="A572" s="8"/>
      <c r="B572" s="8"/>
      <c r="C572" s="197"/>
      <c r="D572" s="8"/>
      <c r="E572" s="197"/>
      <c r="F572" s="197"/>
      <c r="G572" s="197"/>
      <c r="H572" s="197"/>
      <c r="I572" s="197"/>
      <c r="J572" s="8"/>
      <c r="K572" s="197"/>
      <c r="L572" s="8"/>
      <c r="M572" s="197"/>
      <c r="N572" s="197"/>
      <c r="O572" s="197"/>
      <c r="P572" s="197"/>
      <c r="Q572" s="197"/>
      <c r="R572" s="197"/>
      <c r="S572" s="197"/>
      <c r="T572" s="13"/>
      <c r="U572" s="13"/>
      <c r="V572" s="13"/>
      <c r="W572" s="13"/>
      <c r="X572" s="13"/>
      <c r="Y572" s="13"/>
      <c r="Z572" s="13"/>
    </row>
    <row r="573" spans="1:26" ht="12.75" customHeight="1" x14ac:dyDescent="0.2">
      <c r="A573" s="8"/>
      <c r="B573" s="8"/>
      <c r="C573" s="197"/>
      <c r="D573" s="8"/>
      <c r="E573" s="197"/>
      <c r="F573" s="197"/>
      <c r="G573" s="197"/>
      <c r="H573" s="197"/>
      <c r="I573" s="197"/>
      <c r="J573" s="8"/>
      <c r="K573" s="197"/>
      <c r="L573" s="8"/>
      <c r="M573" s="197"/>
      <c r="N573" s="197"/>
      <c r="O573" s="197"/>
      <c r="P573" s="197"/>
      <c r="Q573" s="197"/>
      <c r="R573" s="197"/>
      <c r="S573" s="197"/>
      <c r="T573" s="13"/>
      <c r="U573" s="13"/>
      <c r="V573" s="13"/>
      <c r="W573" s="13"/>
      <c r="X573" s="13"/>
      <c r="Y573" s="13"/>
      <c r="Z573" s="13"/>
    </row>
    <row r="574" spans="1:26" ht="12.75" customHeight="1" x14ac:dyDescent="0.2">
      <c r="A574" s="8"/>
      <c r="B574" s="8"/>
      <c r="C574" s="197"/>
      <c r="D574" s="8"/>
      <c r="E574" s="197"/>
      <c r="F574" s="197"/>
      <c r="G574" s="197"/>
      <c r="H574" s="197"/>
      <c r="I574" s="197"/>
      <c r="J574" s="8"/>
      <c r="K574" s="197"/>
      <c r="L574" s="8"/>
      <c r="M574" s="197"/>
      <c r="N574" s="197"/>
      <c r="O574" s="197"/>
      <c r="P574" s="197"/>
      <c r="Q574" s="197"/>
      <c r="R574" s="197"/>
      <c r="S574" s="197"/>
      <c r="T574" s="13"/>
      <c r="U574" s="13"/>
      <c r="V574" s="13"/>
      <c r="W574" s="13"/>
      <c r="X574" s="13"/>
      <c r="Y574" s="13"/>
      <c r="Z574" s="13"/>
    </row>
    <row r="575" spans="1:26" ht="12.75" customHeight="1" x14ac:dyDescent="0.2">
      <c r="A575" s="8"/>
      <c r="B575" s="8"/>
      <c r="C575" s="197"/>
      <c r="D575" s="8"/>
      <c r="E575" s="197"/>
      <c r="F575" s="197"/>
      <c r="G575" s="197"/>
      <c r="H575" s="197"/>
      <c r="I575" s="197"/>
      <c r="J575" s="8"/>
      <c r="K575" s="197"/>
      <c r="L575" s="8"/>
      <c r="M575" s="197"/>
      <c r="N575" s="197"/>
      <c r="O575" s="197"/>
      <c r="P575" s="197"/>
      <c r="Q575" s="197"/>
      <c r="R575" s="197"/>
      <c r="S575" s="197"/>
      <c r="T575" s="13"/>
      <c r="U575" s="13"/>
      <c r="V575" s="13"/>
      <c r="W575" s="13"/>
      <c r="X575" s="13"/>
      <c r="Y575" s="13"/>
      <c r="Z575" s="13"/>
    </row>
    <row r="576" spans="1:26" ht="12.75" customHeight="1" x14ac:dyDescent="0.2">
      <c r="A576" s="8"/>
      <c r="B576" s="8"/>
      <c r="C576" s="197"/>
      <c r="D576" s="8"/>
      <c r="E576" s="197"/>
      <c r="F576" s="197"/>
      <c r="G576" s="197"/>
      <c r="H576" s="197"/>
      <c r="I576" s="197"/>
      <c r="J576" s="8"/>
      <c r="K576" s="197"/>
      <c r="L576" s="8"/>
      <c r="M576" s="197"/>
      <c r="N576" s="197"/>
      <c r="O576" s="197"/>
      <c r="P576" s="197"/>
      <c r="Q576" s="197"/>
      <c r="R576" s="197"/>
      <c r="S576" s="197"/>
      <c r="T576" s="13"/>
      <c r="U576" s="13"/>
      <c r="V576" s="13"/>
      <c r="W576" s="13"/>
      <c r="X576" s="13"/>
      <c r="Y576" s="13"/>
      <c r="Z576" s="13"/>
    </row>
    <row r="577" spans="1:26" ht="12.75" customHeight="1" x14ac:dyDescent="0.2">
      <c r="A577" s="8"/>
      <c r="B577" s="8"/>
      <c r="C577" s="197"/>
      <c r="D577" s="8"/>
      <c r="E577" s="197"/>
      <c r="F577" s="197"/>
      <c r="G577" s="197"/>
      <c r="H577" s="197"/>
      <c r="I577" s="197"/>
      <c r="J577" s="8"/>
      <c r="K577" s="197"/>
      <c r="L577" s="8"/>
      <c r="M577" s="197"/>
      <c r="N577" s="197"/>
      <c r="O577" s="197"/>
      <c r="P577" s="197"/>
      <c r="Q577" s="197"/>
      <c r="R577" s="197"/>
      <c r="S577" s="197"/>
      <c r="T577" s="13"/>
      <c r="U577" s="13"/>
      <c r="V577" s="13"/>
      <c r="W577" s="13"/>
      <c r="X577" s="13"/>
      <c r="Y577" s="13"/>
      <c r="Z577" s="13"/>
    </row>
    <row r="578" spans="1:26" ht="12.75" customHeight="1" x14ac:dyDescent="0.2">
      <c r="A578" s="8"/>
      <c r="B578" s="8"/>
      <c r="C578" s="197"/>
      <c r="D578" s="8"/>
      <c r="E578" s="197"/>
      <c r="F578" s="197"/>
      <c r="G578" s="197"/>
      <c r="H578" s="197"/>
      <c r="I578" s="197"/>
      <c r="J578" s="8"/>
      <c r="K578" s="197"/>
      <c r="L578" s="8"/>
      <c r="M578" s="197"/>
      <c r="N578" s="197"/>
      <c r="O578" s="197"/>
      <c r="P578" s="197"/>
      <c r="Q578" s="197"/>
      <c r="R578" s="197"/>
      <c r="S578" s="197"/>
      <c r="T578" s="13"/>
      <c r="U578" s="13"/>
      <c r="V578" s="13"/>
      <c r="W578" s="13"/>
      <c r="X578" s="13"/>
      <c r="Y578" s="13"/>
      <c r="Z578" s="13"/>
    </row>
    <row r="579" spans="1:26" ht="12.75" customHeight="1" x14ac:dyDescent="0.2">
      <c r="A579" s="8"/>
      <c r="B579" s="8"/>
      <c r="C579" s="197"/>
      <c r="D579" s="8"/>
      <c r="E579" s="197"/>
      <c r="F579" s="197"/>
      <c r="G579" s="197"/>
      <c r="H579" s="197"/>
      <c r="I579" s="197"/>
      <c r="J579" s="8"/>
      <c r="K579" s="197"/>
      <c r="L579" s="8"/>
      <c r="M579" s="197"/>
      <c r="N579" s="197"/>
      <c r="O579" s="197"/>
      <c r="P579" s="197"/>
      <c r="Q579" s="197"/>
      <c r="R579" s="197"/>
      <c r="S579" s="197"/>
      <c r="T579" s="13"/>
      <c r="U579" s="13"/>
      <c r="V579" s="13"/>
      <c r="W579" s="13"/>
      <c r="X579" s="13"/>
      <c r="Y579" s="13"/>
      <c r="Z579" s="13"/>
    </row>
    <row r="580" spans="1:26" ht="12.75" customHeight="1" x14ac:dyDescent="0.2">
      <c r="A580" s="8"/>
      <c r="B580" s="8"/>
      <c r="C580" s="197"/>
      <c r="D580" s="8"/>
      <c r="E580" s="197"/>
      <c r="F580" s="197"/>
      <c r="G580" s="197"/>
      <c r="H580" s="197"/>
      <c r="I580" s="197"/>
      <c r="J580" s="8"/>
      <c r="K580" s="197"/>
      <c r="L580" s="8"/>
      <c r="M580" s="197"/>
      <c r="N580" s="197"/>
      <c r="O580" s="197"/>
      <c r="P580" s="197"/>
      <c r="Q580" s="197"/>
      <c r="R580" s="197"/>
      <c r="S580" s="197"/>
      <c r="T580" s="13"/>
      <c r="U580" s="13"/>
      <c r="V580" s="13"/>
      <c r="W580" s="13"/>
      <c r="X580" s="13"/>
      <c r="Y580" s="13"/>
      <c r="Z580" s="13"/>
    </row>
    <row r="581" spans="1:26" ht="12.75" customHeight="1" x14ac:dyDescent="0.2">
      <c r="A581" s="8"/>
      <c r="B581" s="8"/>
      <c r="C581" s="197"/>
      <c r="D581" s="8"/>
      <c r="E581" s="197"/>
      <c r="F581" s="197"/>
      <c r="G581" s="197"/>
      <c r="H581" s="197"/>
      <c r="I581" s="197"/>
      <c r="J581" s="8"/>
      <c r="K581" s="197"/>
      <c r="L581" s="8"/>
      <c r="M581" s="197"/>
      <c r="N581" s="197"/>
      <c r="O581" s="197"/>
      <c r="P581" s="197"/>
      <c r="Q581" s="197"/>
      <c r="R581" s="197"/>
      <c r="S581" s="197"/>
      <c r="T581" s="13"/>
      <c r="U581" s="13"/>
      <c r="V581" s="13"/>
      <c r="W581" s="13"/>
      <c r="X581" s="13"/>
      <c r="Y581" s="13"/>
      <c r="Z581" s="13"/>
    </row>
    <row r="582" spans="1:26" ht="12.75" customHeight="1" x14ac:dyDescent="0.2">
      <c r="A582" s="8"/>
      <c r="B582" s="8"/>
      <c r="C582" s="197"/>
      <c r="D582" s="8"/>
      <c r="E582" s="197"/>
      <c r="F582" s="197"/>
      <c r="G582" s="197"/>
      <c r="H582" s="197"/>
      <c r="I582" s="197"/>
      <c r="J582" s="8"/>
      <c r="K582" s="197"/>
      <c r="L582" s="8"/>
      <c r="M582" s="197"/>
      <c r="N582" s="197"/>
      <c r="O582" s="197"/>
      <c r="P582" s="197"/>
      <c r="Q582" s="197"/>
      <c r="R582" s="197"/>
      <c r="S582" s="197"/>
      <c r="T582" s="13"/>
      <c r="U582" s="13"/>
      <c r="V582" s="13"/>
      <c r="W582" s="13"/>
      <c r="X582" s="13"/>
      <c r="Y582" s="13"/>
      <c r="Z582" s="13"/>
    </row>
    <row r="583" spans="1:26" ht="12.75" customHeight="1" x14ac:dyDescent="0.2">
      <c r="A583" s="8"/>
      <c r="B583" s="8"/>
      <c r="C583" s="197"/>
      <c r="D583" s="8"/>
      <c r="E583" s="197"/>
      <c r="F583" s="197"/>
      <c r="G583" s="197"/>
      <c r="H583" s="197"/>
      <c r="I583" s="197"/>
      <c r="J583" s="8"/>
      <c r="K583" s="197"/>
      <c r="L583" s="8"/>
      <c r="M583" s="197"/>
      <c r="N583" s="197"/>
      <c r="O583" s="197"/>
      <c r="P583" s="197"/>
      <c r="Q583" s="197"/>
      <c r="R583" s="197"/>
      <c r="S583" s="197"/>
      <c r="T583" s="13"/>
      <c r="U583" s="13"/>
      <c r="V583" s="13"/>
      <c r="W583" s="13"/>
      <c r="X583" s="13"/>
      <c r="Y583" s="13"/>
      <c r="Z583" s="13"/>
    </row>
    <row r="584" spans="1:26" ht="12.75" customHeight="1" x14ac:dyDescent="0.2">
      <c r="A584" s="8"/>
      <c r="B584" s="8"/>
      <c r="C584" s="197"/>
      <c r="D584" s="8"/>
      <c r="E584" s="197"/>
      <c r="F584" s="197"/>
      <c r="G584" s="197"/>
      <c r="H584" s="197"/>
      <c r="I584" s="197"/>
      <c r="J584" s="8"/>
      <c r="K584" s="197"/>
      <c r="L584" s="8"/>
      <c r="M584" s="197"/>
      <c r="N584" s="197"/>
      <c r="O584" s="197"/>
      <c r="P584" s="197"/>
      <c r="Q584" s="197"/>
      <c r="R584" s="197"/>
      <c r="S584" s="197"/>
      <c r="T584" s="13"/>
      <c r="U584" s="13"/>
      <c r="V584" s="13"/>
      <c r="W584" s="13"/>
      <c r="X584" s="13"/>
      <c r="Y584" s="13"/>
      <c r="Z584" s="13"/>
    </row>
    <row r="585" spans="1:26" ht="12.75" customHeight="1" x14ac:dyDescent="0.2">
      <c r="A585" s="8"/>
      <c r="B585" s="8"/>
      <c r="C585" s="197"/>
      <c r="D585" s="8"/>
      <c r="E585" s="197"/>
      <c r="F585" s="197"/>
      <c r="G585" s="197"/>
      <c r="H585" s="197"/>
      <c r="I585" s="197"/>
      <c r="J585" s="8"/>
      <c r="K585" s="197"/>
      <c r="L585" s="8"/>
      <c r="M585" s="197"/>
      <c r="N585" s="197"/>
      <c r="O585" s="197"/>
      <c r="P585" s="197"/>
      <c r="Q585" s="197"/>
      <c r="R585" s="197"/>
      <c r="S585" s="197"/>
      <c r="T585" s="13"/>
      <c r="U585" s="13"/>
      <c r="V585" s="13"/>
      <c r="W585" s="13"/>
      <c r="X585" s="13"/>
      <c r="Y585" s="13"/>
      <c r="Z585" s="13"/>
    </row>
    <row r="586" spans="1:26" ht="12.75" customHeight="1" x14ac:dyDescent="0.2">
      <c r="A586" s="8"/>
      <c r="B586" s="8"/>
      <c r="C586" s="197"/>
      <c r="D586" s="8"/>
      <c r="E586" s="197"/>
      <c r="F586" s="197"/>
      <c r="G586" s="197"/>
      <c r="H586" s="197"/>
      <c r="I586" s="197"/>
      <c r="J586" s="8"/>
      <c r="K586" s="197"/>
      <c r="L586" s="8"/>
      <c r="M586" s="197"/>
      <c r="N586" s="197"/>
      <c r="O586" s="197"/>
      <c r="P586" s="197"/>
      <c r="Q586" s="197"/>
      <c r="R586" s="197"/>
      <c r="S586" s="197"/>
      <c r="T586" s="13"/>
      <c r="U586" s="13"/>
      <c r="V586" s="13"/>
      <c r="W586" s="13"/>
      <c r="X586" s="13"/>
      <c r="Y586" s="13"/>
      <c r="Z586" s="13"/>
    </row>
    <row r="587" spans="1:26" ht="12.75" customHeight="1" x14ac:dyDescent="0.2">
      <c r="A587" s="8"/>
      <c r="B587" s="8"/>
      <c r="C587" s="197"/>
      <c r="D587" s="8"/>
      <c r="E587" s="197"/>
      <c r="F587" s="197"/>
      <c r="G587" s="197"/>
      <c r="H587" s="197"/>
      <c r="I587" s="197"/>
      <c r="J587" s="8"/>
      <c r="K587" s="197"/>
      <c r="L587" s="8"/>
      <c r="M587" s="197"/>
      <c r="N587" s="197"/>
      <c r="O587" s="197"/>
      <c r="P587" s="197"/>
      <c r="Q587" s="197"/>
      <c r="R587" s="197"/>
      <c r="S587" s="197"/>
      <c r="T587" s="13"/>
      <c r="U587" s="13"/>
      <c r="V587" s="13"/>
      <c r="W587" s="13"/>
      <c r="X587" s="13"/>
      <c r="Y587" s="13"/>
      <c r="Z587" s="13"/>
    </row>
    <row r="588" spans="1:26" ht="12.75" customHeight="1" x14ac:dyDescent="0.2">
      <c r="A588" s="8"/>
      <c r="B588" s="8"/>
      <c r="C588" s="197"/>
      <c r="D588" s="8"/>
      <c r="E588" s="197"/>
      <c r="F588" s="197"/>
      <c r="G588" s="197"/>
      <c r="H588" s="197"/>
      <c r="I588" s="197"/>
      <c r="J588" s="8"/>
      <c r="K588" s="197"/>
      <c r="L588" s="8"/>
      <c r="M588" s="197"/>
      <c r="N588" s="197"/>
      <c r="O588" s="197"/>
      <c r="P588" s="197"/>
      <c r="Q588" s="197"/>
      <c r="R588" s="197"/>
      <c r="S588" s="197"/>
      <c r="T588" s="13"/>
      <c r="U588" s="13"/>
      <c r="V588" s="13"/>
      <c r="W588" s="13"/>
      <c r="X588" s="13"/>
      <c r="Y588" s="13"/>
      <c r="Z588" s="13"/>
    </row>
    <row r="589" spans="1:26" ht="12.75" customHeight="1" x14ac:dyDescent="0.2">
      <c r="A589" s="8"/>
      <c r="B589" s="8"/>
      <c r="C589" s="197"/>
      <c r="D589" s="8"/>
      <c r="E589" s="197"/>
      <c r="F589" s="197"/>
      <c r="G589" s="197"/>
      <c r="H589" s="197"/>
      <c r="I589" s="197"/>
      <c r="J589" s="8"/>
      <c r="K589" s="197"/>
      <c r="L589" s="8"/>
      <c r="M589" s="197"/>
      <c r="N589" s="197"/>
      <c r="O589" s="197"/>
      <c r="P589" s="197"/>
      <c r="Q589" s="197"/>
      <c r="R589" s="197"/>
      <c r="S589" s="197"/>
      <c r="T589" s="13"/>
      <c r="U589" s="13"/>
      <c r="V589" s="13"/>
      <c r="W589" s="13"/>
      <c r="X589" s="13"/>
      <c r="Y589" s="13"/>
      <c r="Z589" s="13"/>
    </row>
    <row r="590" spans="1:26" ht="12.75" customHeight="1" x14ac:dyDescent="0.2">
      <c r="A590" s="8"/>
      <c r="B590" s="8"/>
      <c r="C590" s="197"/>
      <c r="D590" s="8"/>
      <c r="E590" s="197"/>
      <c r="F590" s="197"/>
      <c r="G590" s="197"/>
      <c r="H590" s="197"/>
      <c r="I590" s="197"/>
      <c r="J590" s="8"/>
      <c r="K590" s="197"/>
      <c r="L590" s="8"/>
      <c r="M590" s="197"/>
      <c r="N590" s="197"/>
      <c r="O590" s="197"/>
      <c r="P590" s="197"/>
      <c r="Q590" s="197"/>
      <c r="R590" s="197"/>
      <c r="S590" s="197"/>
      <c r="T590" s="13"/>
      <c r="U590" s="13"/>
      <c r="V590" s="13"/>
      <c r="W590" s="13"/>
      <c r="X590" s="13"/>
      <c r="Y590" s="13"/>
      <c r="Z590" s="13"/>
    </row>
    <row r="591" spans="1:26" ht="12.75" customHeight="1" x14ac:dyDescent="0.2">
      <c r="A591" s="8"/>
      <c r="B591" s="8"/>
      <c r="C591" s="197"/>
      <c r="D591" s="8"/>
      <c r="E591" s="197"/>
      <c r="F591" s="197"/>
      <c r="G591" s="197"/>
      <c r="H591" s="197"/>
      <c r="I591" s="197"/>
      <c r="J591" s="8"/>
      <c r="K591" s="197"/>
      <c r="L591" s="8"/>
      <c r="M591" s="197"/>
      <c r="N591" s="197"/>
      <c r="O591" s="197"/>
      <c r="P591" s="197"/>
      <c r="Q591" s="197"/>
      <c r="R591" s="197"/>
      <c r="S591" s="197"/>
      <c r="T591" s="13"/>
      <c r="U591" s="13"/>
      <c r="V591" s="13"/>
      <c r="W591" s="13"/>
      <c r="X591" s="13"/>
      <c r="Y591" s="13"/>
      <c r="Z591" s="13"/>
    </row>
    <row r="592" spans="1:26" ht="12.75" customHeight="1" x14ac:dyDescent="0.2">
      <c r="A592" s="8"/>
      <c r="B592" s="8"/>
      <c r="C592" s="197"/>
      <c r="D592" s="8"/>
      <c r="E592" s="197"/>
      <c r="F592" s="197"/>
      <c r="G592" s="197"/>
      <c r="H592" s="197"/>
      <c r="I592" s="197"/>
      <c r="J592" s="8"/>
      <c r="K592" s="197"/>
      <c r="L592" s="8"/>
      <c r="M592" s="197"/>
      <c r="N592" s="197"/>
      <c r="O592" s="197"/>
      <c r="P592" s="197"/>
      <c r="Q592" s="197"/>
      <c r="R592" s="197"/>
      <c r="S592" s="197"/>
      <c r="T592" s="13"/>
      <c r="U592" s="13"/>
      <c r="V592" s="13"/>
      <c r="W592" s="13"/>
      <c r="X592" s="13"/>
      <c r="Y592" s="13"/>
      <c r="Z592" s="13"/>
    </row>
    <row r="593" spans="1:26" ht="12.75" customHeight="1" x14ac:dyDescent="0.2">
      <c r="A593" s="8"/>
      <c r="B593" s="8"/>
      <c r="C593" s="197"/>
      <c r="D593" s="8"/>
      <c r="E593" s="197"/>
      <c r="F593" s="197"/>
      <c r="G593" s="197"/>
      <c r="H593" s="197"/>
      <c r="I593" s="197"/>
      <c r="J593" s="8"/>
      <c r="K593" s="197"/>
      <c r="L593" s="8"/>
      <c r="M593" s="197"/>
      <c r="N593" s="197"/>
      <c r="O593" s="197"/>
      <c r="P593" s="197"/>
      <c r="Q593" s="197"/>
      <c r="R593" s="197"/>
      <c r="S593" s="197"/>
      <c r="T593" s="13"/>
      <c r="U593" s="13"/>
      <c r="V593" s="13"/>
      <c r="W593" s="13"/>
      <c r="X593" s="13"/>
      <c r="Y593" s="13"/>
      <c r="Z593" s="13"/>
    </row>
    <row r="594" spans="1:26" ht="12.75" customHeight="1" x14ac:dyDescent="0.2">
      <c r="A594" s="8"/>
      <c r="B594" s="8"/>
      <c r="C594" s="197"/>
      <c r="D594" s="8"/>
      <c r="E594" s="197"/>
      <c r="F594" s="197"/>
      <c r="G594" s="197"/>
      <c r="H594" s="197"/>
      <c r="I594" s="197"/>
      <c r="J594" s="8"/>
      <c r="K594" s="197"/>
      <c r="L594" s="8"/>
      <c r="M594" s="197"/>
      <c r="N594" s="197"/>
      <c r="O594" s="197"/>
      <c r="P594" s="197"/>
      <c r="Q594" s="197"/>
      <c r="R594" s="197"/>
      <c r="S594" s="197"/>
      <c r="T594" s="13"/>
      <c r="U594" s="13"/>
      <c r="V594" s="13"/>
      <c r="W594" s="13"/>
      <c r="X594" s="13"/>
      <c r="Y594" s="13"/>
      <c r="Z594" s="13"/>
    </row>
    <row r="595" spans="1:26" ht="12.75" customHeight="1" x14ac:dyDescent="0.2">
      <c r="A595" s="8"/>
      <c r="B595" s="8"/>
      <c r="C595" s="197"/>
      <c r="D595" s="8"/>
      <c r="E595" s="197"/>
      <c r="F595" s="197"/>
      <c r="G595" s="197"/>
      <c r="H595" s="197"/>
      <c r="I595" s="197"/>
      <c r="J595" s="8"/>
      <c r="K595" s="197"/>
      <c r="L595" s="8"/>
      <c r="M595" s="197"/>
      <c r="N595" s="197"/>
      <c r="O595" s="197"/>
      <c r="P595" s="197"/>
      <c r="Q595" s="197"/>
      <c r="R595" s="197"/>
      <c r="S595" s="197"/>
      <c r="T595" s="13"/>
      <c r="U595" s="13"/>
      <c r="V595" s="13"/>
      <c r="W595" s="13"/>
      <c r="X595" s="13"/>
      <c r="Y595" s="13"/>
      <c r="Z595" s="13"/>
    </row>
    <row r="596" spans="1:26" ht="12.75" customHeight="1" x14ac:dyDescent="0.2">
      <c r="A596" s="8"/>
      <c r="B596" s="8"/>
      <c r="C596" s="197"/>
      <c r="D596" s="8"/>
      <c r="E596" s="197"/>
      <c r="F596" s="197"/>
      <c r="G596" s="197"/>
      <c r="H596" s="197"/>
      <c r="I596" s="197"/>
      <c r="J596" s="8"/>
      <c r="K596" s="197"/>
      <c r="L596" s="8"/>
      <c r="M596" s="197"/>
      <c r="N596" s="197"/>
      <c r="O596" s="197"/>
      <c r="P596" s="197"/>
      <c r="Q596" s="197"/>
      <c r="R596" s="197"/>
      <c r="S596" s="197"/>
      <c r="T596" s="13"/>
      <c r="U596" s="13"/>
      <c r="V596" s="13"/>
      <c r="W596" s="13"/>
      <c r="X596" s="13"/>
      <c r="Y596" s="13"/>
      <c r="Z596" s="13"/>
    </row>
    <row r="597" spans="1:26" ht="12.75" customHeight="1" x14ac:dyDescent="0.2">
      <c r="A597" s="8"/>
      <c r="B597" s="8"/>
      <c r="C597" s="197"/>
      <c r="D597" s="8"/>
      <c r="E597" s="197"/>
      <c r="F597" s="197"/>
      <c r="G597" s="197"/>
      <c r="H597" s="197"/>
      <c r="I597" s="197"/>
      <c r="J597" s="8"/>
      <c r="K597" s="197"/>
      <c r="L597" s="8"/>
      <c r="M597" s="197"/>
      <c r="N597" s="197"/>
      <c r="O597" s="197"/>
      <c r="P597" s="197"/>
      <c r="Q597" s="197"/>
      <c r="R597" s="197"/>
      <c r="S597" s="197"/>
      <c r="T597" s="13"/>
      <c r="U597" s="13"/>
      <c r="V597" s="13"/>
      <c r="W597" s="13"/>
      <c r="X597" s="13"/>
      <c r="Y597" s="13"/>
      <c r="Z597" s="13"/>
    </row>
    <row r="598" spans="1:26" ht="12.75" customHeight="1" x14ac:dyDescent="0.2">
      <c r="A598" s="8"/>
      <c r="B598" s="8"/>
      <c r="C598" s="197"/>
      <c r="D598" s="8"/>
      <c r="E598" s="197"/>
      <c r="F598" s="197"/>
      <c r="G598" s="197"/>
      <c r="H598" s="197"/>
      <c r="I598" s="197"/>
      <c r="J598" s="8"/>
      <c r="K598" s="197"/>
      <c r="L598" s="8"/>
      <c r="M598" s="197"/>
      <c r="N598" s="197"/>
      <c r="O598" s="197"/>
      <c r="P598" s="197"/>
      <c r="Q598" s="197"/>
      <c r="R598" s="197"/>
      <c r="S598" s="197"/>
      <c r="T598" s="13"/>
      <c r="U598" s="13"/>
      <c r="V598" s="13"/>
      <c r="W598" s="13"/>
      <c r="X598" s="13"/>
      <c r="Y598" s="13"/>
      <c r="Z598" s="13"/>
    </row>
    <row r="599" spans="1:26" ht="12.75" customHeight="1" x14ac:dyDescent="0.2">
      <c r="A599" s="8"/>
      <c r="B599" s="8"/>
      <c r="C599" s="197"/>
      <c r="D599" s="8"/>
      <c r="E599" s="197"/>
      <c r="F599" s="197"/>
      <c r="G599" s="197"/>
      <c r="H599" s="197"/>
      <c r="I599" s="197"/>
      <c r="J599" s="8"/>
      <c r="K599" s="197"/>
      <c r="L599" s="8"/>
      <c r="M599" s="197"/>
      <c r="N599" s="197"/>
      <c r="O599" s="197"/>
      <c r="P599" s="197"/>
      <c r="Q599" s="197"/>
      <c r="R599" s="197"/>
      <c r="S599" s="197"/>
      <c r="T599" s="13"/>
      <c r="U599" s="13"/>
      <c r="V599" s="13"/>
      <c r="W599" s="13"/>
      <c r="X599" s="13"/>
      <c r="Y599" s="13"/>
      <c r="Z599" s="13"/>
    </row>
    <row r="600" spans="1:26" ht="12.75" customHeight="1" x14ac:dyDescent="0.2">
      <c r="A600" s="8"/>
      <c r="B600" s="8"/>
      <c r="C600" s="197"/>
      <c r="D600" s="8"/>
      <c r="E600" s="197"/>
      <c r="F600" s="197"/>
      <c r="G600" s="197"/>
      <c r="H600" s="197"/>
      <c r="I600" s="197"/>
      <c r="J600" s="8"/>
      <c r="K600" s="197"/>
      <c r="L600" s="8"/>
      <c r="M600" s="197"/>
      <c r="N600" s="197"/>
      <c r="O600" s="197"/>
      <c r="P600" s="197"/>
      <c r="Q600" s="197"/>
      <c r="R600" s="197"/>
      <c r="S600" s="197"/>
      <c r="T600" s="13"/>
      <c r="U600" s="13"/>
      <c r="V600" s="13"/>
      <c r="W600" s="13"/>
      <c r="X600" s="13"/>
      <c r="Y600" s="13"/>
      <c r="Z600" s="13"/>
    </row>
    <row r="601" spans="1:26" ht="12.75" customHeight="1" x14ac:dyDescent="0.2">
      <c r="A601" s="8"/>
      <c r="B601" s="8"/>
      <c r="C601" s="197"/>
      <c r="D601" s="8"/>
      <c r="E601" s="197"/>
      <c r="F601" s="197"/>
      <c r="G601" s="197"/>
      <c r="H601" s="197"/>
      <c r="I601" s="197"/>
      <c r="J601" s="8"/>
      <c r="K601" s="197"/>
      <c r="L601" s="8"/>
      <c r="M601" s="197"/>
      <c r="N601" s="197"/>
      <c r="O601" s="197"/>
      <c r="P601" s="197"/>
      <c r="Q601" s="197"/>
      <c r="R601" s="197"/>
      <c r="S601" s="197"/>
      <c r="T601" s="13"/>
      <c r="U601" s="13"/>
      <c r="V601" s="13"/>
      <c r="W601" s="13"/>
      <c r="X601" s="13"/>
      <c r="Y601" s="13"/>
      <c r="Z601" s="13"/>
    </row>
    <row r="602" spans="1:26" ht="12.75" customHeight="1" x14ac:dyDescent="0.2">
      <c r="A602" s="8"/>
      <c r="B602" s="8"/>
      <c r="C602" s="197"/>
      <c r="D602" s="8"/>
      <c r="E602" s="197"/>
      <c r="F602" s="197"/>
      <c r="G602" s="197"/>
      <c r="H602" s="197"/>
      <c r="I602" s="197"/>
      <c r="J602" s="8"/>
      <c r="K602" s="197"/>
      <c r="L602" s="8"/>
      <c r="M602" s="197"/>
      <c r="N602" s="197"/>
      <c r="O602" s="197"/>
      <c r="P602" s="197"/>
      <c r="Q602" s="197"/>
      <c r="R602" s="197"/>
      <c r="S602" s="197"/>
      <c r="T602" s="13"/>
      <c r="U602" s="13"/>
      <c r="V602" s="13"/>
      <c r="W602" s="13"/>
      <c r="X602" s="13"/>
      <c r="Y602" s="13"/>
      <c r="Z602" s="13"/>
    </row>
    <row r="603" spans="1:26" ht="12.75" customHeight="1" x14ac:dyDescent="0.2">
      <c r="A603" s="8"/>
      <c r="B603" s="8"/>
      <c r="C603" s="197"/>
      <c r="D603" s="8"/>
      <c r="E603" s="197"/>
      <c r="F603" s="197"/>
      <c r="G603" s="197"/>
      <c r="H603" s="197"/>
      <c r="I603" s="197"/>
      <c r="J603" s="8"/>
      <c r="K603" s="197"/>
      <c r="L603" s="8"/>
      <c r="M603" s="197"/>
      <c r="N603" s="197"/>
      <c r="O603" s="197"/>
      <c r="P603" s="197"/>
      <c r="Q603" s="197"/>
      <c r="R603" s="197"/>
      <c r="S603" s="197"/>
      <c r="T603" s="13"/>
      <c r="U603" s="13"/>
      <c r="V603" s="13"/>
      <c r="W603" s="13"/>
      <c r="X603" s="13"/>
      <c r="Y603" s="13"/>
      <c r="Z603" s="13"/>
    </row>
    <row r="604" spans="1:26" ht="12.75" customHeight="1" x14ac:dyDescent="0.2">
      <c r="A604" s="8"/>
      <c r="B604" s="8"/>
      <c r="C604" s="197"/>
      <c r="D604" s="8"/>
      <c r="E604" s="197"/>
      <c r="F604" s="197"/>
      <c r="G604" s="197"/>
      <c r="H604" s="197"/>
      <c r="I604" s="197"/>
      <c r="J604" s="8"/>
      <c r="K604" s="197"/>
      <c r="L604" s="8"/>
      <c r="M604" s="197"/>
      <c r="N604" s="197"/>
      <c r="O604" s="197"/>
      <c r="P604" s="197"/>
      <c r="Q604" s="197"/>
      <c r="R604" s="197"/>
      <c r="S604" s="197"/>
      <c r="T604" s="13"/>
      <c r="U604" s="13"/>
      <c r="V604" s="13"/>
      <c r="W604" s="13"/>
      <c r="X604" s="13"/>
      <c r="Y604" s="13"/>
      <c r="Z604" s="13"/>
    </row>
    <row r="605" spans="1:26" ht="12.75" customHeight="1" x14ac:dyDescent="0.2">
      <c r="A605" s="8"/>
      <c r="B605" s="8"/>
      <c r="C605" s="197"/>
      <c r="D605" s="8"/>
      <c r="E605" s="197"/>
      <c r="F605" s="197"/>
      <c r="G605" s="197"/>
      <c r="H605" s="197"/>
      <c r="I605" s="197"/>
      <c r="J605" s="8"/>
      <c r="K605" s="197"/>
      <c r="L605" s="8"/>
      <c r="M605" s="197"/>
      <c r="N605" s="197"/>
      <c r="O605" s="197"/>
      <c r="P605" s="197"/>
      <c r="Q605" s="197"/>
      <c r="R605" s="197"/>
      <c r="S605" s="197"/>
      <c r="T605" s="13"/>
      <c r="U605" s="13"/>
      <c r="V605" s="13"/>
      <c r="W605" s="13"/>
      <c r="X605" s="13"/>
      <c r="Y605" s="13"/>
      <c r="Z605" s="13"/>
    </row>
    <row r="606" spans="1:26" ht="12.75" customHeight="1" x14ac:dyDescent="0.2">
      <c r="A606" s="8"/>
      <c r="B606" s="8"/>
      <c r="C606" s="197"/>
      <c r="D606" s="8"/>
      <c r="E606" s="197"/>
      <c r="F606" s="197"/>
      <c r="G606" s="197"/>
      <c r="H606" s="197"/>
      <c r="I606" s="197"/>
      <c r="J606" s="8"/>
      <c r="K606" s="197"/>
      <c r="L606" s="8"/>
      <c r="M606" s="197"/>
      <c r="N606" s="197"/>
      <c r="O606" s="197"/>
      <c r="P606" s="197"/>
      <c r="Q606" s="197"/>
      <c r="R606" s="197"/>
      <c r="S606" s="197"/>
      <c r="T606" s="13"/>
      <c r="U606" s="13"/>
      <c r="V606" s="13"/>
      <c r="W606" s="13"/>
      <c r="X606" s="13"/>
      <c r="Y606" s="13"/>
      <c r="Z606" s="13"/>
    </row>
    <row r="607" spans="1:26" ht="12.75" customHeight="1" x14ac:dyDescent="0.2">
      <c r="A607" s="8"/>
      <c r="B607" s="8"/>
      <c r="C607" s="197"/>
      <c r="D607" s="8"/>
      <c r="E607" s="197"/>
      <c r="F607" s="197"/>
      <c r="G607" s="197"/>
      <c r="H607" s="197"/>
      <c r="I607" s="197"/>
      <c r="J607" s="8"/>
      <c r="K607" s="197"/>
      <c r="L607" s="8"/>
      <c r="M607" s="197"/>
      <c r="N607" s="197"/>
      <c r="O607" s="197"/>
      <c r="P607" s="197"/>
      <c r="Q607" s="197"/>
      <c r="R607" s="197"/>
      <c r="S607" s="197"/>
      <c r="T607" s="13"/>
      <c r="U607" s="13"/>
      <c r="V607" s="13"/>
      <c r="W607" s="13"/>
      <c r="X607" s="13"/>
      <c r="Y607" s="13"/>
      <c r="Z607" s="13"/>
    </row>
    <row r="608" spans="1:26" ht="12.75" customHeight="1" x14ac:dyDescent="0.2">
      <c r="A608" s="8"/>
      <c r="B608" s="8"/>
      <c r="C608" s="197"/>
      <c r="D608" s="8"/>
      <c r="E608" s="197"/>
      <c r="F608" s="197"/>
      <c r="G608" s="197"/>
      <c r="H608" s="197"/>
      <c r="I608" s="197"/>
      <c r="J608" s="8"/>
      <c r="K608" s="197"/>
      <c r="L608" s="8"/>
      <c r="M608" s="197"/>
      <c r="N608" s="197"/>
      <c r="O608" s="197"/>
      <c r="P608" s="197"/>
      <c r="Q608" s="197"/>
      <c r="R608" s="197"/>
      <c r="S608" s="197"/>
      <c r="T608" s="13"/>
      <c r="U608" s="13"/>
      <c r="V608" s="13"/>
      <c r="W608" s="13"/>
      <c r="X608" s="13"/>
      <c r="Y608" s="13"/>
      <c r="Z608" s="13"/>
    </row>
    <row r="609" spans="1:26" ht="12.75" customHeight="1" x14ac:dyDescent="0.2">
      <c r="A609" s="8"/>
      <c r="B609" s="8"/>
      <c r="C609" s="197"/>
      <c r="D609" s="8"/>
      <c r="E609" s="197"/>
      <c r="F609" s="197"/>
      <c r="G609" s="197"/>
      <c r="H609" s="197"/>
      <c r="I609" s="197"/>
      <c r="J609" s="8"/>
      <c r="K609" s="197"/>
      <c r="L609" s="8"/>
      <c r="M609" s="197"/>
      <c r="N609" s="197"/>
      <c r="O609" s="197"/>
      <c r="P609" s="197"/>
      <c r="Q609" s="197"/>
      <c r="R609" s="197"/>
      <c r="S609" s="197"/>
      <c r="T609" s="13"/>
      <c r="U609" s="13"/>
      <c r="V609" s="13"/>
      <c r="W609" s="13"/>
      <c r="X609" s="13"/>
      <c r="Y609" s="13"/>
      <c r="Z609" s="13"/>
    </row>
    <row r="610" spans="1:26" ht="12.75" customHeight="1" x14ac:dyDescent="0.2">
      <c r="A610" s="8"/>
      <c r="B610" s="8"/>
      <c r="C610" s="197"/>
      <c r="D610" s="8"/>
      <c r="E610" s="197"/>
      <c r="F610" s="197"/>
      <c r="G610" s="197"/>
      <c r="H610" s="197"/>
      <c r="I610" s="197"/>
      <c r="J610" s="8"/>
      <c r="K610" s="197"/>
      <c r="L610" s="8"/>
      <c r="M610" s="197"/>
      <c r="N610" s="197"/>
      <c r="O610" s="197"/>
      <c r="P610" s="197"/>
      <c r="Q610" s="197"/>
      <c r="R610" s="197"/>
      <c r="S610" s="197"/>
      <c r="T610" s="13"/>
      <c r="U610" s="13"/>
      <c r="V610" s="13"/>
      <c r="W610" s="13"/>
      <c r="X610" s="13"/>
      <c r="Y610" s="13"/>
      <c r="Z610" s="13"/>
    </row>
    <row r="611" spans="1:26" ht="12.75" customHeight="1" x14ac:dyDescent="0.2">
      <c r="A611" s="8"/>
      <c r="B611" s="8"/>
      <c r="C611" s="197"/>
      <c r="D611" s="8"/>
      <c r="E611" s="197"/>
      <c r="F611" s="197"/>
      <c r="G611" s="197"/>
      <c r="H611" s="197"/>
      <c r="I611" s="197"/>
      <c r="J611" s="8"/>
      <c r="K611" s="197"/>
      <c r="L611" s="8"/>
      <c r="M611" s="197"/>
      <c r="N611" s="197"/>
      <c r="O611" s="197"/>
      <c r="P611" s="197"/>
      <c r="Q611" s="197"/>
      <c r="R611" s="197"/>
      <c r="S611" s="197"/>
      <c r="T611" s="13"/>
      <c r="U611" s="13"/>
      <c r="V611" s="13"/>
      <c r="W611" s="13"/>
      <c r="X611" s="13"/>
      <c r="Y611" s="13"/>
      <c r="Z611" s="13"/>
    </row>
    <row r="612" spans="1:26" ht="12.75" customHeight="1" x14ac:dyDescent="0.2">
      <c r="A612" s="8"/>
      <c r="B612" s="8"/>
      <c r="C612" s="197"/>
      <c r="D612" s="8"/>
      <c r="E612" s="197"/>
      <c r="F612" s="197"/>
      <c r="G612" s="197"/>
      <c r="H612" s="197"/>
      <c r="I612" s="197"/>
      <c r="J612" s="8"/>
      <c r="K612" s="197"/>
      <c r="L612" s="8"/>
      <c r="M612" s="197"/>
      <c r="N612" s="197"/>
      <c r="O612" s="197"/>
      <c r="P612" s="197"/>
      <c r="Q612" s="197"/>
      <c r="R612" s="197"/>
      <c r="S612" s="197"/>
      <c r="T612" s="13"/>
      <c r="U612" s="13"/>
      <c r="V612" s="13"/>
      <c r="W612" s="13"/>
      <c r="X612" s="13"/>
      <c r="Y612" s="13"/>
      <c r="Z612" s="13"/>
    </row>
    <row r="613" spans="1:26" ht="12.75" customHeight="1" x14ac:dyDescent="0.2">
      <c r="A613" s="8"/>
      <c r="B613" s="8"/>
      <c r="C613" s="197"/>
      <c r="D613" s="8"/>
      <c r="E613" s="197"/>
      <c r="F613" s="197"/>
      <c r="G613" s="197"/>
      <c r="H613" s="197"/>
      <c r="I613" s="197"/>
      <c r="J613" s="8"/>
      <c r="K613" s="197"/>
      <c r="L613" s="8"/>
      <c r="M613" s="197"/>
      <c r="N613" s="197"/>
      <c r="O613" s="197"/>
      <c r="P613" s="197"/>
      <c r="Q613" s="197"/>
      <c r="R613" s="197"/>
      <c r="S613" s="197"/>
      <c r="T613" s="13"/>
      <c r="U613" s="13"/>
      <c r="V613" s="13"/>
      <c r="W613" s="13"/>
      <c r="X613" s="13"/>
      <c r="Y613" s="13"/>
      <c r="Z613" s="13"/>
    </row>
    <row r="614" spans="1:26" ht="12.75" customHeight="1" x14ac:dyDescent="0.2">
      <c r="A614" s="8"/>
      <c r="B614" s="8"/>
      <c r="C614" s="197"/>
      <c r="D614" s="8"/>
      <c r="E614" s="197"/>
      <c r="F614" s="197"/>
      <c r="G614" s="197"/>
      <c r="H614" s="197"/>
      <c r="I614" s="197"/>
      <c r="J614" s="8"/>
      <c r="K614" s="197"/>
      <c r="L614" s="8"/>
      <c r="M614" s="197"/>
      <c r="N614" s="197"/>
      <c r="O614" s="197"/>
      <c r="P614" s="197"/>
      <c r="Q614" s="197"/>
      <c r="R614" s="197"/>
      <c r="S614" s="197"/>
      <c r="T614" s="13"/>
      <c r="U614" s="13"/>
      <c r="V614" s="13"/>
      <c r="W614" s="13"/>
      <c r="X614" s="13"/>
      <c r="Y614" s="13"/>
      <c r="Z614" s="13"/>
    </row>
    <row r="615" spans="1:26" ht="12.75" customHeight="1" x14ac:dyDescent="0.2">
      <c r="A615" s="8"/>
      <c r="B615" s="8"/>
      <c r="C615" s="197"/>
      <c r="D615" s="8"/>
      <c r="E615" s="197"/>
      <c r="F615" s="197"/>
      <c r="G615" s="197"/>
      <c r="H615" s="197"/>
      <c r="I615" s="197"/>
      <c r="J615" s="8"/>
      <c r="K615" s="197"/>
      <c r="L615" s="8"/>
      <c r="M615" s="197"/>
      <c r="N615" s="197"/>
      <c r="O615" s="197"/>
      <c r="P615" s="197"/>
      <c r="Q615" s="197"/>
      <c r="R615" s="197"/>
      <c r="S615" s="197"/>
      <c r="T615" s="13"/>
      <c r="U615" s="13"/>
      <c r="V615" s="13"/>
      <c r="W615" s="13"/>
      <c r="X615" s="13"/>
      <c r="Y615" s="13"/>
      <c r="Z615" s="13"/>
    </row>
    <row r="616" spans="1:26" ht="12.75" customHeight="1" x14ac:dyDescent="0.2">
      <c r="A616" s="8"/>
      <c r="B616" s="8"/>
      <c r="C616" s="197"/>
      <c r="D616" s="8"/>
      <c r="E616" s="197"/>
      <c r="F616" s="197"/>
      <c r="G616" s="197"/>
      <c r="H616" s="197"/>
      <c r="I616" s="197"/>
      <c r="J616" s="8"/>
      <c r="K616" s="197"/>
      <c r="L616" s="8"/>
      <c r="M616" s="197"/>
      <c r="N616" s="197"/>
      <c r="O616" s="197"/>
      <c r="P616" s="197"/>
      <c r="Q616" s="197"/>
      <c r="R616" s="197"/>
      <c r="S616" s="197"/>
      <c r="T616" s="13"/>
      <c r="U616" s="13"/>
      <c r="V616" s="13"/>
      <c r="W616" s="13"/>
      <c r="X616" s="13"/>
      <c r="Y616" s="13"/>
      <c r="Z616" s="13"/>
    </row>
    <row r="617" spans="1:26" ht="12.75" customHeight="1" x14ac:dyDescent="0.2">
      <c r="A617" s="8"/>
      <c r="B617" s="8"/>
      <c r="C617" s="197"/>
      <c r="D617" s="8"/>
      <c r="E617" s="197"/>
      <c r="F617" s="197"/>
      <c r="G617" s="197"/>
      <c r="H617" s="197"/>
      <c r="I617" s="197"/>
      <c r="J617" s="8"/>
      <c r="K617" s="197"/>
      <c r="L617" s="8"/>
      <c r="M617" s="197"/>
      <c r="N617" s="197"/>
      <c r="O617" s="197"/>
      <c r="P617" s="197"/>
      <c r="Q617" s="197"/>
      <c r="R617" s="197"/>
      <c r="S617" s="197"/>
      <c r="T617" s="13"/>
      <c r="U617" s="13"/>
      <c r="V617" s="13"/>
      <c r="W617" s="13"/>
      <c r="X617" s="13"/>
      <c r="Y617" s="13"/>
      <c r="Z617" s="13"/>
    </row>
    <row r="618" spans="1:26" ht="12.75" customHeight="1" x14ac:dyDescent="0.2">
      <c r="A618" s="8"/>
      <c r="B618" s="8"/>
      <c r="C618" s="197"/>
      <c r="D618" s="8"/>
      <c r="E618" s="197"/>
      <c r="F618" s="197"/>
      <c r="G618" s="197"/>
      <c r="H618" s="197"/>
      <c r="I618" s="197"/>
      <c r="J618" s="8"/>
      <c r="K618" s="197"/>
      <c r="L618" s="8"/>
      <c r="M618" s="197"/>
      <c r="N618" s="197"/>
      <c r="O618" s="197"/>
      <c r="P618" s="197"/>
      <c r="Q618" s="197"/>
      <c r="R618" s="197"/>
      <c r="S618" s="197"/>
      <c r="T618" s="13"/>
      <c r="U618" s="13"/>
      <c r="V618" s="13"/>
      <c r="W618" s="13"/>
      <c r="X618" s="13"/>
      <c r="Y618" s="13"/>
      <c r="Z618" s="13"/>
    </row>
    <row r="619" spans="1:26" ht="12.75" customHeight="1" x14ac:dyDescent="0.2">
      <c r="A619" s="8"/>
      <c r="B619" s="8"/>
      <c r="C619" s="197"/>
      <c r="D619" s="8"/>
      <c r="E619" s="197"/>
      <c r="F619" s="197"/>
      <c r="G619" s="197"/>
      <c r="H619" s="197"/>
      <c r="I619" s="197"/>
      <c r="J619" s="8"/>
      <c r="K619" s="197"/>
      <c r="L619" s="8"/>
      <c r="M619" s="197"/>
      <c r="N619" s="197"/>
      <c r="O619" s="197"/>
      <c r="P619" s="197"/>
      <c r="Q619" s="197"/>
      <c r="R619" s="197"/>
      <c r="S619" s="197"/>
      <c r="T619" s="13"/>
      <c r="U619" s="13"/>
      <c r="V619" s="13"/>
      <c r="W619" s="13"/>
      <c r="X619" s="13"/>
      <c r="Y619" s="13"/>
      <c r="Z619" s="13"/>
    </row>
    <row r="620" spans="1:26" ht="12.75" customHeight="1" x14ac:dyDescent="0.2">
      <c r="A620" s="8"/>
      <c r="B620" s="8"/>
      <c r="C620" s="197"/>
      <c r="D620" s="8"/>
      <c r="E620" s="197"/>
      <c r="F620" s="197"/>
      <c r="G620" s="197"/>
      <c r="H620" s="197"/>
      <c r="I620" s="197"/>
      <c r="J620" s="8"/>
      <c r="K620" s="197"/>
      <c r="L620" s="8"/>
      <c r="M620" s="197"/>
      <c r="N620" s="197"/>
      <c r="O620" s="197"/>
      <c r="P620" s="197"/>
      <c r="Q620" s="197"/>
      <c r="R620" s="197"/>
      <c r="S620" s="197"/>
      <c r="T620" s="13"/>
      <c r="U620" s="13"/>
      <c r="V620" s="13"/>
      <c r="W620" s="13"/>
      <c r="X620" s="13"/>
      <c r="Y620" s="13"/>
      <c r="Z620" s="13"/>
    </row>
    <row r="621" spans="1:26" ht="12.75" customHeight="1" x14ac:dyDescent="0.2">
      <c r="A621" s="8"/>
      <c r="B621" s="8"/>
      <c r="C621" s="197"/>
      <c r="D621" s="8"/>
      <c r="E621" s="197"/>
      <c r="F621" s="197"/>
      <c r="G621" s="197"/>
      <c r="H621" s="197"/>
      <c r="I621" s="197"/>
      <c r="J621" s="8"/>
      <c r="K621" s="197"/>
      <c r="L621" s="8"/>
      <c r="M621" s="197"/>
      <c r="N621" s="197"/>
      <c r="O621" s="197"/>
      <c r="P621" s="197"/>
      <c r="Q621" s="197"/>
      <c r="R621" s="197"/>
      <c r="S621" s="197"/>
      <c r="T621" s="13"/>
      <c r="U621" s="13"/>
      <c r="V621" s="13"/>
      <c r="W621" s="13"/>
      <c r="X621" s="13"/>
      <c r="Y621" s="13"/>
      <c r="Z621" s="13"/>
    </row>
    <row r="622" spans="1:26" ht="12.75" customHeight="1" x14ac:dyDescent="0.2">
      <c r="A622" s="8"/>
      <c r="B622" s="8"/>
      <c r="C622" s="197"/>
      <c r="D622" s="8"/>
      <c r="E622" s="197"/>
      <c r="F622" s="197"/>
      <c r="G622" s="197"/>
      <c r="H622" s="197"/>
      <c r="I622" s="197"/>
      <c r="J622" s="8"/>
      <c r="K622" s="197"/>
      <c r="L622" s="8"/>
      <c r="M622" s="197"/>
      <c r="N622" s="197"/>
      <c r="O622" s="197"/>
      <c r="P622" s="197"/>
      <c r="Q622" s="197"/>
      <c r="R622" s="197"/>
      <c r="S622" s="197"/>
      <c r="T622" s="13"/>
      <c r="U622" s="13"/>
      <c r="V622" s="13"/>
      <c r="W622" s="13"/>
      <c r="X622" s="13"/>
      <c r="Y622" s="13"/>
      <c r="Z622" s="13"/>
    </row>
    <row r="623" spans="1:26" ht="12.75" customHeight="1" x14ac:dyDescent="0.2">
      <c r="A623" s="8"/>
      <c r="B623" s="8"/>
      <c r="C623" s="197"/>
      <c r="D623" s="8"/>
      <c r="E623" s="197"/>
      <c r="F623" s="197"/>
      <c r="G623" s="197"/>
      <c r="H623" s="197"/>
      <c r="I623" s="197"/>
      <c r="J623" s="8"/>
      <c r="K623" s="197"/>
      <c r="L623" s="8"/>
      <c r="M623" s="197"/>
      <c r="N623" s="197"/>
      <c r="O623" s="197"/>
      <c r="P623" s="197"/>
      <c r="Q623" s="197"/>
      <c r="R623" s="197"/>
      <c r="S623" s="197"/>
      <c r="T623" s="13"/>
      <c r="U623" s="13"/>
      <c r="V623" s="13"/>
      <c r="W623" s="13"/>
      <c r="X623" s="13"/>
      <c r="Y623" s="13"/>
      <c r="Z623" s="13"/>
    </row>
    <row r="624" spans="1:26" ht="12.75" customHeight="1" x14ac:dyDescent="0.2">
      <c r="A624" s="8"/>
      <c r="B624" s="8"/>
      <c r="C624" s="197"/>
      <c r="D624" s="8"/>
      <c r="E624" s="197"/>
      <c r="F624" s="197"/>
      <c r="G624" s="197"/>
      <c r="H624" s="197"/>
      <c r="I624" s="197"/>
      <c r="J624" s="8"/>
      <c r="K624" s="197"/>
      <c r="L624" s="8"/>
      <c r="M624" s="197"/>
      <c r="N624" s="197"/>
      <c r="O624" s="197"/>
      <c r="P624" s="197"/>
      <c r="Q624" s="197"/>
      <c r="R624" s="197"/>
      <c r="S624" s="197"/>
      <c r="T624" s="13"/>
      <c r="U624" s="13"/>
      <c r="V624" s="13"/>
      <c r="W624" s="13"/>
      <c r="X624" s="13"/>
      <c r="Y624" s="13"/>
      <c r="Z624" s="13"/>
    </row>
    <row r="625" spans="1:26" ht="12.75" customHeight="1" x14ac:dyDescent="0.2">
      <c r="A625" s="8"/>
      <c r="B625" s="8"/>
      <c r="C625" s="197"/>
      <c r="D625" s="8"/>
      <c r="E625" s="197"/>
      <c r="F625" s="197"/>
      <c r="G625" s="197"/>
      <c r="H625" s="197"/>
      <c r="I625" s="197"/>
      <c r="J625" s="8"/>
      <c r="K625" s="197"/>
      <c r="L625" s="8"/>
      <c r="M625" s="197"/>
      <c r="N625" s="197"/>
      <c r="O625" s="197"/>
      <c r="P625" s="197"/>
      <c r="Q625" s="197"/>
      <c r="R625" s="197"/>
      <c r="S625" s="197"/>
      <c r="T625" s="13"/>
      <c r="U625" s="13"/>
      <c r="V625" s="13"/>
      <c r="W625" s="13"/>
      <c r="X625" s="13"/>
      <c r="Y625" s="13"/>
      <c r="Z625" s="13"/>
    </row>
    <row r="626" spans="1:26" ht="12.75" customHeight="1" x14ac:dyDescent="0.2">
      <c r="A626" s="8"/>
      <c r="B626" s="8"/>
      <c r="C626" s="197"/>
      <c r="D626" s="8"/>
      <c r="E626" s="197"/>
      <c r="F626" s="197"/>
      <c r="G626" s="197"/>
      <c r="H626" s="197"/>
      <c r="I626" s="197"/>
      <c r="J626" s="8"/>
      <c r="K626" s="197"/>
      <c r="L626" s="8"/>
      <c r="M626" s="197"/>
      <c r="N626" s="197"/>
      <c r="O626" s="197"/>
      <c r="P626" s="197"/>
      <c r="Q626" s="197"/>
      <c r="R626" s="197"/>
      <c r="S626" s="197"/>
      <c r="T626" s="13"/>
      <c r="U626" s="13"/>
      <c r="V626" s="13"/>
      <c r="W626" s="13"/>
      <c r="X626" s="13"/>
      <c r="Y626" s="13"/>
      <c r="Z626" s="13"/>
    </row>
    <row r="627" spans="1:26" ht="12.75" customHeight="1" x14ac:dyDescent="0.2">
      <c r="A627" s="8"/>
      <c r="B627" s="8"/>
      <c r="C627" s="197"/>
      <c r="D627" s="8"/>
      <c r="E627" s="197"/>
      <c r="F627" s="197"/>
      <c r="G627" s="197"/>
      <c r="H627" s="197"/>
      <c r="I627" s="197"/>
      <c r="J627" s="8"/>
      <c r="K627" s="197"/>
      <c r="L627" s="8"/>
      <c r="M627" s="197"/>
      <c r="N627" s="197"/>
      <c r="O627" s="197"/>
      <c r="P627" s="197"/>
      <c r="Q627" s="197"/>
      <c r="R627" s="197"/>
      <c r="S627" s="197"/>
      <c r="T627" s="13"/>
      <c r="U627" s="13"/>
      <c r="V627" s="13"/>
      <c r="W627" s="13"/>
      <c r="X627" s="13"/>
      <c r="Y627" s="13"/>
      <c r="Z627" s="13"/>
    </row>
    <row r="628" spans="1:26" ht="12.75" customHeight="1" x14ac:dyDescent="0.2">
      <c r="A628" s="8"/>
      <c r="B628" s="8"/>
      <c r="C628" s="197"/>
      <c r="D628" s="8"/>
      <c r="E628" s="197"/>
      <c r="F628" s="197"/>
      <c r="G628" s="197"/>
      <c r="H628" s="197"/>
      <c r="I628" s="197"/>
      <c r="J628" s="8"/>
      <c r="K628" s="197"/>
      <c r="L628" s="8"/>
      <c r="M628" s="197"/>
      <c r="N628" s="197"/>
      <c r="O628" s="197"/>
      <c r="P628" s="197"/>
      <c r="Q628" s="197"/>
      <c r="R628" s="197"/>
      <c r="S628" s="197"/>
      <c r="T628" s="13"/>
      <c r="U628" s="13"/>
      <c r="V628" s="13"/>
      <c r="W628" s="13"/>
      <c r="X628" s="13"/>
      <c r="Y628" s="13"/>
      <c r="Z628" s="13"/>
    </row>
    <row r="629" spans="1:26" ht="12.75" customHeight="1" x14ac:dyDescent="0.2">
      <c r="A629" s="8"/>
      <c r="B629" s="8"/>
      <c r="C629" s="197"/>
      <c r="D629" s="8"/>
      <c r="E629" s="197"/>
      <c r="F629" s="197"/>
      <c r="G629" s="197"/>
      <c r="H629" s="197"/>
      <c r="I629" s="197"/>
      <c r="J629" s="8"/>
      <c r="K629" s="197"/>
      <c r="L629" s="8"/>
      <c r="M629" s="197"/>
      <c r="N629" s="197"/>
      <c r="O629" s="197"/>
      <c r="P629" s="197"/>
      <c r="Q629" s="197"/>
      <c r="R629" s="197"/>
      <c r="S629" s="197"/>
      <c r="T629" s="13"/>
      <c r="U629" s="13"/>
      <c r="V629" s="13"/>
      <c r="W629" s="13"/>
      <c r="X629" s="13"/>
      <c r="Y629" s="13"/>
      <c r="Z629" s="13"/>
    </row>
    <row r="630" spans="1:26" ht="12.75" customHeight="1" x14ac:dyDescent="0.2">
      <c r="A630" s="8"/>
      <c r="B630" s="8"/>
      <c r="C630" s="197"/>
      <c r="D630" s="8"/>
      <c r="E630" s="197"/>
      <c r="F630" s="197"/>
      <c r="G630" s="197"/>
      <c r="H630" s="197"/>
      <c r="I630" s="197"/>
      <c r="J630" s="8"/>
      <c r="K630" s="197"/>
      <c r="L630" s="8"/>
      <c r="M630" s="197"/>
      <c r="N630" s="197"/>
      <c r="O630" s="197"/>
      <c r="P630" s="197"/>
      <c r="Q630" s="197"/>
      <c r="R630" s="197"/>
      <c r="S630" s="197"/>
      <c r="T630" s="13"/>
      <c r="U630" s="13"/>
      <c r="V630" s="13"/>
      <c r="W630" s="13"/>
      <c r="X630" s="13"/>
      <c r="Y630" s="13"/>
      <c r="Z630" s="13"/>
    </row>
    <row r="631" spans="1:26" ht="12.75" customHeight="1" x14ac:dyDescent="0.2">
      <c r="A631" s="8"/>
      <c r="B631" s="8"/>
      <c r="C631" s="197"/>
      <c r="D631" s="8"/>
      <c r="E631" s="197"/>
      <c r="F631" s="197"/>
      <c r="G631" s="197"/>
      <c r="H631" s="197"/>
      <c r="I631" s="197"/>
      <c r="J631" s="8"/>
      <c r="K631" s="197"/>
      <c r="L631" s="8"/>
      <c r="M631" s="197"/>
      <c r="N631" s="197"/>
      <c r="O631" s="197"/>
      <c r="P631" s="197"/>
      <c r="Q631" s="197"/>
      <c r="R631" s="197"/>
      <c r="S631" s="197"/>
      <c r="T631" s="13"/>
      <c r="U631" s="13"/>
      <c r="V631" s="13"/>
      <c r="W631" s="13"/>
      <c r="X631" s="13"/>
      <c r="Y631" s="13"/>
      <c r="Z631" s="13"/>
    </row>
    <row r="632" spans="1:26" ht="12.75" customHeight="1" x14ac:dyDescent="0.2">
      <c r="A632" s="8"/>
      <c r="B632" s="8"/>
      <c r="C632" s="197"/>
      <c r="D632" s="8"/>
      <c r="E632" s="197"/>
      <c r="F632" s="197"/>
      <c r="G632" s="197"/>
      <c r="H632" s="197"/>
      <c r="I632" s="197"/>
      <c r="J632" s="8"/>
      <c r="K632" s="197"/>
      <c r="L632" s="8"/>
      <c r="M632" s="197"/>
      <c r="N632" s="197"/>
      <c r="O632" s="197"/>
      <c r="P632" s="197"/>
      <c r="Q632" s="197"/>
      <c r="R632" s="197"/>
      <c r="S632" s="197"/>
      <c r="T632" s="13"/>
      <c r="U632" s="13"/>
      <c r="V632" s="13"/>
      <c r="W632" s="13"/>
      <c r="X632" s="13"/>
      <c r="Y632" s="13"/>
      <c r="Z632" s="13"/>
    </row>
    <row r="633" spans="1:26" ht="12.75" customHeight="1" x14ac:dyDescent="0.2">
      <c r="A633" s="8"/>
      <c r="B633" s="8"/>
      <c r="C633" s="197"/>
      <c r="D633" s="8"/>
      <c r="E633" s="197"/>
      <c r="F633" s="197"/>
      <c r="G633" s="197"/>
      <c r="H633" s="197"/>
      <c r="I633" s="197"/>
      <c r="J633" s="8"/>
      <c r="K633" s="197"/>
      <c r="L633" s="8"/>
      <c r="M633" s="197"/>
      <c r="N633" s="197"/>
      <c r="O633" s="197"/>
      <c r="P633" s="197"/>
      <c r="Q633" s="197"/>
      <c r="R633" s="197"/>
      <c r="S633" s="197"/>
      <c r="T633" s="13"/>
      <c r="U633" s="13"/>
      <c r="V633" s="13"/>
      <c r="W633" s="13"/>
      <c r="X633" s="13"/>
      <c r="Y633" s="13"/>
      <c r="Z633" s="13"/>
    </row>
    <row r="634" spans="1:26" ht="12.75" customHeight="1" x14ac:dyDescent="0.2">
      <c r="A634" s="8"/>
      <c r="B634" s="8"/>
      <c r="C634" s="197"/>
      <c r="D634" s="8"/>
      <c r="E634" s="197"/>
      <c r="F634" s="197"/>
      <c r="G634" s="197"/>
      <c r="H634" s="197"/>
      <c r="I634" s="197"/>
      <c r="J634" s="8"/>
      <c r="K634" s="197"/>
      <c r="L634" s="8"/>
      <c r="M634" s="197"/>
      <c r="N634" s="197"/>
      <c r="O634" s="197"/>
      <c r="P634" s="197"/>
      <c r="Q634" s="197"/>
      <c r="R634" s="197"/>
      <c r="S634" s="197"/>
      <c r="T634" s="13"/>
      <c r="U634" s="13"/>
      <c r="V634" s="13"/>
      <c r="W634" s="13"/>
      <c r="X634" s="13"/>
      <c r="Y634" s="13"/>
      <c r="Z634" s="13"/>
    </row>
    <row r="635" spans="1:26" ht="12.75" customHeight="1" x14ac:dyDescent="0.2">
      <c r="A635" s="8"/>
      <c r="B635" s="8"/>
      <c r="C635" s="197"/>
      <c r="D635" s="8"/>
      <c r="E635" s="197"/>
      <c r="F635" s="197"/>
      <c r="G635" s="197"/>
      <c r="H635" s="197"/>
      <c r="I635" s="197"/>
      <c r="J635" s="8"/>
      <c r="K635" s="197"/>
      <c r="L635" s="8"/>
      <c r="M635" s="197"/>
      <c r="N635" s="197"/>
      <c r="O635" s="197"/>
      <c r="P635" s="197"/>
      <c r="Q635" s="197"/>
      <c r="R635" s="197"/>
      <c r="S635" s="197"/>
      <c r="T635" s="13"/>
      <c r="U635" s="13"/>
      <c r="V635" s="13"/>
      <c r="W635" s="13"/>
      <c r="X635" s="13"/>
      <c r="Y635" s="13"/>
      <c r="Z635" s="13"/>
    </row>
    <row r="636" spans="1:26" ht="12.75" customHeight="1" x14ac:dyDescent="0.2">
      <c r="A636" s="8"/>
      <c r="B636" s="8"/>
      <c r="C636" s="197"/>
      <c r="D636" s="8"/>
      <c r="E636" s="197"/>
      <c r="F636" s="197"/>
      <c r="G636" s="197"/>
      <c r="H636" s="197"/>
      <c r="I636" s="197"/>
      <c r="J636" s="8"/>
      <c r="K636" s="197"/>
      <c r="L636" s="8"/>
      <c r="M636" s="197"/>
      <c r="N636" s="197"/>
      <c r="O636" s="197"/>
      <c r="P636" s="197"/>
      <c r="Q636" s="197"/>
      <c r="R636" s="197"/>
      <c r="S636" s="197"/>
      <c r="T636" s="13"/>
      <c r="U636" s="13"/>
      <c r="V636" s="13"/>
      <c r="W636" s="13"/>
      <c r="X636" s="13"/>
      <c r="Y636" s="13"/>
      <c r="Z636" s="13"/>
    </row>
    <row r="637" spans="1:26" ht="12.75" customHeight="1" x14ac:dyDescent="0.2">
      <c r="A637" s="8"/>
      <c r="B637" s="8"/>
      <c r="C637" s="197"/>
      <c r="D637" s="8"/>
      <c r="E637" s="197"/>
      <c r="F637" s="197"/>
      <c r="G637" s="197"/>
      <c r="H637" s="197"/>
      <c r="I637" s="197"/>
      <c r="J637" s="8"/>
      <c r="K637" s="197"/>
      <c r="L637" s="8"/>
      <c r="M637" s="197"/>
      <c r="N637" s="197"/>
      <c r="O637" s="197"/>
      <c r="P637" s="197"/>
      <c r="Q637" s="197"/>
      <c r="R637" s="197"/>
      <c r="S637" s="197"/>
      <c r="T637" s="13"/>
      <c r="U637" s="13"/>
      <c r="V637" s="13"/>
      <c r="W637" s="13"/>
      <c r="X637" s="13"/>
      <c r="Y637" s="13"/>
      <c r="Z637" s="13"/>
    </row>
    <row r="638" spans="1:26" ht="12.75" customHeight="1" x14ac:dyDescent="0.2">
      <c r="A638" s="8"/>
      <c r="B638" s="8"/>
      <c r="C638" s="197"/>
      <c r="D638" s="8"/>
      <c r="E638" s="197"/>
      <c r="F638" s="197"/>
      <c r="G638" s="197"/>
      <c r="H638" s="197"/>
      <c r="I638" s="197"/>
      <c r="J638" s="8"/>
      <c r="K638" s="197"/>
      <c r="L638" s="8"/>
      <c r="M638" s="197"/>
      <c r="N638" s="197"/>
      <c r="O638" s="197"/>
      <c r="P638" s="197"/>
      <c r="Q638" s="197"/>
      <c r="R638" s="197"/>
      <c r="S638" s="197"/>
      <c r="T638" s="13"/>
      <c r="U638" s="13"/>
      <c r="V638" s="13"/>
      <c r="W638" s="13"/>
      <c r="X638" s="13"/>
      <c r="Y638" s="13"/>
      <c r="Z638" s="13"/>
    </row>
    <row r="639" spans="1:26" ht="12.75" customHeight="1" x14ac:dyDescent="0.2">
      <c r="A639" s="8"/>
      <c r="B639" s="8"/>
      <c r="C639" s="197"/>
      <c r="D639" s="8"/>
      <c r="E639" s="197"/>
      <c r="F639" s="197"/>
      <c r="G639" s="197"/>
      <c r="H639" s="197"/>
      <c r="I639" s="197"/>
      <c r="J639" s="8"/>
      <c r="K639" s="197"/>
      <c r="L639" s="8"/>
      <c r="M639" s="197"/>
      <c r="N639" s="197"/>
      <c r="O639" s="197"/>
      <c r="P639" s="197"/>
      <c r="Q639" s="197"/>
      <c r="R639" s="197"/>
      <c r="S639" s="197"/>
      <c r="T639" s="13"/>
      <c r="U639" s="13"/>
      <c r="V639" s="13"/>
      <c r="W639" s="13"/>
      <c r="X639" s="13"/>
      <c r="Y639" s="13"/>
      <c r="Z639" s="13"/>
    </row>
    <row r="640" spans="1:26" ht="12.75" customHeight="1" x14ac:dyDescent="0.2">
      <c r="A640" s="8"/>
      <c r="B640" s="8"/>
      <c r="C640" s="197"/>
      <c r="D640" s="8"/>
      <c r="E640" s="197"/>
      <c r="F640" s="197"/>
      <c r="G640" s="197"/>
      <c r="H640" s="197"/>
      <c r="I640" s="197"/>
      <c r="J640" s="8"/>
      <c r="K640" s="197"/>
      <c r="L640" s="8"/>
      <c r="M640" s="197"/>
      <c r="N640" s="197"/>
      <c r="O640" s="197"/>
      <c r="P640" s="197"/>
      <c r="Q640" s="197"/>
      <c r="R640" s="197"/>
      <c r="S640" s="197"/>
      <c r="T640" s="13"/>
      <c r="U640" s="13"/>
      <c r="V640" s="13"/>
      <c r="W640" s="13"/>
      <c r="X640" s="13"/>
      <c r="Y640" s="13"/>
      <c r="Z640" s="13"/>
    </row>
    <row r="641" spans="1:26" ht="12.75" customHeight="1" x14ac:dyDescent="0.2">
      <c r="A641" s="8"/>
      <c r="B641" s="8"/>
      <c r="C641" s="197"/>
      <c r="D641" s="8"/>
      <c r="E641" s="197"/>
      <c r="F641" s="197"/>
      <c r="G641" s="197"/>
      <c r="H641" s="197"/>
      <c r="I641" s="197"/>
      <c r="J641" s="8"/>
      <c r="K641" s="197"/>
      <c r="L641" s="8"/>
      <c r="M641" s="197"/>
      <c r="N641" s="197"/>
      <c r="O641" s="197"/>
      <c r="P641" s="197"/>
      <c r="Q641" s="197"/>
      <c r="R641" s="197"/>
      <c r="S641" s="197"/>
      <c r="T641" s="13"/>
      <c r="U641" s="13"/>
      <c r="V641" s="13"/>
      <c r="W641" s="13"/>
      <c r="X641" s="13"/>
      <c r="Y641" s="13"/>
      <c r="Z641" s="13"/>
    </row>
    <row r="642" spans="1:26" ht="12.75" customHeight="1" x14ac:dyDescent="0.2">
      <c r="A642" s="8"/>
      <c r="B642" s="8"/>
      <c r="C642" s="197"/>
      <c r="D642" s="8"/>
      <c r="E642" s="197"/>
      <c r="F642" s="197"/>
      <c r="G642" s="197"/>
      <c r="H642" s="197"/>
      <c r="I642" s="197"/>
      <c r="J642" s="8"/>
      <c r="K642" s="197"/>
      <c r="L642" s="8"/>
      <c r="M642" s="197"/>
      <c r="N642" s="197"/>
      <c r="O642" s="197"/>
      <c r="P642" s="197"/>
      <c r="Q642" s="197"/>
      <c r="R642" s="197"/>
      <c r="S642" s="197"/>
      <c r="T642" s="13"/>
      <c r="U642" s="13"/>
      <c r="V642" s="13"/>
      <c r="W642" s="13"/>
      <c r="X642" s="13"/>
      <c r="Y642" s="13"/>
      <c r="Z642" s="13"/>
    </row>
    <row r="643" spans="1:26" ht="12.75" customHeight="1" x14ac:dyDescent="0.2">
      <c r="A643" s="8"/>
      <c r="B643" s="8"/>
      <c r="C643" s="197"/>
      <c r="D643" s="8"/>
      <c r="E643" s="197"/>
      <c r="F643" s="197"/>
      <c r="G643" s="197"/>
      <c r="H643" s="197"/>
      <c r="I643" s="197"/>
      <c r="J643" s="8"/>
      <c r="K643" s="197"/>
      <c r="L643" s="8"/>
      <c r="M643" s="197"/>
      <c r="N643" s="197"/>
      <c r="O643" s="197"/>
      <c r="P643" s="197"/>
      <c r="Q643" s="197"/>
      <c r="R643" s="197"/>
      <c r="S643" s="197"/>
      <c r="T643" s="13"/>
      <c r="U643" s="13"/>
      <c r="V643" s="13"/>
      <c r="W643" s="13"/>
      <c r="X643" s="13"/>
      <c r="Y643" s="13"/>
      <c r="Z643" s="13"/>
    </row>
    <row r="644" spans="1:26" ht="12.75" customHeight="1" x14ac:dyDescent="0.2">
      <c r="A644" s="8"/>
      <c r="B644" s="8"/>
      <c r="C644" s="197"/>
      <c r="D644" s="8"/>
      <c r="E644" s="197"/>
      <c r="F644" s="197"/>
      <c r="G644" s="197"/>
      <c r="H644" s="197"/>
      <c r="I644" s="197"/>
      <c r="J644" s="8"/>
      <c r="K644" s="197"/>
      <c r="L644" s="8"/>
      <c r="M644" s="197"/>
      <c r="N644" s="197"/>
      <c r="O644" s="197"/>
      <c r="P644" s="197"/>
      <c r="Q644" s="197"/>
      <c r="R644" s="197"/>
      <c r="S644" s="197"/>
      <c r="T644" s="13"/>
      <c r="U644" s="13"/>
      <c r="V644" s="13"/>
      <c r="W644" s="13"/>
      <c r="X644" s="13"/>
      <c r="Y644" s="13"/>
      <c r="Z644" s="13"/>
    </row>
    <row r="645" spans="1:26" ht="12.75" customHeight="1" x14ac:dyDescent="0.2">
      <c r="A645" s="8"/>
      <c r="B645" s="8"/>
      <c r="C645" s="197"/>
      <c r="D645" s="8"/>
      <c r="E645" s="197"/>
      <c r="F645" s="197"/>
      <c r="G645" s="197"/>
      <c r="H645" s="197"/>
      <c r="I645" s="197"/>
      <c r="J645" s="8"/>
      <c r="K645" s="197"/>
      <c r="L645" s="8"/>
      <c r="M645" s="197"/>
      <c r="N645" s="197"/>
      <c r="O645" s="197"/>
      <c r="P645" s="197"/>
      <c r="Q645" s="197"/>
      <c r="R645" s="197"/>
      <c r="S645" s="197"/>
      <c r="T645" s="13"/>
      <c r="U645" s="13"/>
      <c r="V645" s="13"/>
      <c r="W645" s="13"/>
      <c r="X645" s="13"/>
      <c r="Y645" s="13"/>
      <c r="Z645" s="13"/>
    </row>
    <row r="646" spans="1:26" ht="12.75" customHeight="1" x14ac:dyDescent="0.2">
      <c r="A646" s="8"/>
      <c r="B646" s="8"/>
      <c r="C646" s="197"/>
      <c r="D646" s="8"/>
      <c r="E646" s="197"/>
      <c r="F646" s="197"/>
      <c r="G646" s="197"/>
      <c r="H646" s="197"/>
      <c r="I646" s="197"/>
      <c r="J646" s="8"/>
      <c r="K646" s="197"/>
      <c r="L646" s="8"/>
      <c r="M646" s="197"/>
      <c r="N646" s="197"/>
      <c r="O646" s="197"/>
      <c r="P646" s="197"/>
      <c r="Q646" s="197"/>
      <c r="R646" s="197"/>
      <c r="S646" s="197"/>
      <c r="T646" s="13"/>
      <c r="U646" s="13"/>
      <c r="V646" s="13"/>
      <c r="W646" s="13"/>
      <c r="X646" s="13"/>
      <c r="Y646" s="13"/>
      <c r="Z646" s="13"/>
    </row>
    <row r="647" spans="1:26" ht="12.75" customHeight="1" x14ac:dyDescent="0.2">
      <c r="A647" s="8"/>
      <c r="B647" s="8"/>
      <c r="C647" s="197"/>
      <c r="D647" s="8"/>
      <c r="E647" s="197"/>
      <c r="F647" s="197"/>
      <c r="G647" s="197"/>
      <c r="H647" s="197"/>
      <c r="I647" s="197"/>
      <c r="J647" s="8"/>
      <c r="K647" s="197"/>
      <c r="L647" s="8"/>
      <c r="M647" s="197"/>
      <c r="N647" s="197"/>
      <c r="O647" s="197"/>
      <c r="P647" s="197"/>
      <c r="Q647" s="197"/>
      <c r="R647" s="197"/>
      <c r="S647" s="197"/>
      <c r="T647" s="13"/>
      <c r="U647" s="13"/>
      <c r="V647" s="13"/>
      <c r="W647" s="13"/>
      <c r="X647" s="13"/>
      <c r="Y647" s="13"/>
      <c r="Z647" s="13"/>
    </row>
    <row r="648" spans="1:26" ht="12.75" customHeight="1" x14ac:dyDescent="0.2">
      <c r="A648" s="8"/>
      <c r="B648" s="8"/>
      <c r="C648" s="197"/>
      <c r="D648" s="8"/>
      <c r="E648" s="197"/>
      <c r="F648" s="197"/>
      <c r="G648" s="197"/>
      <c r="H648" s="197"/>
      <c r="I648" s="197"/>
      <c r="J648" s="8"/>
      <c r="K648" s="197"/>
      <c r="L648" s="8"/>
      <c r="M648" s="197"/>
      <c r="N648" s="197"/>
      <c r="O648" s="197"/>
      <c r="P648" s="197"/>
      <c r="Q648" s="197"/>
      <c r="R648" s="197"/>
      <c r="S648" s="197"/>
      <c r="T648" s="13"/>
      <c r="U648" s="13"/>
      <c r="V648" s="13"/>
      <c r="W648" s="13"/>
      <c r="X648" s="13"/>
      <c r="Y648" s="13"/>
      <c r="Z648" s="13"/>
    </row>
    <row r="649" spans="1:26" ht="12.75" customHeight="1" x14ac:dyDescent="0.2">
      <c r="A649" s="8"/>
      <c r="B649" s="8"/>
      <c r="C649" s="197"/>
      <c r="D649" s="8"/>
      <c r="E649" s="197"/>
      <c r="F649" s="197"/>
      <c r="G649" s="197"/>
      <c r="H649" s="197"/>
      <c r="I649" s="197"/>
      <c r="J649" s="8"/>
      <c r="K649" s="197"/>
      <c r="L649" s="8"/>
      <c r="M649" s="197"/>
      <c r="N649" s="197"/>
      <c r="O649" s="197"/>
      <c r="P649" s="197"/>
      <c r="Q649" s="197"/>
      <c r="R649" s="197"/>
      <c r="S649" s="197"/>
      <c r="T649" s="13"/>
      <c r="U649" s="13"/>
      <c r="V649" s="13"/>
      <c r="W649" s="13"/>
      <c r="X649" s="13"/>
      <c r="Y649" s="13"/>
      <c r="Z649" s="13"/>
    </row>
    <row r="650" spans="1:26" ht="12.75" customHeight="1" x14ac:dyDescent="0.2">
      <c r="A650" s="8"/>
      <c r="B650" s="8"/>
      <c r="C650" s="197"/>
      <c r="D650" s="8"/>
      <c r="E650" s="197"/>
      <c r="F650" s="197"/>
      <c r="G650" s="197"/>
      <c r="H650" s="197"/>
      <c r="I650" s="197"/>
      <c r="J650" s="8"/>
      <c r="K650" s="197"/>
      <c r="L650" s="8"/>
      <c r="M650" s="197"/>
      <c r="N650" s="197"/>
      <c r="O650" s="197"/>
      <c r="P650" s="197"/>
      <c r="Q650" s="197"/>
      <c r="R650" s="197"/>
      <c r="S650" s="197"/>
      <c r="T650" s="13"/>
      <c r="U650" s="13"/>
      <c r="V650" s="13"/>
      <c r="W650" s="13"/>
      <c r="X650" s="13"/>
      <c r="Y650" s="13"/>
      <c r="Z650" s="13"/>
    </row>
    <row r="651" spans="1:26" ht="12.75" customHeight="1" x14ac:dyDescent="0.2">
      <c r="A651" s="8"/>
      <c r="B651" s="8"/>
      <c r="C651" s="197"/>
      <c r="D651" s="8"/>
      <c r="E651" s="197"/>
      <c r="F651" s="197"/>
      <c r="G651" s="197"/>
      <c r="H651" s="197"/>
      <c r="I651" s="197"/>
      <c r="J651" s="8"/>
      <c r="K651" s="197"/>
      <c r="L651" s="8"/>
      <c r="M651" s="197"/>
      <c r="N651" s="197"/>
      <c r="O651" s="197"/>
      <c r="P651" s="197"/>
      <c r="Q651" s="197"/>
      <c r="R651" s="197"/>
      <c r="S651" s="197"/>
      <c r="T651" s="13"/>
      <c r="U651" s="13"/>
      <c r="V651" s="13"/>
      <c r="W651" s="13"/>
      <c r="X651" s="13"/>
      <c r="Y651" s="13"/>
      <c r="Z651" s="13"/>
    </row>
    <row r="652" spans="1:26" ht="12.75" customHeight="1" x14ac:dyDescent="0.2">
      <c r="A652" s="8"/>
      <c r="B652" s="8"/>
      <c r="C652" s="197"/>
      <c r="D652" s="8"/>
      <c r="E652" s="197"/>
      <c r="F652" s="197"/>
      <c r="G652" s="197"/>
      <c r="H652" s="197"/>
      <c r="I652" s="197"/>
      <c r="J652" s="8"/>
      <c r="K652" s="197"/>
      <c r="L652" s="8"/>
      <c r="M652" s="197"/>
      <c r="N652" s="197"/>
      <c r="O652" s="197"/>
      <c r="P652" s="197"/>
      <c r="Q652" s="197"/>
      <c r="R652" s="197"/>
      <c r="S652" s="197"/>
      <c r="T652" s="13"/>
      <c r="U652" s="13"/>
      <c r="V652" s="13"/>
      <c r="W652" s="13"/>
      <c r="X652" s="13"/>
      <c r="Y652" s="13"/>
      <c r="Z652" s="13"/>
    </row>
    <row r="653" spans="1:26" ht="12.75" customHeight="1" x14ac:dyDescent="0.2">
      <c r="A653" s="8"/>
      <c r="B653" s="8"/>
      <c r="C653" s="197"/>
      <c r="D653" s="8"/>
      <c r="E653" s="197"/>
      <c r="F653" s="197"/>
      <c r="G653" s="197"/>
      <c r="H653" s="197"/>
      <c r="I653" s="197"/>
      <c r="J653" s="8"/>
      <c r="K653" s="197"/>
      <c r="L653" s="8"/>
      <c r="M653" s="197"/>
      <c r="N653" s="197"/>
      <c r="O653" s="197"/>
      <c r="P653" s="197"/>
      <c r="Q653" s="197"/>
      <c r="R653" s="197"/>
      <c r="S653" s="197"/>
      <c r="T653" s="13"/>
      <c r="U653" s="13"/>
      <c r="V653" s="13"/>
      <c r="W653" s="13"/>
      <c r="X653" s="13"/>
      <c r="Y653" s="13"/>
      <c r="Z653" s="13"/>
    </row>
    <row r="654" spans="1:26" ht="12.75" customHeight="1" x14ac:dyDescent="0.2">
      <c r="A654" s="8"/>
      <c r="B654" s="8"/>
      <c r="C654" s="197"/>
      <c r="D654" s="8"/>
      <c r="E654" s="197"/>
      <c r="F654" s="197"/>
      <c r="G654" s="197"/>
      <c r="H654" s="197"/>
      <c r="I654" s="197"/>
      <c r="J654" s="8"/>
      <c r="K654" s="197"/>
      <c r="L654" s="8"/>
      <c r="M654" s="197"/>
      <c r="N654" s="197"/>
      <c r="O654" s="197"/>
      <c r="P654" s="197"/>
      <c r="Q654" s="197"/>
      <c r="R654" s="197"/>
      <c r="S654" s="197"/>
      <c r="T654" s="13"/>
      <c r="U654" s="13"/>
      <c r="V654" s="13"/>
      <c r="W654" s="13"/>
      <c r="X654" s="13"/>
      <c r="Y654" s="13"/>
      <c r="Z654" s="13"/>
    </row>
    <row r="655" spans="1:26" ht="12.75" customHeight="1" x14ac:dyDescent="0.2">
      <c r="A655" s="8"/>
      <c r="B655" s="8"/>
      <c r="C655" s="197"/>
      <c r="D655" s="8"/>
      <c r="E655" s="197"/>
      <c r="F655" s="197"/>
      <c r="G655" s="197"/>
      <c r="H655" s="197"/>
      <c r="I655" s="197"/>
      <c r="J655" s="8"/>
      <c r="K655" s="197"/>
      <c r="L655" s="8"/>
      <c r="M655" s="197"/>
      <c r="N655" s="197"/>
      <c r="O655" s="197"/>
      <c r="P655" s="197"/>
      <c r="Q655" s="197"/>
      <c r="R655" s="197"/>
      <c r="S655" s="197"/>
      <c r="T655" s="13"/>
      <c r="U655" s="13"/>
      <c r="V655" s="13"/>
      <c r="W655" s="13"/>
      <c r="X655" s="13"/>
      <c r="Y655" s="13"/>
      <c r="Z655" s="13"/>
    </row>
    <row r="656" spans="1:26" ht="12.75" customHeight="1" x14ac:dyDescent="0.2">
      <c r="A656" s="8"/>
      <c r="B656" s="8"/>
      <c r="C656" s="197"/>
      <c r="D656" s="8"/>
      <c r="E656" s="197"/>
      <c r="F656" s="197"/>
      <c r="G656" s="197"/>
      <c r="H656" s="197"/>
      <c r="I656" s="197"/>
      <c r="J656" s="8"/>
      <c r="K656" s="197"/>
      <c r="L656" s="8"/>
      <c r="M656" s="197"/>
      <c r="N656" s="197"/>
      <c r="O656" s="197"/>
      <c r="P656" s="197"/>
      <c r="Q656" s="197"/>
      <c r="R656" s="197"/>
      <c r="S656" s="197"/>
      <c r="T656" s="13"/>
      <c r="U656" s="13"/>
      <c r="V656" s="13"/>
      <c r="W656" s="13"/>
      <c r="X656" s="13"/>
      <c r="Y656" s="13"/>
      <c r="Z656" s="13"/>
    </row>
    <row r="657" spans="1:26" ht="12.75" customHeight="1" x14ac:dyDescent="0.2">
      <c r="A657" s="8"/>
      <c r="B657" s="8"/>
      <c r="C657" s="197"/>
      <c r="D657" s="8"/>
      <c r="E657" s="197"/>
      <c r="F657" s="197"/>
      <c r="G657" s="197"/>
      <c r="H657" s="197"/>
      <c r="I657" s="197"/>
      <c r="J657" s="8"/>
      <c r="K657" s="197"/>
      <c r="L657" s="8"/>
      <c r="M657" s="197"/>
      <c r="N657" s="197"/>
      <c r="O657" s="197"/>
      <c r="P657" s="197"/>
      <c r="Q657" s="197"/>
      <c r="R657" s="197"/>
      <c r="S657" s="197"/>
      <c r="T657" s="13"/>
      <c r="U657" s="13"/>
      <c r="V657" s="13"/>
      <c r="W657" s="13"/>
      <c r="X657" s="13"/>
      <c r="Y657" s="13"/>
      <c r="Z657" s="13"/>
    </row>
    <row r="658" spans="1:26" ht="12.75" customHeight="1" x14ac:dyDescent="0.2">
      <c r="A658" s="8"/>
      <c r="B658" s="8"/>
      <c r="C658" s="197"/>
      <c r="D658" s="8"/>
      <c r="E658" s="197"/>
      <c r="F658" s="197"/>
      <c r="G658" s="197"/>
      <c r="H658" s="197"/>
      <c r="I658" s="197"/>
      <c r="J658" s="8"/>
      <c r="K658" s="197"/>
      <c r="L658" s="8"/>
      <c r="M658" s="197"/>
      <c r="N658" s="197"/>
      <c r="O658" s="197"/>
      <c r="P658" s="197"/>
      <c r="Q658" s="197"/>
      <c r="R658" s="197"/>
      <c r="S658" s="197"/>
      <c r="T658" s="13"/>
      <c r="U658" s="13"/>
      <c r="V658" s="13"/>
      <c r="W658" s="13"/>
      <c r="X658" s="13"/>
      <c r="Y658" s="13"/>
      <c r="Z658" s="13"/>
    </row>
    <row r="659" spans="1:26" ht="12.75" customHeight="1" x14ac:dyDescent="0.2">
      <c r="A659" s="8"/>
      <c r="B659" s="8"/>
      <c r="C659" s="197"/>
      <c r="D659" s="8"/>
      <c r="E659" s="197"/>
      <c r="F659" s="197"/>
      <c r="G659" s="197"/>
      <c r="H659" s="197"/>
      <c r="I659" s="197"/>
      <c r="J659" s="8"/>
      <c r="K659" s="197"/>
      <c r="L659" s="8"/>
      <c r="M659" s="197"/>
      <c r="N659" s="197"/>
      <c r="O659" s="197"/>
      <c r="P659" s="197"/>
      <c r="Q659" s="197"/>
      <c r="R659" s="197"/>
      <c r="S659" s="197"/>
      <c r="T659" s="13"/>
      <c r="U659" s="13"/>
      <c r="V659" s="13"/>
      <c r="W659" s="13"/>
      <c r="X659" s="13"/>
      <c r="Y659" s="13"/>
      <c r="Z659" s="13"/>
    </row>
    <row r="660" spans="1:26" ht="12.75" customHeight="1" x14ac:dyDescent="0.2">
      <c r="A660" s="8"/>
      <c r="B660" s="8"/>
      <c r="C660" s="197"/>
      <c r="D660" s="8"/>
      <c r="E660" s="197"/>
      <c r="F660" s="197"/>
      <c r="G660" s="197"/>
      <c r="H660" s="197"/>
      <c r="I660" s="197"/>
      <c r="J660" s="8"/>
      <c r="K660" s="197"/>
      <c r="L660" s="8"/>
      <c r="M660" s="197"/>
      <c r="N660" s="197"/>
      <c r="O660" s="197"/>
      <c r="P660" s="197"/>
      <c r="Q660" s="197"/>
      <c r="R660" s="197"/>
      <c r="S660" s="197"/>
      <c r="T660" s="13"/>
      <c r="U660" s="13"/>
      <c r="V660" s="13"/>
      <c r="W660" s="13"/>
      <c r="X660" s="13"/>
      <c r="Y660" s="13"/>
      <c r="Z660" s="13"/>
    </row>
    <row r="661" spans="1:26" ht="12.75" customHeight="1" x14ac:dyDescent="0.2">
      <c r="A661" s="8"/>
      <c r="B661" s="8"/>
      <c r="C661" s="197"/>
      <c r="D661" s="8"/>
      <c r="E661" s="197"/>
      <c r="F661" s="197"/>
      <c r="G661" s="197"/>
      <c r="H661" s="197"/>
      <c r="I661" s="197"/>
      <c r="J661" s="8"/>
      <c r="K661" s="197"/>
      <c r="L661" s="8"/>
      <c r="M661" s="197"/>
      <c r="N661" s="197"/>
      <c r="O661" s="197"/>
      <c r="P661" s="197"/>
      <c r="Q661" s="197"/>
      <c r="R661" s="197"/>
      <c r="S661" s="197"/>
      <c r="T661" s="13"/>
      <c r="U661" s="13"/>
      <c r="V661" s="13"/>
      <c r="W661" s="13"/>
      <c r="X661" s="13"/>
      <c r="Y661" s="13"/>
      <c r="Z661" s="13"/>
    </row>
    <row r="662" spans="1:26" ht="12.75" customHeight="1" x14ac:dyDescent="0.2">
      <c r="A662" s="8"/>
      <c r="B662" s="8"/>
      <c r="C662" s="197"/>
      <c r="D662" s="8"/>
      <c r="E662" s="197"/>
      <c r="F662" s="197"/>
      <c r="G662" s="197"/>
      <c r="H662" s="197"/>
      <c r="I662" s="197"/>
      <c r="J662" s="8"/>
      <c r="K662" s="197"/>
      <c r="L662" s="8"/>
      <c r="M662" s="197"/>
      <c r="N662" s="197"/>
      <c r="O662" s="197"/>
      <c r="P662" s="197"/>
      <c r="Q662" s="197"/>
      <c r="R662" s="197"/>
      <c r="S662" s="197"/>
      <c r="T662" s="13"/>
      <c r="U662" s="13"/>
      <c r="V662" s="13"/>
      <c r="W662" s="13"/>
      <c r="X662" s="13"/>
      <c r="Y662" s="13"/>
      <c r="Z662" s="13"/>
    </row>
    <row r="663" spans="1:26" ht="12.75" customHeight="1" x14ac:dyDescent="0.2">
      <c r="A663" s="8"/>
      <c r="B663" s="8"/>
      <c r="C663" s="197"/>
      <c r="D663" s="8"/>
      <c r="E663" s="197"/>
      <c r="F663" s="197"/>
      <c r="G663" s="197"/>
      <c r="H663" s="197"/>
      <c r="I663" s="197"/>
      <c r="J663" s="8"/>
      <c r="K663" s="197"/>
      <c r="L663" s="8"/>
      <c r="M663" s="197"/>
      <c r="N663" s="197"/>
      <c r="O663" s="197"/>
      <c r="P663" s="197"/>
      <c r="Q663" s="197"/>
      <c r="R663" s="197"/>
      <c r="S663" s="197"/>
      <c r="T663" s="13"/>
      <c r="U663" s="13"/>
      <c r="V663" s="13"/>
      <c r="W663" s="13"/>
      <c r="X663" s="13"/>
      <c r="Y663" s="13"/>
      <c r="Z663" s="13"/>
    </row>
    <row r="664" spans="1:26" ht="12.75" customHeight="1" x14ac:dyDescent="0.2">
      <c r="A664" s="8"/>
      <c r="B664" s="8"/>
      <c r="C664" s="197"/>
      <c r="D664" s="8"/>
      <c r="E664" s="197"/>
      <c r="F664" s="197"/>
      <c r="G664" s="197"/>
      <c r="H664" s="197"/>
      <c r="I664" s="197"/>
      <c r="J664" s="8"/>
      <c r="K664" s="197"/>
      <c r="L664" s="8"/>
      <c r="M664" s="197"/>
      <c r="N664" s="197"/>
      <c r="O664" s="197"/>
      <c r="P664" s="197"/>
      <c r="Q664" s="197"/>
      <c r="R664" s="197"/>
      <c r="S664" s="197"/>
      <c r="T664" s="13"/>
      <c r="U664" s="13"/>
      <c r="V664" s="13"/>
      <c r="W664" s="13"/>
      <c r="X664" s="13"/>
      <c r="Y664" s="13"/>
      <c r="Z664" s="13"/>
    </row>
    <row r="665" spans="1:26" ht="12.75" customHeight="1" x14ac:dyDescent="0.2">
      <c r="A665" s="8"/>
      <c r="B665" s="8"/>
      <c r="C665" s="197"/>
      <c r="D665" s="8"/>
      <c r="E665" s="197"/>
      <c r="F665" s="197"/>
      <c r="G665" s="197"/>
      <c r="H665" s="197"/>
      <c r="I665" s="197"/>
      <c r="J665" s="8"/>
      <c r="K665" s="197"/>
      <c r="L665" s="8"/>
      <c r="M665" s="197"/>
      <c r="N665" s="197"/>
      <c r="O665" s="197"/>
      <c r="P665" s="197"/>
      <c r="Q665" s="197"/>
      <c r="R665" s="197"/>
      <c r="S665" s="197"/>
      <c r="T665" s="13"/>
      <c r="U665" s="13"/>
      <c r="V665" s="13"/>
      <c r="W665" s="13"/>
      <c r="X665" s="13"/>
      <c r="Y665" s="13"/>
      <c r="Z665" s="13"/>
    </row>
    <row r="666" spans="1:26" ht="12.75" customHeight="1" x14ac:dyDescent="0.2">
      <c r="A666" s="8"/>
      <c r="B666" s="8"/>
      <c r="C666" s="197"/>
      <c r="D666" s="8"/>
      <c r="E666" s="197"/>
      <c r="F666" s="197"/>
      <c r="G666" s="197"/>
      <c r="H666" s="197"/>
      <c r="I666" s="197"/>
      <c r="J666" s="8"/>
      <c r="K666" s="197"/>
      <c r="L666" s="8"/>
      <c r="M666" s="197"/>
      <c r="N666" s="197"/>
      <c r="O666" s="197"/>
      <c r="P666" s="197"/>
      <c r="Q666" s="197"/>
      <c r="R666" s="197"/>
      <c r="S666" s="197"/>
      <c r="T666" s="13"/>
      <c r="U666" s="13"/>
      <c r="V666" s="13"/>
      <c r="W666" s="13"/>
      <c r="X666" s="13"/>
      <c r="Y666" s="13"/>
      <c r="Z666" s="13"/>
    </row>
    <row r="667" spans="1:26" ht="12.75" customHeight="1" x14ac:dyDescent="0.2">
      <c r="A667" s="8"/>
      <c r="B667" s="8"/>
      <c r="C667" s="197"/>
      <c r="D667" s="8"/>
      <c r="E667" s="197"/>
      <c r="F667" s="197"/>
      <c r="G667" s="197"/>
      <c r="H667" s="197"/>
      <c r="I667" s="197"/>
      <c r="J667" s="8"/>
      <c r="K667" s="197"/>
      <c r="L667" s="8"/>
      <c r="M667" s="197"/>
      <c r="N667" s="197"/>
      <c r="O667" s="197"/>
      <c r="P667" s="197"/>
      <c r="Q667" s="197"/>
      <c r="R667" s="197"/>
      <c r="S667" s="197"/>
      <c r="T667" s="13"/>
      <c r="U667" s="13"/>
      <c r="V667" s="13"/>
      <c r="W667" s="13"/>
      <c r="X667" s="13"/>
      <c r="Y667" s="13"/>
      <c r="Z667" s="13"/>
    </row>
    <row r="668" spans="1:26" ht="12.75" customHeight="1" x14ac:dyDescent="0.2">
      <c r="A668" s="8"/>
      <c r="B668" s="8"/>
      <c r="C668" s="197"/>
      <c r="D668" s="8"/>
      <c r="E668" s="197"/>
      <c r="F668" s="197"/>
      <c r="G668" s="197"/>
      <c r="H668" s="197"/>
      <c r="I668" s="197"/>
      <c r="J668" s="8"/>
      <c r="K668" s="197"/>
      <c r="L668" s="8"/>
      <c r="M668" s="197"/>
      <c r="N668" s="197"/>
      <c r="O668" s="197"/>
      <c r="P668" s="197"/>
      <c r="Q668" s="197"/>
      <c r="R668" s="197"/>
      <c r="S668" s="197"/>
      <c r="T668" s="13"/>
      <c r="U668" s="13"/>
      <c r="V668" s="13"/>
      <c r="W668" s="13"/>
      <c r="X668" s="13"/>
      <c r="Y668" s="13"/>
      <c r="Z668" s="13"/>
    </row>
    <row r="669" spans="1:26" ht="12.75" customHeight="1" x14ac:dyDescent="0.2">
      <c r="A669" s="8"/>
      <c r="B669" s="8"/>
      <c r="C669" s="197"/>
      <c r="D669" s="8"/>
      <c r="E669" s="197"/>
      <c r="F669" s="197"/>
      <c r="G669" s="197"/>
      <c r="H669" s="197"/>
      <c r="I669" s="197"/>
      <c r="J669" s="8"/>
      <c r="K669" s="197"/>
      <c r="L669" s="8"/>
      <c r="M669" s="197"/>
      <c r="N669" s="197"/>
      <c r="O669" s="197"/>
      <c r="P669" s="197"/>
      <c r="Q669" s="197"/>
      <c r="R669" s="197"/>
      <c r="S669" s="197"/>
      <c r="T669" s="13"/>
      <c r="U669" s="13"/>
      <c r="V669" s="13"/>
      <c r="W669" s="13"/>
      <c r="X669" s="13"/>
      <c r="Y669" s="13"/>
      <c r="Z669" s="13"/>
    </row>
    <row r="670" spans="1:26" ht="12.75" customHeight="1" x14ac:dyDescent="0.2">
      <c r="A670" s="8"/>
      <c r="B670" s="8"/>
      <c r="C670" s="197"/>
      <c r="D670" s="8"/>
      <c r="E670" s="197"/>
      <c r="F670" s="197"/>
      <c r="G670" s="197"/>
      <c r="H670" s="197"/>
      <c r="I670" s="197"/>
      <c r="J670" s="8"/>
      <c r="K670" s="197"/>
      <c r="L670" s="8"/>
      <c r="M670" s="197"/>
      <c r="N670" s="197"/>
      <c r="O670" s="197"/>
      <c r="P670" s="197"/>
      <c r="Q670" s="197"/>
      <c r="R670" s="197"/>
      <c r="S670" s="197"/>
      <c r="T670" s="13"/>
      <c r="U670" s="13"/>
      <c r="V670" s="13"/>
      <c r="W670" s="13"/>
      <c r="X670" s="13"/>
      <c r="Y670" s="13"/>
      <c r="Z670" s="13"/>
    </row>
    <row r="671" spans="1:26" ht="12.75" customHeight="1" x14ac:dyDescent="0.2">
      <c r="A671" s="8"/>
      <c r="B671" s="8"/>
      <c r="C671" s="197"/>
      <c r="D671" s="8"/>
      <c r="E671" s="197"/>
      <c r="F671" s="197"/>
      <c r="G671" s="197"/>
      <c r="H671" s="197"/>
      <c r="I671" s="197"/>
      <c r="J671" s="8"/>
      <c r="K671" s="197"/>
      <c r="L671" s="8"/>
      <c r="M671" s="197"/>
      <c r="N671" s="197"/>
      <c r="O671" s="197"/>
      <c r="P671" s="197"/>
      <c r="Q671" s="197"/>
      <c r="R671" s="197"/>
      <c r="S671" s="197"/>
      <c r="T671" s="13"/>
      <c r="U671" s="13"/>
      <c r="V671" s="13"/>
      <c r="W671" s="13"/>
      <c r="X671" s="13"/>
      <c r="Y671" s="13"/>
      <c r="Z671" s="13"/>
    </row>
    <row r="672" spans="1:26" ht="12.75" customHeight="1" x14ac:dyDescent="0.2">
      <c r="A672" s="8"/>
      <c r="B672" s="8"/>
      <c r="C672" s="197"/>
      <c r="D672" s="8"/>
      <c r="E672" s="197"/>
      <c r="F672" s="197"/>
      <c r="G672" s="197"/>
      <c r="H672" s="197"/>
      <c r="I672" s="197"/>
      <c r="J672" s="8"/>
      <c r="K672" s="197"/>
      <c r="L672" s="8"/>
      <c r="M672" s="197"/>
      <c r="N672" s="197"/>
      <c r="O672" s="197"/>
      <c r="P672" s="197"/>
      <c r="Q672" s="197"/>
      <c r="R672" s="197"/>
      <c r="S672" s="197"/>
      <c r="T672" s="13"/>
      <c r="U672" s="13"/>
      <c r="V672" s="13"/>
      <c r="W672" s="13"/>
      <c r="X672" s="13"/>
      <c r="Y672" s="13"/>
      <c r="Z672" s="13"/>
    </row>
    <row r="673" spans="1:26" ht="12.75" customHeight="1" x14ac:dyDescent="0.2">
      <c r="A673" s="8"/>
      <c r="B673" s="8"/>
      <c r="C673" s="197"/>
      <c r="D673" s="8"/>
      <c r="E673" s="197"/>
      <c r="F673" s="197"/>
      <c r="G673" s="197"/>
      <c r="H673" s="197"/>
      <c r="I673" s="197"/>
      <c r="J673" s="8"/>
      <c r="K673" s="197"/>
      <c r="L673" s="8"/>
      <c r="M673" s="197"/>
      <c r="N673" s="197"/>
      <c r="O673" s="197"/>
      <c r="P673" s="197"/>
      <c r="Q673" s="197"/>
      <c r="R673" s="197"/>
      <c r="S673" s="197"/>
      <c r="T673" s="13"/>
      <c r="U673" s="13"/>
      <c r="V673" s="13"/>
      <c r="W673" s="13"/>
      <c r="X673" s="13"/>
      <c r="Y673" s="13"/>
      <c r="Z673" s="13"/>
    </row>
    <row r="674" spans="1:26" ht="12.75" customHeight="1" x14ac:dyDescent="0.2">
      <c r="A674" s="8"/>
      <c r="B674" s="8"/>
      <c r="C674" s="197"/>
      <c r="D674" s="8"/>
      <c r="E674" s="197"/>
      <c r="F674" s="197"/>
      <c r="G674" s="197"/>
      <c r="H674" s="197"/>
      <c r="I674" s="197"/>
      <c r="J674" s="8"/>
      <c r="K674" s="197"/>
      <c r="L674" s="8"/>
      <c r="M674" s="197"/>
      <c r="N674" s="197"/>
      <c r="O674" s="197"/>
      <c r="P674" s="197"/>
      <c r="Q674" s="197"/>
      <c r="R674" s="197"/>
      <c r="S674" s="197"/>
      <c r="T674" s="13"/>
      <c r="U674" s="13"/>
      <c r="V674" s="13"/>
      <c r="W674" s="13"/>
      <c r="X674" s="13"/>
      <c r="Y674" s="13"/>
      <c r="Z674" s="13"/>
    </row>
    <row r="675" spans="1:26" ht="12.75" customHeight="1" x14ac:dyDescent="0.2">
      <c r="A675" s="8"/>
      <c r="B675" s="8"/>
      <c r="C675" s="197"/>
      <c r="D675" s="8"/>
      <c r="E675" s="197"/>
      <c r="F675" s="197"/>
      <c r="G675" s="197"/>
      <c r="H675" s="197"/>
      <c r="I675" s="197"/>
      <c r="J675" s="8"/>
      <c r="K675" s="197"/>
      <c r="L675" s="8"/>
      <c r="M675" s="197"/>
      <c r="N675" s="197"/>
      <c r="O675" s="197"/>
      <c r="P675" s="197"/>
      <c r="Q675" s="197"/>
      <c r="R675" s="197"/>
      <c r="S675" s="197"/>
      <c r="T675" s="13"/>
      <c r="U675" s="13"/>
      <c r="V675" s="13"/>
      <c r="W675" s="13"/>
      <c r="X675" s="13"/>
      <c r="Y675" s="13"/>
      <c r="Z675" s="13"/>
    </row>
    <row r="676" spans="1:26" ht="12.75" customHeight="1" x14ac:dyDescent="0.2">
      <c r="A676" s="8"/>
      <c r="B676" s="8"/>
      <c r="C676" s="197"/>
      <c r="D676" s="8"/>
      <c r="E676" s="197"/>
      <c r="F676" s="197"/>
      <c r="G676" s="197"/>
      <c r="H676" s="197"/>
      <c r="I676" s="197"/>
      <c r="J676" s="8"/>
      <c r="K676" s="197"/>
      <c r="L676" s="8"/>
      <c r="M676" s="197"/>
      <c r="N676" s="197"/>
      <c r="O676" s="197"/>
      <c r="P676" s="197"/>
      <c r="Q676" s="197"/>
      <c r="R676" s="197"/>
      <c r="S676" s="197"/>
      <c r="T676" s="13"/>
      <c r="U676" s="13"/>
      <c r="V676" s="13"/>
      <c r="W676" s="13"/>
      <c r="X676" s="13"/>
      <c r="Y676" s="13"/>
      <c r="Z676" s="13"/>
    </row>
    <row r="677" spans="1:26" ht="12.75" customHeight="1" x14ac:dyDescent="0.2">
      <c r="A677" s="8"/>
      <c r="B677" s="8"/>
      <c r="C677" s="197"/>
      <c r="D677" s="8"/>
      <c r="E677" s="197"/>
      <c r="F677" s="197"/>
      <c r="G677" s="197"/>
      <c r="H677" s="197"/>
      <c r="I677" s="197"/>
      <c r="J677" s="8"/>
      <c r="K677" s="197"/>
      <c r="L677" s="8"/>
      <c r="M677" s="197"/>
      <c r="N677" s="197"/>
      <c r="O677" s="197"/>
      <c r="P677" s="197"/>
      <c r="Q677" s="197"/>
      <c r="R677" s="197"/>
      <c r="S677" s="197"/>
      <c r="T677" s="13"/>
      <c r="U677" s="13"/>
      <c r="V677" s="13"/>
      <c r="W677" s="13"/>
      <c r="X677" s="13"/>
      <c r="Y677" s="13"/>
      <c r="Z677" s="13"/>
    </row>
    <row r="678" spans="1:26" ht="12.75" customHeight="1" x14ac:dyDescent="0.2">
      <c r="A678" s="8"/>
      <c r="B678" s="8"/>
      <c r="C678" s="197"/>
      <c r="D678" s="8"/>
      <c r="E678" s="197"/>
      <c r="F678" s="197"/>
      <c r="G678" s="197"/>
      <c r="H678" s="197"/>
      <c r="I678" s="197"/>
      <c r="J678" s="8"/>
      <c r="K678" s="197"/>
      <c r="L678" s="8"/>
      <c r="M678" s="197"/>
      <c r="N678" s="197"/>
      <c r="O678" s="197"/>
      <c r="P678" s="197"/>
      <c r="Q678" s="197"/>
      <c r="R678" s="197"/>
      <c r="S678" s="197"/>
      <c r="T678" s="13"/>
      <c r="U678" s="13"/>
      <c r="V678" s="13"/>
      <c r="W678" s="13"/>
      <c r="X678" s="13"/>
      <c r="Y678" s="13"/>
      <c r="Z678" s="13"/>
    </row>
    <row r="679" spans="1:26" ht="12.75" customHeight="1" x14ac:dyDescent="0.2">
      <c r="A679" s="8"/>
      <c r="B679" s="8"/>
      <c r="C679" s="197"/>
      <c r="D679" s="8"/>
      <c r="E679" s="197"/>
      <c r="F679" s="197"/>
      <c r="G679" s="197"/>
      <c r="H679" s="197"/>
      <c r="I679" s="197"/>
      <c r="J679" s="8"/>
      <c r="K679" s="197"/>
      <c r="L679" s="8"/>
      <c r="M679" s="197"/>
      <c r="N679" s="197"/>
      <c r="O679" s="197"/>
      <c r="P679" s="197"/>
      <c r="Q679" s="197"/>
      <c r="R679" s="197"/>
      <c r="S679" s="197"/>
      <c r="T679" s="13"/>
      <c r="U679" s="13"/>
      <c r="V679" s="13"/>
      <c r="W679" s="13"/>
      <c r="X679" s="13"/>
      <c r="Y679" s="13"/>
      <c r="Z679" s="13"/>
    </row>
    <row r="680" spans="1:26" ht="12.75" customHeight="1" x14ac:dyDescent="0.2">
      <c r="A680" s="8"/>
      <c r="B680" s="8"/>
      <c r="C680" s="197"/>
      <c r="D680" s="8"/>
      <c r="E680" s="197"/>
      <c r="F680" s="197"/>
      <c r="G680" s="197"/>
      <c r="H680" s="197"/>
      <c r="I680" s="197"/>
      <c r="J680" s="8"/>
      <c r="K680" s="197"/>
      <c r="L680" s="8"/>
      <c r="M680" s="197"/>
      <c r="N680" s="197"/>
      <c r="O680" s="197"/>
      <c r="P680" s="197"/>
      <c r="Q680" s="197"/>
      <c r="R680" s="197"/>
      <c r="S680" s="197"/>
      <c r="T680" s="13"/>
      <c r="U680" s="13"/>
      <c r="V680" s="13"/>
      <c r="W680" s="13"/>
      <c r="X680" s="13"/>
      <c r="Y680" s="13"/>
      <c r="Z680" s="13"/>
    </row>
    <row r="681" spans="1:26" ht="12.75" customHeight="1" x14ac:dyDescent="0.2">
      <c r="A681" s="8"/>
      <c r="B681" s="8"/>
      <c r="C681" s="197"/>
      <c r="D681" s="8"/>
      <c r="E681" s="197"/>
      <c r="F681" s="197"/>
      <c r="G681" s="197"/>
      <c r="H681" s="197"/>
      <c r="I681" s="197"/>
      <c r="J681" s="8"/>
      <c r="K681" s="197"/>
      <c r="L681" s="8"/>
      <c r="M681" s="197"/>
      <c r="N681" s="197"/>
      <c r="O681" s="197"/>
      <c r="P681" s="197"/>
      <c r="Q681" s="197"/>
      <c r="R681" s="197"/>
      <c r="S681" s="197"/>
      <c r="T681" s="13"/>
      <c r="U681" s="13"/>
      <c r="V681" s="13"/>
      <c r="W681" s="13"/>
      <c r="X681" s="13"/>
      <c r="Y681" s="13"/>
      <c r="Z681" s="13"/>
    </row>
    <row r="682" spans="1:26" ht="12.75" customHeight="1" x14ac:dyDescent="0.2">
      <c r="A682" s="8"/>
      <c r="B682" s="8"/>
      <c r="C682" s="197"/>
      <c r="D682" s="8"/>
      <c r="E682" s="197"/>
      <c r="F682" s="197"/>
      <c r="G682" s="197"/>
      <c r="H682" s="197"/>
      <c r="I682" s="197"/>
      <c r="J682" s="8"/>
      <c r="K682" s="197"/>
      <c r="L682" s="8"/>
      <c r="M682" s="197"/>
      <c r="N682" s="197"/>
      <c r="O682" s="197"/>
      <c r="P682" s="197"/>
      <c r="Q682" s="197"/>
      <c r="R682" s="197"/>
      <c r="S682" s="197"/>
      <c r="T682" s="13"/>
      <c r="U682" s="13"/>
      <c r="V682" s="13"/>
      <c r="W682" s="13"/>
      <c r="X682" s="13"/>
      <c r="Y682" s="13"/>
      <c r="Z682" s="13"/>
    </row>
    <row r="683" spans="1:26" ht="12.75" customHeight="1" x14ac:dyDescent="0.2">
      <c r="A683" s="8"/>
      <c r="B683" s="8"/>
      <c r="C683" s="197"/>
      <c r="D683" s="8"/>
      <c r="E683" s="197"/>
      <c r="F683" s="197"/>
      <c r="G683" s="197"/>
      <c r="H683" s="197"/>
      <c r="I683" s="197"/>
      <c r="J683" s="8"/>
      <c r="K683" s="197"/>
      <c r="L683" s="8"/>
      <c r="M683" s="197"/>
      <c r="N683" s="197"/>
      <c r="O683" s="197"/>
      <c r="P683" s="197"/>
      <c r="Q683" s="197"/>
      <c r="R683" s="197"/>
      <c r="S683" s="197"/>
      <c r="T683" s="13"/>
      <c r="U683" s="13"/>
      <c r="V683" s="13"/>
      <c r="W683" s="13"/>
      <c r="X683" s="13"/>
      <c r="Y683" s="13"/>
      <c r="Z683" s="13"/>
    </row>
    <row r="684" spans="1:26" ht="12.75" customHeight="1" x14ac:dyDescent="0.2">
      <c r="A684" s="8"/>
      <c r="B684" s="8"/>
      <c r="C684" s="197"/>
      <c r="D684" s="8"/>
      <c r="E684" s="197"/>
      <c r="F684" s="197"/>
      <c r="G684" s="197"/>
      <c r="H684" s="197"/>
      <c r="I684" s="197"/>
      <c r="J684" s="8"/>
      <c r="K684" s="197"/>
      <c r="L684" s="8"/>
      <c r="M684" s="197"/>
      <c r="N684" s="197"/>
      <c r="O684" s="197"/>
      <c r="P684" s="197"/>
      <c r="Q684" s="197"/>
      <c r="R684" s="197"/>
      <c r="S684" s="197"/>
      <c r="T684" s="13"/>
      <c r="U684" s="13"/>
      <c r="V684" s="13"/>
      <c r="W684" s="13"/>
      <c r="X684" s="13"/>
      <c r="Y684" s="13"/>
      <c r="Z684" s="13"/>
    </row>
    <row r="685" spans="1:26" ht="12.75" customHeight="1" x14ac:dyDescent="0.2">
      <c r="A685" s="8"/>
      <c r="B685" s="8"/>
      <c r="C685" s="197"/>
      <c r="D685" s="8"/>
      <c r="E685" s="197"/>
      <c r="F685" s="197"/>
      <c r="G685" s="197"/>
      <c r="H685" s="197"/>
      <c r="I685" s="197"/>
      <c r="J685" s="8"/>
      <c r="K685" s="197"/>
      <c r="L685" s="8"/>
      <c r="M685" s="197"/>
      <c r="N685" s="197"/>
      <c r="O685" s="197"/>
      <c r="P685" s="197"/>
      <c r="Q685" s="197"/>
      <c r="R685" s="197"/>
      <c r="S685" s="197"/>
      <c r="T685" s="13"/>
      <c r="U685" s="13"/>
      <c r="V685" s="13"/>
      <c r="W685" s="13"/>
      <c r="X685" s="13"/>
      <c r="Y685" s="13"/>
      <c r="Z685" s="13"/>
    </row>
    <row r="686" spans="1:26" ht="12.75" customHeight="1" x14ac:dyDescent="0.2">
      <c r="A686" s="8"/>
      <c r="B686" s="8"/>
      <c r="C686" s="197"/>
      <c r="D686" s="8"/>
      <c r="E686" s="197"/>
      <c r="F686" s="197"/>
      <c r="G686" s="197"/>
      <c r="H686" s="197"/>
      <c r="I686" s="197"/>
      <c r="J686" s="8"/>
      <c r="K686" s="197"/>
      <c r="L686" s="8"/>
      <c r="M686" s="197"/>
      <c r="N686" s="197"/>
      <c r="O686" s="197"/>
      <c r="P686" s="197"/>
      <c r="Q686" s="197"/>
      <c r="R686" s="197"/>
      <c r="S686" s="197"/>
      <c r="T686" s="13"/>
      <c r="U686" s="13"/>
      <c r="V686" s="13"/>
      <c r="W686" s="13"/>
      <c r="X686" s="13"/>
      <c r="Y686" s="13"/>
      <c r="Z686" s="13"/>
    </row>
    <row r="687" spans="1:26" ht="12.75" customHeight="1" x14ac:dyDescent="0.2">
      <c r="A687" s="8"/>
      <c r="B687" s="8"/>
      <c r="C687" s="197"/>
      <c r="D687" s="8"/>
      <c r="E687" s="197"/>
      <c r="F687" s="197"/>
      <c r="G687" s="197"/>
      <c r="H687" s="197"/>
      <c r="I687" s="197"/>
      <c r="J687" s="8"/>
      <c r="K687" s="197"/>
      <c r="L687" s="8"/>
      <c r="M687" s="197"/>
      <c r="N687" s="197"/>
      <c r="O687" s="197"/>
      <c r="P687" s="197"/>
      <c r="Q687" s="197"/>
      <c r="R687" s="197"/>
      <c r="S687" s="197"/>
      <c r="T687" s="13"/>
      <c r="U687" s="13"/>
      <c r="V687" s="13"/>
      <c r="W687" s="13"/>
      <c r="X687" s="13"/>
      <c r="Y687" s="13"/>
      <c r="Z687" s="13"/>
    </row>
    <row r="688" spans="1:26" ht="12.75" customHeight="1" x14ac:dyDescent="0.2">
      <c r="A688" s="8"/>
      <c r="B688" s="8"/>
      <c r="C688" s="197"/>
      <c r="D688" s="8"/>
      <c r="E688" s="197"/>
      <c r="F688" s="197"/>
      <c r="G688" s="197"/>
      <c r="H688" s="197"/>
      <c r="I688" s="197"/>
      <c r="J688" s="8"/>
      <c r="K688" s="197"/>
      <c r="L688" s="8"/>
      <c r="M688" s="197"/>
      <c r="N688" s="197"/>
      <c r="O688" s="197"/>
      <c r="P688" s="197"/>
      <c r="Q688" s="197"/>
      <c r="R688" s="197"/>
      <c r="S688" s="197"/>
      <c r="T688" s="13"/>
      <c r="U688" s="13"/>
      <c r="V688" s="13"/>
      <c r="W688" s="13"/>
      <c r="X688" s="13"/>
      <c r="Y688" s="13"/>
      <c r="Z688" s="13"/>
    </row>
    <row r="689" spans="1:26" ht="12.75" customHeight="1" x14ac:dyDescent="0.2">
      <c r="A689" s="8"/>
      <c r="B689" s="8"/>
      <c r="C689" s="197"/>
      <c r="D689" s="8"/>
      <c r="E689" s="197"/>
      <c r="F689" s="197"/>
      <c r="G689" s="197"/>
      <c r="H689" s="197"/>
      <c r="I689" s="197"/>
      <c r="J689" s="8"/>
      <c r="K689" s="197"/>
      <c r="L689" s="8"/>
      <c r="M689" s="197"/>
      <c r="N689" s="197"/>
      <c r="O689" s="197"/>
      <c r="P689" s="197"/>
      <c r="Q689" s="197"/>
      <c r="R689" s="197"/>
      <c r="S689" s="197"/>
      <c r="T689" s="13"/>
      <c r="U689" s="13"/>
      <c r="V689" s="13"/>
      <c r="W689" s="13"/>
      <c r="X689" s="13"/>
      <c r="Y689" s="13"/>
      <c r="Z689" s="13"/>
    </row>
    <row r="690" spans="1:26" ht="12.75" customHeight="1" x14ac:dyDescent="0.2">
      <c r="A690" s="8"/>
      <c r="B690" s="8"/>
      <c r="C690" s="197"/>
      <c r="D690" s="8"/>
      <c r="E690" s="197"/>
      <c r="F690" s="197"/>
      <c r="G690" s="197"/>
      <c r="H690" s="197"/>
      <c r="I690" s="197"/>
      <c r="J690" s="8"/>
      <c r="K690" s="197"/>
      <c r="L690" s="8"/>
      <c r="M690" s="197"/>
      <c r="N690" s="197"/>
      <c r="O690" s="197"/>
      <c r="P690" s="197"/>
      <c r="Q690" s="197"/>
      <c r="R690" s="197"/>
      <c r="S690" s="197"/>
      <c r="T690" s="13"/>
      <c r="U690" s="13"/>
      <c r="V690" s="13"/>
      <c r="W690" s="13"/>
      <c r="X690" s="13"/>
      <c r="Y690" s="13"/>
      <c r="Z690" s="13"/>
    </row>
    <row r="691" spans="1:26" ht="12.75" customHeight="1" x14ac:dyDescent="0.2">
      <c r="A691" s="8"/>
      <c r="B691" s="8"/>
      <c r="C691" s="197"/>
      <c r="D691" s="8"/>
      <c r="E691" s="197"/>
      <c r="F691" s="197"/>
      <c r="G691" s="197"/>
      <c r="H691" s="197"/>
      <c r="I691" s="197"/>
      <c r="J691" s="8"/>
      <c r="K691" s="197"/>
      <c r="L691" s="8"/>
      <c r="M691" s="197"/>
      <c r="N691" s="197"/>
      <c r="O691" s="197"/>
      <c r="P691" s="197"/>
      <c r="Q691" s="197"/>
      <c r="R691" s="197"/>
      <c r="S691" s="197"/>
      <c r="T691" s="13"/>
      <c r="U691" s="13"/>
      <c r="V691" s="13"/>
      <c r="W691" s="13"/>
      <c r="X691" s="13"/>
      <c r="Y691" s="13"/>
      <c r="Z691" s="13"/>
    </row>
    <row r="692" spans="1:26" ht="12.75" customHeight="1" x14ac:dyDescent="0.2">
      <c r="A692" s="8"/>
      <c r="B692" s="8"/>
      <c r="C692" s="197"/>
      <c r="D692" s="8"/>
      <c r="E692" s="197"/>
      <c r="F692" s="197"/>
      <c r="G692" s="197"/>
      <c r="H692" s="197"/>
      <c r="I692" s="197"/>
      <c r="J692" s="8"/>
      <c r="K692" s="197"/>
      <c r="L692" s="8"/>
      <c r="M692" s="197"/>
      <c r="N692" s="197"/>
      <c r="O692" s="197"/>
      <c r="P692" s="197"/>
      <c r="Q692" s="197"/>
      <c r="R692" s="197"/>
      <c r="S692" s="197"/>
      <c r="T692" s="13"/>
      <c r="U692" s="13"/>
      <c r="V692" s="13"/>
      <c r="W692" s="13"/>
      <c r="X692" s="13"/>
      <c r="Y692" s="13"/>
      <c r="Z692" s="13"/>
    </row>
    <row r="693" spans="1:26" ht="12.75" customHeight="1" x14ac:dyDescent="0.2">
      <c r="A693" s="8"/>
      <c r="B693" s="8"/>
      <c r="C693" s="197"/>
      <c r="D693" s="8"/>
      <c r="E693" s="197"/>
      <c r="F693" s="197"/>
      <c r="G693" s="197"/>
      <c r="H693" s="197"/>
      <c r="I693" s="197"/>
      <c r="J693" s="8"/>
      <c r="K693" s="197"/>
      <c r="L693" s="8"/>
      <c r="M693" s="197"/>
      <c r="N693" s="197"/>
      <c r="O693" s="197"/>
      <c r="P693" s="197"/>
      <c r="Q693" s="197"/>
      <c r="R693" s="197"/>
      <c r="S693" s="197"/>
      <c r="T693" s="13"/>
      <c r="U693" s="13"/>
      <c r="V693" s="13"/>
      <c r="W693" s="13"/>
      <c r="X693" s="13"/>
      <c r="Y693" s="13"/>
      <c r="Z693" s="13"/>
    </row>
    <row r="694" spans="1:26" ht="12.75" customHeight="1" x14ac:dyDescent="0.2">
      <c r="A694" s="8"/>
      <c r="B694" s="8"/>
      <c r="C694" s="197"/>
      <c r="D694" s="8"/>
      <c r="E694" s="197"/>
      <c r="F694" s="197"/>
      <c r="G694" s="197"/>
      <c r="H694" s="197"/>
      <c r="I694" s="197"/>
      <c r="J694" s="8"/>
      <c r="K694" s="197"/>
      <c r="L694" s="8"/>
      <c r="M694" s="197"/>
      <c r="N694" s="197"/>
      <c r="O694" s="197"/>
      <c r="P694" s="197"/>
      <c r="Q694" s="197"/>
      <c r="R694" s="197"/>
      <c r="S694" s="197"/>
      <c r="T694" s="13"/>
      <c r="U694" s="13"/>
      <c r="V694" s="13"/>
      <c r="W694" s="13"/>
      <c r="X694" s="13"/>
      <c r="Y694" s="13"/>
      <c r="Z694" s="13"/>
    </row>
    <row r="695" spans="1:26" ht="12.75" customHeight="1" x14ac:dyDescent="0.2">
      <c r="A695" s="8"/>
      <c r="B695" s="8"/>
      <c r="C695" s="197"/>
      <c r="D695" s="8"/>
      <c r="E695" s="197"/>
      <c r="F695" s="197"/>
      <c r="G695" s="197"/>
      <c r="H695" s="197"/>
      <c r="I695" s="197"/>
      <c r="J695" s="8"/>
      <c r="K695" s="197"/>
      <c r="L695" s="8"/>
      <c r="M695" s="197"/>
      <c r="N695" s="197"/>
      <c r="O695" s="197"/>
      <c r="P695" s="197"/>
      <c r="Q695" s="197"/>
      <c r="R695" s="197"/>
      <c r="S695" s="197"/>
      <c r="T695" s="13"/>
      <c r="U695" s="13"/>
      <c r="V695" s="13"/>
      <c r="W695" s="13"/>
      <c r="X695" s="13"/>
      <c r="Y695" s="13"/>
      <c r="Z695" s="13"/>
    </row>
    <row r="696" spans="1:26" ht="12.75" customHeight="1" x14ac:dyDescent="0.2">
      <c r="A696" s="8"/>
      <c r="B696" s="8"/>
      <c r="C696" s="197"/>
      <c r="D696" s="8"/>
      <c r="E696" s="197"/>
      <c r="F696" s="197"/>
      <c r="G696" s="197"/>
      <c r="H696" s="197"/>
      <c r="I696" s="197"/>
      <c r="J696" s="8"/>
      <c r="K696" s="197"/>
      <c r="L696" s="8"/>
      <c r="M696" s="197"/>
      <c r="N696" s="197"/>
      <c r="O696" s="197"/>
      <c r="P696" s="197"/>
      <c r="Q696" s="197"/>
      <c r="R696" s="197"/>
      <c r="S696" s="197"/>
      <c r="T696" s="13"/>
      <c r="U696" s="13"/>
      <c r="V696" s="13"/>
      <c r="W696" s="13"/>
      <c r="X696" s="13"/>
      <c r="Y696" s="13"/>
      <c r="Z696" s="13"/>
    </row>
    <row r="697" spans="1:26" ht="12.75" customHeight="1" x14ac:dyDescent="0.2">
      <c r="A697" s="8"/>
      <c r="B697" s="8"/>
      <c r="C697" s="197"/>
      <c r="D697" s="8"/>
      <c r="E697" s="197"/>
      <c r="F697" s="197"/>
      <c r="G697" s="197"/>
      <c r="H697" s="197"/>
      <c r="I697" s="197"/>
      <c r="J697" s="8"/>
      <c r="K697" s="197"/>
      <c r="L697" s="8"/>
      <c r="M697" s="197"/>
      <c r="N697" s="197"/>
      <c r="O697" s="197"/>
      <c r="P697" s="197"/>
      <c r="Q697" s="197"/>
      <c r="R697" s="197"/>
      <c r="S697" s="197"/>
      <c r="T697" s="13"/>
      <c r="U697" s="13"/>
      <c r="V697" s="13"/>
      <c r="W697" s="13"/>
      <c r="X697" s="13"/>
      <c r="Y697" s="13"/>
      <c r="Z697" s="13"/>
    </row>
    <row r="698" spans="1:26" ht="12.75" customHeight="1" x14ac:dyDescent="0.2">
      <c r="A698" s="8"/>
      <c r="B698" s="8"/>
      <c r="C698" s="197"/>
      <c r="D698" s="8"/>
      <c r="E698" s="197"/>
      <c r="F698" s="197"/>
      <c r="G698" s="197"/>
      <c r="H698" s="197"/>
      <c r="I698" s="197"/>
      <c r="J698" s="8"/>
      <c r="K698" s="197"/>
      <c r="L698" s="8"/>
      <c r="M698" s="197"/>
      <c r="N698" s="197"/>
      <c r="O698" s="197"/>
      <c r="P698" s="197"/>
      <c r="Q698" s="197"/>
      <c r="R698" s="197"/>
      <c r="S698" s="197"/>
      <c r="T698" s="13"/>
      <c r="U698" s="13"/>
      <c r="V698" s="13"/>
      <c r="W698" s="13"/>
      <c r="X698" s="13"/>
      <c r="Y698" s="13"/>
      <c r="Z698" s="13"/>
    </row>
    <row r="699" spans="1:26" ht="12.75" customHeight="1" x14ac:dyDescent="0.2">
      <c r="A699" s="8"/>
      <c r="B699" s="8"/>
      <c r="C699" s="197"/>
      <c r="D699" s="8"/>
      <c r="E699" s="197"/>
      <c r="F699" s="197"/>
      <c r="G699" s="197"/>
      <c r="H699" s="197"/>
      <c r="I699" s="197"/>
      <c r="J699" s="8"/>
      <c r="K699" s="197"/>
      <c r="L699" s="8"/>
      <c r="M699" s="197"/>
      <c r="N699" s="197"/>
      <c r="O699" s="197"/>
      <c r="P699" s="197"/>
      <c r="Q699" s="197"/>
      <c r="R699" s="197"/>
      <c r="S699" s="197"/>
      <c r="T699" s="13"/>
      <c r="U699" s="13"/>
      <c r="V699" s="13"/>
      <c r="W699" s="13"/>
      <c r="X699" s="13"/>
      <c r="Y699" s="13"/>
      <c r="Z699" s="13"/>
    </row>
    <row r="700" spans="1:26" ht="12.75" customHeight="1" x14ac:dyDescent="0.2">
      <c r="A700" s="8"/>
      <c r="B700" s="8"/>
      <c r="C700" s="197"/>
      <c r="D700" s="8"/>
      <c r="E700" s="197"/>
      <c r="F700" s="197"/>
      <c r="G700" s="197"/>
      <c r="H700" s="197"/>
      <c r="I700" s="197"/>
      <c r="J700" s="8"/>
      <c r="K700" s="197"/>
      <c r="L700" s="8"/>
      <c r="M700" s="197"/>
      <c r="N700" s="197"/>
      <c r="O700" s="197"/>
      <c r="P700" s="197"/>
      <c r="Q700" s="197"/>
      <c r="R700" s="197"/>
      <c r="S700" s="197"/>
      <c r="T700" s="13"/>
      <c r="U700" s="13"/>
      <c r="V700" s="13"/>
      <c r="W700" s="13"/>
      <c r="X700" s="13"/>
      <c r="Y700" s="13"/>
      <c r="Z700" s="13"/>
    </row>
    <row r="701" spans="1:26" ht="12.75" customHeight="1" x14ac:dyDescent="0.2">
      <c r="A701" s="8"/>
      <c r="B701" s="8"/>
      <c r="C701" s="197"/>
      <c r="D701" s="8"/>
      <c r="E701" s="197"/>
      <c r="F701" s="197"/>
      <c r="G701" s="197"/>
      <c r="H701" s="197"/>
      <c r="I701" s="197"/>
      <c r="J701" s="8"/>
      <c r="K701" s="197"/>
      <c r="L701" s="8"/>
      <c r="M701" s="197"/>
      <c r="N701" s="197"/>
      <c r="O701" s="197"/>
      <c r="P701" s="197"/>
      <c r="Q701" s="197"/>
      <c r="R701" s="197"/>
      <c r="S701" s="197"/>
      <c r="T701" s="13"/>
      <c r="U701" s="13"/>
      <c r="V701" s="13"/>
      <c r="W701" s="13"/>
      <c r="X701" s="13"/>
      <c r="Y701" s="13"/>
      <c r="Z701" s="13"/>
    </row>
    <row r="702" spans="1:26" ht="12.75" customHeight="1" x14ac:dyDescent="0.2">
      <c r="A702" s="8"/>
      <c r="B702" s="8"/>
      <c r="C702" s="197"/>
      <c r="D702" s="8"/>
      <c r="E702" s="197"/>
      <c r="F702" s="197"/>
      <c r="G702" s="197"/>
      <c r="H702" s="197"/>
      <c r="I702" s="197"/>
      <c r="J702" s="8"/>
      <c r="K702" s="197"/>
      <c r="L702" s="8"/>
      <c r="M702" s="197"/>
      <c r="N702" s="197"/>
      <c r="O702" s="197"/>
      <c r="P702" s="197"/>
      <c r="Q702" s="197"/>
      <c r="R702" s="197"/>
      <c r="S702" s="197"/>
      <c r="T702" s="13"/>
      <c r="U702" s="13"/>
      <c r="V702" s="13"/>
      <c r="W702" s="13"/>
      <c r="X702" s="13"/>
      <c r="Y702" s="13"/>
      <c r="Z702" s="13"/>
    </row>
    <row r="703" spans="1:26" ht="12.75" customHeight="1" x14ac:dyDescent="0.2">
      <c r="A703" s="8"/>
      <c r="B703" s="8"/>
      <c r="C703" s="197"/>
      <c r="D703" s="8"/>
      <c r="E703" s="197"/>
      <c r="F703" s="197"/>
      <c r="G703" s="197"/>
      <c r="H703" s="197"/>
      <c r="I703" s="197"/>
      <c r="J703" s="8"/>
      <c r="K703" s="197"/>
      <c r="L703" s="8"/>
      <c r="M703" s="197"/>
      <c r="N703" s="197"/>
      <c r="O703" s="197"/>
      <c r="P703" s="197"/>
      <c r="Q703" s="197"/>
      <c r="R703" s="197"/>
      <c r="S703" s="197"/>
      <c r="T703" s="13"/>
      <c r="U703" s="13"/>
      <c r="V703" s="13"/>
      <c r="W703" s="13"/>
      <c r="X703" s="13"/>
      <c r="Y703" s="13"/>
      <c r="Z703" s="13"/>
    </row>
    <row r="704" spans="1:26" ht="12.75" customHeight="1" x14ac:dyDescent="0.2">
      <c r="A704" s="8"/>
      <c r="B704" s="8"/>
      <c r="C704" s="197"/>
      <c r="D704" s="8"/>
      <c r="E704" s="197"/>
      <c r="F704" s="197"/>
      <c r="G704" s="197"/>
      <c r="H704" s="197"/>
      <c r="I704" s="197"/>
      <c r="J704" s="8"/>
      <c r="K704" s="197"/>
      <c r="L704" s="8"/>
      <c r="M704" s="197"/>
      <c r="N704" s="197"/>
      <c r="O704" s="197"/>
      <c r="P704" s="197"/>
      <c r="Q704" s="197"/>
      <c r="R704" s="197"/>
      <c r="S704" s="197"/>
      <c r="T704" s="13"/>
      <c r="U704" s="13"/>
      <c r="V704" s="13"/>
      <c r="W704" s="13"/>
      <c r="X704" s="13"/>
      <c r="Y704" s="13"/>
      <c r="Z704" s="13"/>
    </row>
    <row r="705" spans="1:26" ht="12.75" customHeight="1" x14ac:dyDescent="0.2">
      <c r="A705" s="8"/>
      <c r="B705" s="8"/>
      <c r="C705" s="197"/>
      <c r="D705" s="8"/>
      <c r="E705" s="197"/>
      <c r="F705" s="197"/>
      <c r="G705" s="197"/>
      <c r="H705" s="197"/>
      <c r="I705" s="197"/>
      <c r="J705" s="8"/>
      <c r="K705" s="197"/>
      <c r="L705" s="8"/>
      <c r="M705" s="197"/>
      <c r="N705" s="197"/>
      <c r="O705" s="197"/>
      <c r="P705" s="197"/>
      <c r="Q705" s="197"/>
      <c r="R705" s="197"/>
      <c r="S705" s="197"/>
      <c r="T705" s="13"/>
      <c r="U705" s="13"/>
      <c r="V705" s="13"/>
      <c r="W705" s="13"/>
      <c r="X705" s="13"/>
      <c r="Y705" s="13"/>
      <c r="Z705" s="13"/>
    </row>
    <row r="706" spans="1:26" ht="12.75" customHeight="1" x14ac:dyDescent="0.2">
      <c r="A706" s="8"/>
      <c r="B706" s="8"/>
      <c r="C706" s="197"/>
      <c r="D706" s="8"/>
      <c r="E706" s="197"/>
      <c r="F706" s="197"/>
      <c r="G706" s="197"/>
      <c r="H706" s="197"/>
      <c r="I706" s="197"/>
      <c r="J706" s="8"/>
      <c r="K706" s="197"/>
      <c r="L706" s="8"/>
      <c r="M706" s="197"/>
      <c r="N706" s="197"/>
      <c r="O706" s="197"/>
      <c r="P706" s="197"/>
      <c r="Q706" s="197"/>
      <c r="R706" s="197"/>
      <c r="S706" s="197"/>
      <c r="T706" s="13"/>
      <c r="U706" s="13"/>
      <c r="V706" s="13"/>
      <c r="W706" s="13"/>
      <c r="X706" s="13"/>
      <c r="Y706" s="13"/>
      <c r="Z706" s="13"/>
    </row>
    <row r="707" spans="1:26" ht="12.75" customHeight="1" x14ac:dyDescent="0.2">
      <c r="A707" s="8"/>
      <c r="B707" s="8"/>
      <c r="C707" s="197"/>
      <c r="D707" s="8"/>
      <c r="E707" s="197"/>
      <c r="F707" s="197"/>
      <c r="G707" s="197"/>
      <c r="H707" s="197"/>
      <c r="I707" s="197"/>
      <c r="J707" s="8"/>
      <c r="K707" s="197"/>
      <c r="L707" s="8"/>
      <c r="M707" s="197"/>
      <c r="N707" s="197"/>
      <c r="O707" s="197"/>
      <c r="P707" s="197"/>
      <c r="Q707" s="197"/>
      <c r="R707" s="197"/>
      <c r="S707" s="197"/>
      <c r="T707" s="13"/>
      <c r="U707" s="13"/>
      <c r="V707" s="13"/>
      <c r="W707" s="13"/>
      <c r="X707" s="13"/>
      <c r="Y707" s="13"/>
      <c r="Z707" s="13"/>
    </row>
    <row r="708" spans="1:26" ht="12.75" customHeight="1" x14ac:dyDescent="0.2">
      <c r="A708" s="8"/>
      <c r="B708" s="8"/>
      <c r="C708" s="197"/>
      <c r="D708" s="8"/>
      <c r="E708" s="197"/>
      <c r="F708" s="197"/>
      <c r="G708" s="197"/>
      <c r="H708" s="197"/>
      <c r="I708" s="197"/>
      <c r="J708" s="8"/>
      <c r="K708" s="197"/>
      <c r="L708" s="8"/>
      <c r="M708" s="197"/>
      <c r="N708" s="197"/>
      <c r="O708" s="197"/>
      <c r="P708" s="197"/>
      <c r="Q708" s="197"/>
      <c r="R708" s="197"/>
      <c r="S708" s="197"/>
      <c r="T708" s="13"/>
      <c r="U708" s="13"/>
      <c r="V708" s="13"/>
      <c r="W708" s="13"/>
      <c r="X708" s="13"/>
      <c r="Y708" s="13"/>
      <c r="Z708" s="13"/>
    </row>
    <row r="709" spans="1:26" ht="12.75" customHeight="1" x14ac:dyDescent="0.2">
      <c r="A709" s="8"/>
      <c r="B709" s="8"/>
      <c r="C709" s="197"/>
      <c r="D709" s="8"/>
      <c r="E709" s="197"/>
      <c r="F709" s="197"/>
      <c r="G709" s="197"/>
      <c r="H709" s="197"/>
      <c r="I709" s="197"/>
      <c r="J709" s="8"/>
      <c r="K709" s="197"/>
      <c r="L709" s="8"/>
      <c r="M709" s="197"/>
      <c r="N709" s="197"/>
      <c r="O709" s="197"/>
      <c r="P709" s="197"/>
      <c r="Q709" s="197"/>
      <c r="R709" s="197"/>
      <c r="S709" s="197"/>
      <c r="T709" s="13"/>
      <c r="U709" s="13"/>
      <c r="V709" s="13"/>
      <c r="W709" s="13"/>
      <c r="X709" s="13"/>
      <c r="Y709" s="13"/>
      <c r="Z709" s="13"/>
    </row>
    <row r="710" spans="1:26" ht="12.75" customHeight="1" x14ac:dyDescent="0.2">
      <c r="A710" s="8"/>
      <c r="B710" s="8"/>
      <c r="C710" s="197"/>
      <c r="D710" s="8"/>
      <c r="E710" s="197"/>
      <c r="F710" s="197"/>
      <c r="G710" s="197"/>
      <c r="H710" s="197"/>
      <c r="I710" s="197"/>
      <c r="J710" s="8"/>
      <c r="K710" s="197"/>
      <c r="L710" s="8"/>
      <c r="M710" s="197"/>
      <c r="N710" s="197"/>
      <c r="O710" s="197"/>
      <c r="P710" s="197"/>
      <c r="Q710" s="197"/>
      <c r="R710" s="197"/>
      <c r="S710" s="197"/>
      <c r="T710" s="13"/>
      <c r="U710" s="13"/>
      <c r="V710" s="13"/>
      <c r="W710" s="13"/>
      <c r="X710" s="13"/>
      <c r="Y710" s="13"/>
      <c r="Z710" s="13"/>
    </row>
    <row r="711" spans="1:26" ht="12.75" customHeight="1" x14ac:dyDescent="0.2">
      <c r="A711" s="8"/>
      <c r="B711" s="8"/>
      <c r="C711" s="197"/>
      <c r="D711" s="8"/>
      <c r="E711" s="197"/>
      <c r="F711" s="197"/>
      <c r="G711" s="197"/>
      <c r="H711" s="197"/>
      <c r="I711" s="197"/>
      <c r="J711" s="8"/>
      <c r="K711" s="197"/>
      <c r="L711" s="8"/>
      <c r="M711" s="197"/>
      <c r="N711" s="197"/>
      <c r="O711" s="197"/>
      <c r="P711" s="197"/>
      <c r="Q711" s="197"/>
      <c r="R711" s="197"/>
      <c r="S711" s="197"/>
      <c r="T711" s="13"/>
      <c r="U711" s="13"/>
      <c r="V711" s="13"/>
      <c r="W711" s="13"/>
      <c r="X711" s="13"/>
      <c r="Y711" s="13"/>
      <c r="Z711" s="13"/>
    </row>
    <row r="712" spans="1:26" ht="12.75" customHeight="1" x14ac:dyDescent="0.2">
      <c r="A712" s="8"/>
      <c r="B712" s="8"/>
      <c r="C712" s="197"/>
      <c r="D712" s="8"/>
      <c r="E712" s="197"/>
      <c r="F712" s="197"/>
      <c r="G712" s="197"/>
      <c r="H712" s="197"/>
      <c r="I712" s="197"/>
      <c r="J712" s="8"/>
      <c r="K712" s="197"/>
      <c r="L712" s="8"/>
      <c r="M712" s="197"/>
      <c r="N712" s="197"/>
      <c r="O712" s="197"/>
      <c r="P712" s="197"/>
      <c r="Q712" s="197"/>
      <c r="R712" s="197"/>
      <c r="S712" s="197"/>
      <c r="T712" s="13"/>
      <c r="U712" s="13"/>
      <c r="V712" s="13"/>
      <c r="W712" s="13"/>
      <c r="X712" s="13"/>
      <c r="Y712" s="13"/>
      <c r="Z712" s="13"/>
    </row>
    <row r="713" spans="1:26" ht="12.75" customHeight="1" x14ac:dyDescent="0.2">
      <c r="A713" s="8"/>
      <c r="B713" s="8"/>
      <c r="C713" s="197"/>
      <c r="D713" s="8"/>
      <c r="E713" s="197"/>
      <c r="F713" s="197"/>
      <c r="G713" s="197"/>
      <c r="H713" s="197"/>
      <c r="I713" s="197"/>
      <c r="J713" s="8"/>
      <c r="K713" s="197"/>
      <c r="L713" s="8"/>
      <c r="M713" s="197"/>
      <c r="N713" s="197"/>
      <c r="O713" s="197"/>
      <c r="P713" s="197"/>
      <c r="Q713" s="197"/>
      <c r="R713" s="197"/>
      <c r="S713" s="197"/>
      <c r="T713" s="13"/>
      <c r="U713" s="13"/>
      <c r="V713" s="13"/>
      <c r="W713" s="13"/>
      <c r="X713" s="13"/>
      <c r="Y713" s="13"/>
      <c r="Z713" s="13"/>
    </row>
    <row r="714" spans="1:26" ht="12.75" customHeight="1" x14ac:dyDescent="0.2">
      <c r="A714" s="8"/>
      <c r="B714" s="8"/>
      <c r="C714" s="197"/>
      <c r="D714" s="8"/>
      <c r="E714" s="197"/>
      <c r="F714" s="197"/>
      <c r="G714" s="197"/>
      <c r="H714" s="197"/>
      <c r="I714" s="197"/>
      <c r="J714" s="8"/>
      <c r="K714" s="197"/>
      <c r="L714" s="8"/>
      <c r="M714" s="197"/>
      <c r="N714" s="197"/>
      <c r="O714" s="197"/>
      <c r="P714" s="197"/>
      <c r="Q714" s="197"/>
      <c r="R714" s="197"/>
      <c r="S714" s="197"/>
      <c r="T714" s="13"/>
      <c r="U714" s="13"/>
      <c r="V714" s="13"/>
      <c r="W714" s="13"/>
      <c r="X714" s="13"/>
      <c r="Y714" s="13"/>
      <c r="Z714" s="13"/>
    </row>
    <row r="715" spans="1:26" ht="12.75" customHeight="1" x14ac:dyDescent="0.2">
      <c r="A715" s="8"/>
      <c r="B715" s="8"/>
      <c r="C715" s="197"/>
      <c r="D715" s="8"/>
      <c r="E715" s="197"/>
      <c r="F715" s="197"/>
      <c r="G715" s="197"/>
      <c r="H715" s="197"/>
      <c r="I715" s="197"/>
      <c r="J715" s="8"/>
      <c r="K715" s="197"/>
      <c r="L715" s="8"/>
      <c r="M715" s="197"/>
      <c r="N715" s="197"/>
      <c r="O715" s="197"/>
      <c r="P715" s="197"/>
      <c r="Q715" s="197"/>
      <c r="R715" s="197"/>
      <c r="S715" s="197"/>
      <c r="T715" s="13"/>
      <c r="U715" s="13"/>
      <c r="V715" s="13"/>
      <c r="W715" s="13"/>
      <c r="X715" s="13"/>
      <c r="Y715" s="13"/>
      <c r="Z715" s="13"/>
    </row>
    <row r="716" spans="1:26" ht="12.75" customHeight="1" x14ac:dyDescent="0.2">
      <c r="A716" s="8"/>
      <c r="B716" s="8"/>
      <c r="C716" s="197"/>
      <c r="D716" s="8"/>
      <c r="E716" s="197"/>
      <c r="F716" s="197"/>
      <c r="G716" s="197"/>
      <c r="H716" s="197"/>
      <c r="I716" s="197"/>
      <c r="J716" s="8"/>
      <c r="K716" s="197"/>
      <c r="L716" s="8"/>
      <c r="M716" s="197"/>
      <c r="N716" s="197"/>
      <c r="O716" s="197"/>
      <c r="P716" s="197"/>
      <c r="Q716" s="197"/>
      <c r="R716" s="197"/>
      <c r="S716" s="197"/>
      <c r="T716" s="13"/>
      <c r="U716" s="13"/>
      <c r="V716" s="13"/>
      <c r="W716" s="13"/>
      <c r="X716" s="13"/>
      <c r="Y716" s="13"/>
      <c r="Z716" s="13"/>
    </row>
    <row r="717" spans="1:26" ht="12.75" customHeight="1" x14ac:dyDescent="0.2">
      <c r="A717" s="8"/>
      <c r="B717" s="8"/>
      <c r="C717" s="197"/>
      <c r="D717" s="8"/>
      <c r="E717" s="197"/>
      <c r="F717" s="197"/>
      <c r="G717" s="197"/>
      <c r="H717" s="197"/>
      <c r="I717" s="197"/>
      <c r="J717" s="8"/>
      <c r="K717" s="197"/>
      <c r="L717" s="8"/>
      <c r="M717" s="197"/>
      <c r="N717" s="197"/>
      <c r="O717" s="197"/>
      <c r="P717" s="197"/>
      <c r="Q717" s="197"/>
      <c r="R717" s="197"/>
      <c r="S717" s="197"/>
      <c r="T717" s="13"/>
      <c r="U717" s="13"/>
      <c r="V717" s="13"/>
      <c r="W717" s="13"/>
      <c r="X717" s="13"/>
      <c r="Y717" s="13"/>
      <c r="Z717" s="13"/>
    </row>
    <row r="718" spans="1:26" ht="12.75" customHeight="1" x14ac:dyDescent="0.2">
      <c r="A718" s="8"/>
      <c r="B718" s="8"/>
      <c r="C718" s="197"/>
      <c r="D718" s="8"/>
      <c r="E718" s="197"/>
      <c r="F718" s="197"/>
      <c r="G718" s="197"/>
      <c r="H718" s="197"/>
      <c r="I718" s="197"/>
      <c r="J718" s="8"/>
      <c r="K718" s="197"/>
      <c r="L718" s="8"/>
      <c r="M718" s="197"/>
      <c r="N718" s="197"/>
      <c r="O718" s="197"/>
      <c r="P718" s="197"/>
      <c r="Q718" s="197"/>
      <c r="R718" s="197"/>
      <c r="S718" s="197"/>
      <c r="T718" s="13"/>
      <c r="U718" s="13"/>
      <c r="V718" s="13"/>
      <c r="W718" s="13"/>
      <c r="X718" s="13"/>
      <c r="Y718" s="13"/>
      <c r="Z718" s="13"/>
    </row>
    <row r="719" spans="1:26" ht="12.75" customHeight="1" x14ac:dyDescent="0.2">
      <c r="A719" s="8"/>
      <c r="B719" s="8"/>
      <c r="C719" s="197"/>
      <c r="D719" s="8"/>
      <c r="E719" s="197"/>
      <c r="F719" s="197"/>
      <c r="G719" s="197"/>
      <c r="H719" s="197"/>
      <c r="I719" s="197"/>
      <c r="J719" s="8"/>
      <c r="K719" s="197"/>
      <c r="L719" s="8"/>
      <c r="M719" s="197"/>
      <c r="N719" s="197"/>
      <c r="O719" s="197"/>
      <c r="P719" s="197"/>
      <c r="Q719" s="197"/>
      <c r="R719" s="197"/>
      <c r="S719" s="197"/>
      <c r="T719" s="13"/>
      <c r="U719" s="13"/>
      <c r="V719" s="13"/>
      <c r="W719" s="13"/>
      <c r="X719" s="13"/>
      <c r="Y719" s="13"/>
      <c r="Z719" s="13"/>
    </row>
    <row r="720" spans="1:26" ht="12.75" customHeight="1" x14ac:dyDescent="0.2">
      <c r="A720" s="8"/>
      <c r="B720" s="8"/>
      <c r="C720" s="197"/>
      <c r="D720" s="8"/>
      <c r="E720" s="197"/>
      <c r="F720" s="197"/>
      <c r="G720" s="197"/>
      <c r="H720" s="197"/>
      <c r="I720" s="197"/>
      <c r="J720" s="8"/>
      <c r="K720" s="197"/>
      <c r="L720" s="8"/>
      <c r="M720" s="197"/>
      <c r="N720" s="197"/>
      <c r="O720" s="197"/>
      <c r="P720" s="197"/>
      <c r="Q720" s="197"/>
      <c r="R720" s="197"/>
      <c r="S720" s="197"/>
      <c r="T720" s="13"/>
      <c r="U720" s="13"/>
      <c r="V720" s="13"/>
      <c r="W720" s="13"/>
      <c r="X720" s="13"/>
      <c r="Y720" s="13"/>
      <c r="Z720" s="13"/>
    </row>
    <row r="721" spans="1:26" ht="12.75" customHeight="1" x14ac:dyDescent="0.2">
      <c r="A721" s="8"/>
      <c r="B721" s="8"/>
      <c r="C721" s="197"/>
      <c r="D721" s="8"/>
      <c r="E721" s="197"/>
      <c r="F721" s="197"/>
      <c r="G721" s="197"/>
      <c r="H721" s="197"/>
      <c r="I721" s="197"/>
      <c r="J721" s="8"/>
      <c r="K721" s="197"/>
      <c r="L721" s="8"/>
      <c r="M721" s="197"/>
      <c r="N721" s="197"/>
      <c r="O721" s="197"/>
      <c r="P721" s="197"/>
      <c r="Q721" s="197"/>
      <c r="R721" s="197"/>
      <c r="S721" s="197"/>
      <c r="T721" s="13"/>
      <c r="U721" s="13"/>
      <c r="V721" s="13"/>
      <c r="W721" s="13"/>
      <c r="X721" s="13"/>
      <c r="Y721" s="13"/>
      <c r="Z721" s="13"/>
    </row>
    <row r="722" spans="1:26" ht="12.75" customHeight="1" x14ac:dyDescent="0.2">
      <c r="A722" s="8"/>
      <c r="B722" s="8"/>
      <c r="C722" s="197"/>
      <c r="D722" s="8"/>
      <c r="E722" s="197"/>
      <c r="F722" s="197"/>
      <c r="G722" s="197"/>
      <c r="H722" s="197"/>
      <c r="I722" s="197"/>
      <c r="J722" s="8"/>
      <c r="K722" s="197"/>
      <c r="L722" s="8"/>
      <c r="M722" s="197"/>
      <c r="N722" s="197"/>
      <c r="O722" s="197"/>
      <c r="P722" s="197"/>
      <c r="Q722" s="197"/>
      <c r="R722" s="197"/>
      <c r="S722" s="197"/>
      <c r="T722" s="13"/>
      <c r="U722" s="13"/>
      <c r="V722" s="13"/>
      <c r="W722" s="13"/>
      <c r="X722" s="13"/>
      <c r="Y722" s="13"/>
      <c r="Z722" s="13"/>
    </row>
    <row r="723" spans="1:26" ht="12.75" customHeight="1" x14ac:dyDescent="0.2">
      <c r="A723" s="8"/>
      <c r="B723" s="8"/>
      <c r="C723" s="197"/>
      <c r="D723" s="8"/>
      <c r="E723" s="197"/>
      <c r="F723" s="197"/>
      <c r="G723" s="197"/>
      <c r="H723" s="197"/>
      <c r="I723" s="197"/>
      <c r="J723" s="8"/>
      <c r="K723" s="197"/>
      <c r="L723" s="8"/>
      <c r="M723" s="197"/>
      <c r="N723" s="197"/>
      <c r="O723" s="197"/>
      <c r="P723" s="197"/>
      <c r="Q723" s="197"/>
      <c r="R723" s="197"/>
      <c r="S723" s="197"/>
      <c r="T723" s="13"/>
      <c r="U723" s="13"/>
      <c r="V723" s="13"/>
      <c r="W723" s="13"/>
      <c r="X723" s="13"/>
      <c r="Y723" s="13"/>
      <c r="Z723" s="13"/>
    </row>
    <row r="724" spans="1:26" ht="12.75" customHeight="1" x14ac:dyDescent="0.2">
      <c r="A724" s="8"/>
      <c r="B724" s="8"/>
      <c r="C724" s="197"/>
      <c r="D724" s="8"/>
      <c r="E724" s="197"/>
      <c r="F724" s="197"/>
      <c r="G724" s="197"/>
      <c r="H724" s="197"/>
      <c r="I724" s="197"/>
      <c r="J724" s="8"/>
      <c r="K724" s="197"/>
      <c r="L724" s="8"/>
      <c r="M724" s="197"/>
      <c r="N724" s="197"/>
      <c r="O724" s="197"/>
      <c r="P724" s="197"/>
      <c r="Q724" s="197"/>
      <c r="R724" s="197"/>
      <c r="S724" s="197"/>
      <c r="T724" s="13"/>
      <c r="U724" s="13"/>
      <c r="V724" s="13"/>
      <c r="W724" s="13"/>
      <c r="X724" s="13"/>
      <c r="Y724" s="13"/>
      <c r="Z724" s="13"/>
    </row>
    <row r="725" spans="1:26" ht="12.75" customHeight="1" x14ac:dyDescent="0.2">
      <c r="A725" s="8"/>
      <c r="B725" s="8"/>
      <c r="C725" s="197"/>
      <c r="D725" s="8"/>
      <c r="E725" s="197"/>
      <c r="F725" s="197"/>
      <c r="G725" s="197"/>
      <c r="H725" s="197"/>
      <c r="I725" s="197"/>
      <c r="J725" s="8"/>
      <c r="K725" s="197"/>
      <c r="L725" s="8"/>
      <c r="M725" s="197"/>
      <c r="N725" s="197"/>
      <c r="O725" s="197"/>
      <c r="P725" s="197"/>
      <c r="Q725" s="197"/>
      <c r="R725" s="197"/>
      <c r="S725" s="197"/>
      <c r="T725" s="13"/>
      <c r="U725" s="13"/>
      <c r="V725" s="13"/>
      <c r="W725" s="13"/>
      <c r="X725" s="13"/>
      <c r="Y725" s="13"/>
      <c r="Z725" s="13"/>
    </row>
    <row r="726" spans="1:26" ht="12.75" customHeight="1" x14ac:dyDescent="0.2">
      <c r="A726" s="8"/>
      <c r="B726" s="8"/>
      <c r="C726" s="197"/>
      <c r="D726" s="8"/>
      <c r="E726" s="197"/>
      <c r="F726" s="197"/>
      <c r="G726" s="197"/>
      <c r="H726" s="197"/>
      <c r="I726" s="197"/>
      <c r="J726" s="8"/>
      <c r="K726" s="197"/>
      <c r="L726" s="8"/>
      <c r="M726" s="197"/>
      <c r="N726" s="197"/>
      <c r="O726" s="197"/>
      <c r="P726" s="197"/>
      <c r="Q726" s="197"/>
      <c r="R726" s="197"/>
      <c r="S726" s="197"/>
      <c r="T726" s="13"/>
      <c r="U726" s="13"/>
      <c r="V726" s="13"/>
      <c r="W726" s="13"/>
      <c r="X726" s="13"/>
      <c r="Y726" s="13"/>
      <c r="Z726" s="13"/>
    </row>
    <row r="727" spans="1:26" ht="12.75" customHeight="1" x14ac:dyDescent="0.2">
      <c r="A727" s="8"/>
      <c r="B727" s="8"/>
      <c r="C727" s="197"/>
      <c r="D727" s="8"/>
      <c r="E727" s="197"/>
      <c r="F727" s="197"/>
      <c r="G727" s="197"/>
      <c r="H727" s="197"/>
      <c r="I727" s="197"/>
      <c r="J727" s="8"/>
      <c r="K727" s="197"/>
      <c r="L727" s="8"/>
      <c r="M727" s="197"/>
      <c r="N727" s="197"/>
      <c r="O727" s="197"/>
      <c r="P727" s="197"/>
      <c r="Q727" s="197"/>
      <c r="R727" s="197"/>
      <c r="S727" s="197"/>
      <c r="T727" s="13"/>
      <c r="U727" s="13"/>
      <c r="V727" s="13"/>
      <c r="W727" s="13"/>
      <c r="X727" s="13"/>
      <c r="Y727" s="13"/>
      <c r="Z727" s="13"/>
    </row>
    <row r="728" spans="1:26" ht="12.75" customHeight="1" x14ac:dyDescent="0.2">
      <c r="A728" s="8"/>
      <c r="B728" s="8"/>
      <c r="C728" s="197"/>
      <c r="D728" s="8"/>
      <c r="E728" s="197"/>
      <c r="F728" s="197"/>
      <c r="G728" s="197"/>
      <c r="H728" s="197"/>
      <c r="I728" s="197"/>
      <c r="J728" s="8"/>
      <c r="K728" s="197"/>
      <c r="L728" s="8"/>
      <c r="M728" s="197"/>
      <c r="N728" s="197"/>
      <c r="O728" s="197"/>
      <c r="P728" s="197"/>
      <c r="Q728" s="197"/>
      <c r="R728" s="197"/>
      <c r="S728" s="197"/>
      <c r="T728" s="13"/>
      <c r="U728" s="13"/>
      <c r="V728" s="13"/>
      <c r="W728" s="13"/>
      <c r="X728" s="13"/>
      <c r="Y728" s="13"/>
      <c r="Z728" s="13"/>
    </row>
    <row r="729" spans="1:26" ht="12.75" customHeight="1" x14ac:dyDescent="0.2">
      <c r="A729" s="8"/>
      <c r="B729" s="8"/>
      <c r="C729" s="197"/>
      <c r="D729" s="8"/>
      <c r="E729" s="197"/>
      <c r="F729" s="197"/>
      <c r="G729" s="197"/>
      <c r="H729" s="197"/>
      <c r="I729" s="197"/>
      <c r="J729" s="8"/>
      <c r="K729" s="197"/>
      <c r="L729" s="8"/>
      <c r="M729" s="197"/>
      <c r="N729" s="197"/>
      <c r="O729" s="197"/>
      <c r="P729" s="197"/>
      <c r="Q729" s="197"/>
      <c r="R729" s="197"/>
      <c r="S729" s="197"/>
      <c r="T729" s="13"/>
      <c r="U729" s="13"/>
      <c r="V729" s="13"/>
      <c r="W729" s="13"/>
      <c r="X729" s="13"/>
      <c r="Y729" s="13"/>
      <c r="Z729" s="13"/>
    </row>
    <row r="730" spans="1:26" ht="12.75" customHeight="1" x14ac:dyDescent="0.2">
      <c r="A730" s="8"/>
      <c r="B730" s="8"/>
      <c r="C730" s="197"/>
      <c r="D730" s="8"/>
      <c r="E730" s="197"/>
      <c r="F730" s="197"/>
      <c r="G730" s="197"/>
      <c r="H730" s="197"/>
      <c r="I730" s="197"/>
      <c r="J730" s="8"/>
      <c r="K730" s="197"/>
      <c r="L730" s="8"/>
      <c r="M730" s="197"/>
      <c r="N730" s="197"/>
      <c r="O730" s="197"/>
      <c r="P730" s="197"/>
      <c r="Q730" s="197"/>
      <c r="R730" s="197"/>
      <c r="S730" s="197"/>
      <c r="T730" s="13"/>
      <c r="U730" s="13"/>
      <c r="V730" s="13"/>
      <c r="W730" s="13"/>
      <c r="X730" s="13"/>
      <c r="Y730" s="13"/>
      <c r="Z730" s="13"/>
    </row>
    <row r="731" spans="1:26" ht="12.75" customHeight="1" x14ac:dyDescent="0.2">
      <c r="A731" s="8"/>
      <c r="B731" s="8"/>
      <c r="C731" s="197"/>
      <c r="D731" s="8"/>
      <c r="E731" s="197"/>
      <c r="F731" s="197"/>
      <c r="G731" s="197"/>
      <c r="H731" s="197"/>
      <c r="I731" s="197"/>
      <c r="J731" s="8"/>
      <c r="K731" s="197"/>
      <c r="L731" s="8"/>
      <c r="M731" s="197"/>
      <c r="N731" s="197"/>
      <c r="O731" s="197"/>
      <c r="P731" s="197"/>
      <c r="Q731" s="197"/>
      <c r="R731" s="197"/>
      <c r="S731" s="197"/>
      <c r="T731" s="13"/>
      <c r="U731" s="13"/>
      <c r="V731" s="13"/>
      <c r="W731" s="13"/>
      <c r="X731" s="13"/>
      <c r="Y731" s="13"/>
      <c r="Z731" s="13"/>
    </row>
    <row r="732" spans="1:26" ht="12.75" customHeight="1" x14ac:dyDescent="0.2">
      <c r="A732" s="8"/>
      <c r="B732" s="8"/>
      <c r="C732" s="197"/>
      <c r="D732" s="8"/>
      <c r="E732" s="197"/>
      <c r="F732" s="197"/>
      <c r="G732" s="197"/>
      <c r="H732" s="197"/>
      <c r="I732" s="197"/>
      <c r="J732" s="8"/>
      <c r="K732" s="197"/>
      <c r="L732" s="8"/>
      <c r="M732" s="197"/>
      <c r="N732" s="197"/>
      <c r="O732" s="197"/>
      <c r="P732" s="197"/>
      <c r="Q732" s="197"/>
      <c r="R732" s="197"/>
      <c r="S732" s="197"/>
      <c r="T732" s="13"/>
      <c r="U732" s="13"/>
      <c r="V732" s="13"/>
      <c r="W732" s="13"/>
      <c r="X732" s="13"/>
      <c r="Y732" s="13"/>
      <c r="Z732" s="13"/>
    </row>
    <row r="733" spans="1:26" ht="12.75" customHeight="1" x14ac:dyDescent="0.2">
      <c r="A733" s="8"/>
      <c r="B733" s="8"/>
      <c r="C733" s="197"/>
      <c r="D733" s="8"/>
      <c r="E733" s="197"/>
      <c r="F733" s="197"/>
      <c r="G733" s="197"/>
      <c r="H733" s="197"/>
      <c r="I733" s="197"/>
      <c r="J733" s="8"/>
      <c r="K733" s="197"/>
      <c r="L733" s="8"/>
      <c r="M733" s="197"/>
      <c r="N733" s="197"/>
      <c r="O733" s="197"/>
      <c r="P733" s="197"/>
      <c r="Q733" s="197"/>
      <c r="R733" s="197"/>
      <c r="S733" s="197"/>
      <c r="T733" s="13"/>
      <c r="U733" s="13"/>
      <c r="V733" s="13"/>
      <c r="W733" s="13"/>
      <c r="X733" s="13"/>
      <c r="Y733" s="13"/>
      <c r="Z733" s="13"/>
    </row>
    <row r="734" spans="1:26" ht="12.75" customHeight="1" x14ac:dyDescent="0.2">
      <c r="A734" s="8"/>
      <c r="B734" s="8"/>
      <c r="C734" s="197"/>
      <c r="D734" s="8"/>
      <c r="E734" s="197"/>
      <c r="F734" s="197"/>
      <c r="G734" s="197"/>
      <c r="H734" s="197"/>
      <c r="I734" s="197"/>
      <c r="J734" s="8"/>
      <c r="K734" s="197"/>
      <c r="L734" s="8"/>
      <c r="M734" s="197"/>
      <c r="N734" s="197"/>
      <c r="O734" s="197"/>
      <c r="P734" s="197"/>
      <c r="Q734" s="197"/>
      <c r="R734" s="197"/>
      <c r="S734" s="197"/>
      <c r="T734" s="13"/>
      <c r="U734" s="13"/>
      <c r="V734" s="13"/>
      <c r="W734" s="13"/>
      <c r="X734" s="13"/>
      <c r="Y734" s="13"/>
      <c r="Z734" s="13"/>
    </row>
    <row r="735" spans="1:26" ht="12.75" customHeight="1" x14ac:dyDescent="0.2">
      <c r="A735" s="8"/>
      <c r="B735" s="8"/>
      <c r="C735" s="197"/>
      <c r="D735" s="8"/>
      <c r="E735" s="197"/>
      <c r="F735" s="197"/>
      <c r="G735" s="197"/>
      <c r="H735" s="197"/>
      <c r="I735" s="197"/>
      <c r="J735" s="8"/>
      <c r="K735" s="197"/>
      <c r="L735" s="8"/>
      <c r="M735" s="197"/>
      <c r="N735" s="197"/>
      <c r="O735" s="197"/>
      <c r="P735" s="197"/>
      <c r="Q735" s="197"/>
      <c r="R735" s="197"/>
      <c r="S735" s="197"/>
      <c r="T735" s="13"/>
      <c r="U735" s="13"/>
      <c r="V735" s="13"/>
      <c r="W735" s="13"/>
      <c r="X735" s="13"/>
      <c r="Y735" s="13"/>
      <c r="Z735" s="13"/>
    </row>
    <row r="736" spans="1:26" ht="12.75" customHeight="1" x14ac:dyDescent="0.2">
      <c r="A736" s="8"/>
      <c r="B736" s="8"/>
      <c r="C736" s="197"/>
      <c r="D736" s="8"/>
      <c r="E736" s="197"/>
      <c r="F736" s="197"/>
      <c r="G736" s="197"/>
      <c r="H736" s="197"/>
      <c r="I736" s="197"/>
      <c r="J736" s="8"/>
      <c r="K736" s="197"/>
      <c r="L736" s="8"/>
      <c r="M736" s="197"/>
      <c r="N736" s="197"/>
      <c r="O736" s="197"/>
      <c r="P736" s="197"/>
      <c r="Q736" s="197"/>
      <c r="R736" s="197"/>
      <c r="S736" s="197"/>
      <c r="T736" s="13"/>
      <c r="U736" s="13"/>
      <c r="V736" s="13"/>
      <c r="W736" s="13"/>
      <c r="X736" s="13"/>
      <c r="Y736" s="13"/>
      <c r="Z736" s="13"/>
    </row>
    <row r="737" spans="1:26" ht="12.75" customHeight="1" x14ac:dyDescent="0.2">
      <c r="A737" s="8"/>
      <c r="B737" s="8"/>
      <c r="C737" s="197"/>
      <c r="D737" s="8"/>
      <c r="E737" s="197"/>
      <c r="F737" s="197"/>
      <c r="G737" s="197"/>
      <c r="H737" s="197"/>
      <c r="I737" s="197"/>
      <c r="J737" s="8"/>
      <c r="K737" s="197"/>
      <c r="L737" s="8"/>
      <c r="M737" s="197"/>
      <c r="N737" s="197"/>
      <c r="O737" s="197"/>
      <c r="P737" s="197"/>
      <c r="Q737" s="197"/>
      <c r="R737" s="197"/>
      <c r="S737" s="197"/>
      <c r="T737" s="13"/>
      <c r="U737" s="13"/>
      <c r="V737" s="13"/>
      <c r="W737" s="13"/>
      <c r="X737" s="13"/>
      <c r="Y737" s="13"/>
      <c r="Z737" s="13"/>
    </row>
    <row r="738" spans="1:26" ht="12.75" customHeight="1" x14ac:dyDescent="0.2">
      <c r="A738" s="8"/>
      <c r="B738" s="8"/>
      <c r="C738" s="197"/>
      <c r="D738" s="8"/>
      <c r="E738" s="197"/>
      <c r="F738" s="197"/>
      <c r="G738" s="197"/>
      <c r="H738" s="197"/>
      <c r="I738" s="197"/>
      <c r="J738" s="8"/>
      <c r="K738" s="197"/>
      <c r="L738" s="8"/>
      <c r="M738" s="197"/>
      <c r="N738" s="197"/>
      <c r="O738" s="197"/>
      <c r="P738" s="197"/>
      <c r="Q738" s="197"/>
      <c r="R738" s="197"/>
      <c r="S738" s="197"/>
      <c r="T738" s="13"/>
      <c r="U738" s="13"/>
      <c r="V738" s="13"/>
      <c r="W738" s="13"/>
      <c r="X738" s="13"/>
      <c r="Y738" s="13"/>
      <c r="Z738" s="13"/>
    </row>
    <row r="739" spans="1:26" ht="12.75" customHeight="1" x14ac:dyDescent="0.2">
      <c r="A739" s="8"/>
      <c r="B739" s="8"/>
      <c r="C739" s="197"/>
      <c r="D739" s="8"/>
      <c r="E739" s="197"/>
      <c r="F739" s="197"/>
      <c r="G739" s="197"/>
      <c r="H739" s="197"/>
      <c r="I739" s="197"/>
      <c r="J739" s="8"/>
      <c r="K739" s="197"/>
      <c r="L739" s="8"/>
      <c r="M739" s="197"/>
      <c r="N739" s="197"/>
      <c r="O739" s="197"/>
      <c r="P739" s="197"/>
      <c r="Q739" s="197"/>
      <c r="R739" s="197"/>
      <c r="S739" s="197"/>
      <c r="T739" s="13"/>
      <c r="U739" s="13"/>
      <c r="V739" s="13"/>
      <c r="W739" s="13"/>
      <c r="X739" s="13"/>
      <c r="Y739" s="13"/>
      <c r="Z739" s="13"/>
    </row>
    <row r="740" spans="1:26" ht="12.75" customHeight="1" x14ac:dyDescent="0.2">
      <c r="A740" s="8"/>
      <c r="B740" s="8"/>
      <c r="C740" s="197"/>
      <c r="D740" s="8"/>
      <c r="E740" s="197"/>
      <c r="F740" s="197"/>
      <c r="G740" s="197"/>
      <c r="H740" s="197"/>
      <c r="I740" s="197"/>
      <c r="J740" s="8"/>
      <c r="K740" s="197"/>
      <c r="L740" s="8"/>
      <c r="M740" s="197"/>
      <c r="N740" s="197"/>
      <c r="O740" s="197"/>
      <c r="P740" s="197"/>
      <c r="Q740" s="197"/>
      <c r="R740" s="197"/>
      <c r="S740" s="197"/>
      <c r="T740" s="13"/>
      <c r="U740" s="13"/>
      <c r="V740" s="13"/>
      <c r="W740" s="13"/>
      <c r="X740" s="13"/>
      <c r="Y740" s="13"/>
      <c r="Z740" s="13"/>
    </row>
    <row r="741" spans="1:26" ht="12.75" customHeight="1" x14ac:dyDescent="0.2">
      <c r="A741" s="8"/>
      <c r="B741" s="8"/>
      <c r="C741" s="197"/>
      <c r="D741" s="8"/>
      <c r="E741" s="197"/>
      <c r="F741" s="197"/>
      <c r="G741" s="197"/>
      <c r="H741" s="197"/>
      <c r="I741" s="197"/>
      <c r="J741" s="8"/>
      <c r="K741" s="197"/>
      <c r="L741" s="8"/>
      <c r="M741" s="197"/>
      <c r="N741" s="197"/>
      <c r="O741" s="197"/>
      <c r="P741" s="197"/>
      <c r="Q741" s="197"/>
      <c r="R741" s="197"/>
      <c r="S741" s="197"/>
      <c r="T741" s="13"/>
      <c r="U741" s="13"/>
      <c r="V741" s="13"/>
      <c r="W741" s="13"/>
      <c r="X741" s="13"/>
      <c r="Y741" s="13"/>
      <c r="Z741" s="13"/>
    </row>
    <row r="742" spans="1:26" ht="12.75" customHeight="1" x14ac:dyDescent="0.2">
      <c r="A742" s="8"/>
      <c r="B742" s="8"/>
      <c r="C742" s="197"/>
      <c r="D742" s="8"/>
      <c r="E742" s="197"/>
      <c r="F742" s="197"/>
      <c r="G742" s="197"/>
      <c r="H742" s="197"/>
      <c r="I742" s="197"/>
      <c r="J742" s="8"/>
      <c r="K742" s="197"/>
      <c r="L742" s="8"/>
      <c r="M742" s="197"/>
      <c r="N742" s="197"/>
      <c r="O742" s="197"/>
      <c r="P742" s="197"/>
      <c r="Q742" s="197"/>
      <c r="R742" s="197"/>
      <c r="S742" s="197"/>
      <c r="T742" s="13"/>
      <c r="U742" s="13"/>
      <c r="V742" s="13"/>
      <c r="W742" s="13"/>
      <c r="X742" s="13"/>
      <c r="Y742" s="13"/>
      <c r="Z742" s="13"/>
    </row>
    <row r="743" spans="1:26" ht="12.75" customHeight="1" x14ac:dyDescent="0.2">
      <c r="A743" s="8"/>
      <c r="B743" s="8"/>
      <c r="C743" s="197"/>
      <c r="D743" s="8"/>
      <c r="E743" s="197"/>
      <c r="F743" s="197"/>
      <c r="G743" s="197"/>
      <c r="H743" s="197"/>
      <c r="I743" s="197"/>
      <c r="J743" s="8"/>
      <c r="K743" s="197"/>
      <c r="L743" s="8"/>
      <c r="M743" s="197"/>
      <c r="N743" s="197"/>
      <c r="O743" s="197"/>
      <c r="P743" s="197"/>
      <c r="Q743" s="197"/>
      <c r="R743" s="197"/>
      <c r="S743" s="197"/>
      <c r="T743" s="13"/>
      <c r="U743" s="13"/>
      <c r="V743" s="13"/>
      <c r="W743" s="13"/>
      <c r="X743" s="13"/>
      <c r="Y743" s="13"/>
      <c r="Z743" s="13"/>
    </row>
    <row r="744" spans="1:26" ht="12.75" customHeight="1" x14ac:dyDescent="0.2">
      <c r="A744" s="8"/>
      <c r="B744" s="8"/>
      <c r="C744" s="197"/>
      <c r="D744" s="8"/>
      <c r="E744" s="197"/>
      <c r="F744" s="197"/>
      <c r="G744" s="197"/>
      <c r="H744" s="197"/>
      <c r="I744" s="197"/>
      <c r="J744" s="8"/>
      <c r="K744" s="197"/>
      <c r="L744" s="8"/>
      <c r="M744" s="197"/>
      <c r="N744" s="197"/>
      <c r="O744" s="197"/>
      <c r="P744" s="197"/>
      <c r="Q744" s="197"/>
      <c r="R744" s="197"/>
      <c r="S744" s="197"/>
      <c r="T744" s="13"/>
      <c r="U744" s="13"/>
      <c r="V744" s="13"/>
      <c r="W744" s="13"/>
      <c r="X744" s="13"/>
      <c r="Y744" s="13"/>
      <c r="Z744" s="13"/>
    </row>
    <row r="745" spans="1:26" ht="12.75" customHeight="1" x14ac:dyDescent="0.2">
      <c r="A745" s="8"/>
      <c r="B745" s="8"/>
      <c r="C745" s="197"/>
      <c r="D745" s="8"/>
      <c r="E745" s="197"/>
      <c r="F745" s="197"/>
      <c r="G745" s="197"/>
      <c r="H745" s="197"/>
      <c r="I745" s="197"/>
      <c r="J745" s="8"/>
      <c r="K745" s="197"/>
      <c r="L745" s="8"/>
      <c r="M745" s="197"/>
      <c r="N745" s="197"/>
      <c r="O745" s="197"/>
      <c r="P745" s="197"/>
      <c r="Q745" s="197"/>
      <c r="R745" s="197"/>
      <c r="S745" s="197"/>
      <c r="T745" s="13"/>
      <c r="U745" s="13"/>
      <c r="V745" s="13"/>
      <c r="W745" s="13"/>
      <c r="X745" s="13"/>
      <c r="Y745" s="13"/>
      <c r="Z745" s="13"/>
    </row>
    <row r="746" spans="1:26" ht="12.75" customHeight="1" x14ac:dyDescent="0.2">
      <c r="A746" s="8"/>
      <c r="B746" s="8"/>
      <c r="C746" s="197"/>
      <c r="D746" s="8"/>
      <c r="E746" s="197"/>
      <c r="F746" s="197"/>
      <c r="G746" s="197"/>
      <c r="H746" s="197"/>
      <c r="I746" s="197"/>
      <c r="J746" s="8"/>
      <c r="K746" s="197"/>
      <c r="L746" s="8"/>
      <c r="M746" s="197"/>
      <c r="N746" s="197"/>
      <c r="O746" s="197"/>
      <c r="P746" s="197"/>
      <c r="Q746" s="197"/>
      <c r="R746" s="197"/>
      <c r="S746" s="197"/>
      <c r="T746" s="13"/>
      <c r="U746" s="13"/>
      <c r="V746" s="13"/>
      <c r="W746" s="13"/>
      <c r="X746" s="13"/>
      <c r="Y746" s="13"/>
      <c r="Z746" s="13"/>
    </row>
    <row r="747" spans="1:26" ht="12.75" customHeight="1" x14ac:dyDescent="0.2">
      <c r="A747" s="8"/>
      <c r="B747" s="8"/>
      <c r="C747" s="197"/>
      <c r="D747" s="8"/>
      <c r="E747" s="197"/>
      <c r="F747" s="197"/>
      <c r="G747" s="197"/>
      <c r="H747" s="197"/>
      <c r="I747" s="197"/>
      <c r="J747" s="8"/>
      <c r="K747" s="197"/>
      <c r="L747" s="8"/>
      <c r="M747" s="197"/>
      <c r="N747" s="197"/>
      <c r="O747" s="197"/>
      <c r="P747" s="197"/>
      <c r="Q747" s="197"/>
      <c r="R747" s="197"/>
      <c r="S747" s="197"/>
      <c r="T747" s="13"/>
      <c r="U747" s="13"/>
      <c r="V747" s="13"/>
      <c r="W747" s="13"/>
      <c r="X747" s="13"/>
      <c r="Y747" s="13"/>
      <c r="Z747" s="13"/>
    </row>
    <row r="748" spans="1:26" ht="12.75" customHeight="1" x14ac:dyDescent="0.2">
      <c r="A748" s="8"/>
      <c r="B748" s="8"/>
      <c r="C748" s="197"/>
      <c r="D748" s="8"/>
      <c r="E748" s="197"/>
      <c r="F748" s="197"/>
      <c r="G748" s="197"/>
      <c r="H748" s="197"/>
      <c r="I748" s="197"/>
      <c r="J748" s="8"/>
      <c r="K748" s="197"/>
      <c r="L748" s="8"/>
      <c r="M748" s="197"/>
      <c r="N748" s="197"/>
      <c r="O748" s="197"/>
      <c r="P748" s="197"/>
      <c r="Q748" s="197"/>
      <c r="R748" s="197"/>
      <c r="S748" s="197"/>
      <c r="T748" s="13"/>
      <c r="U748" s="13"/>
      <c r="V748" s="13"/>
      <c r="W748" s="13"/>
      <c r="X748" s="13"/>
      <c r="Y748" s="13"/>
      <c r="Z748" s="13"/>
    </row>
    <row r="749" spans="1:26" ht="12.75" customHeight="1" x14ac:dyDescent="0.2">
      <c r="A749" s="8"/>
      <c r="B749" s="8"/>
      <c r="C749" s="197"/>
      <c r="D749" s="8"/>
      <c r="E749" s="197"/>
      <c r="F749" s="197"/>
      <c r="G749" s="197"/>
      <c r="H749" s="197"/>
      <c r="I749" s="197"/>
      <c r="J749" s="8"/>
      <c r="K749" s="197"/>
      <c r="L749" s="8"/>
      <c r="M749" s="197"/>
      <c r="N749" s="197"/>
      <c r="O749" s="197"/>
      <c r="P749" s="197"/>
      <c r="Q749" s="197"/>
      <c r="R749" s="197"/>
      <c r="S749" s="197"/>
      <c r="T749" s="13"/>
      <c r="U749" s="13"/>
      <c r="V749" s="13"/>
      <c r="W749" s="13"/>
      <c r="X749" s="13"/>
      <c r="Y749" s="13"/>
      <c r="Z749" s="13"/>
    </row>
    <row r="750" spans="1:26" ht="12.75" customHeight="1" x14ac:dyDescent="0.2">
      <c r="A750" s="8"/>
      <c r="B750" s="8"/>
      <c r="C750" s="197"/>
      <c r="D750" s="8"/>
      <c r="E750" s="197"/>
      <c r="F750" s="197"/>
      <c r="G750" s="197"/>
      <c r="H750" s="197"/>
      <c r="I750" s="197"/>
      <c r="J750" s="8"/>
      <c r="K750" s="197"/>
      <c r="L750" s="8"/>
      <c r="M750" s="197"/>
      <c r="N750" s="197"/>
      <c r="O750" s="197"/>
      <c r="P750" s="197"/>
      <c r="Q750" s="197"/>
      <c r="R750" s="197"/>
      <c r="S750" s="197"/>
      <c r="T750" s="13"/>
      <c r="U750" s="13"/>
      <c r="V750" s="13"/>
      <c r="W750" s="13"/>
      <c r="X750" s="13"/>
      <c r="Y750" s="13"/>
      <c r="Z750" s="13"/>
    </row>
    <row r="751" spans="1:26" ht="12.75" customHeight="1" x14ac:dyDescent="0.2">
      <c r="A751" s="8"/>
      <c r="B751" s="8"/>
      <c r="C751" s="197"/>
      <c r="D751" s="8"/>
      <c r="E751" s="197"/>
      <c r="F751" s="197"/>
      <c r="G751" s="197"/>
      <c r="H751" s="197"/>
      <c r="I751" s="197"/>
      <c r="J751" s="8"/>
      <c r="K751" s="197"/>
      <c r="L751" s="8"/>
      <c r="M751" s="197"/>
      <c r="N751" s="197"/>
      <c r="O751" s="197"/>
      <c r="P751" s="197"/>
      <c r="Q751" s="197"/>
      <c r="R751" s="197"/>
      <c r="S751" s="197"/>
      <c r="T751" s="13"/>
      <c r="U751" s="13"/>
      <c r="V751" s="13"/>
      <c r="W751" s="13"/>
      <c r="X751" s="13"/>
      <c r="Y751" s="13"/>
      <c r="Z751" s="13"/>
    </row>
    <row r="752" spans="1:26" ht="12.75" customHeight="1" x14ac:dyDescent="0.2">
      <c r="A752" s="8"/>
      <c r="B752" s="8"/>
      <c r="C752" s="197"/>
      <c r="D752" s="8"/>
      <c r="E752" s="197"/>
      <c r="F752" s="197"/>
      <c r="G752" s="197"/>
      <c r="H752" s="197"/>
      <c r="I752" s="197"/>
      <c r="J752" s="8"/>
      <c r="K752" s="197"/>
      <c r="L752" s="8"/>
      <c r="M752" s="197"/>
      <c r="N752" s="197"/>
      <c r="O752" s="197"/>
      <c r="P752" s="197"/>
      <c r="Q752" s="197"/>
      <c r="R752" s="197"/>
      <c r="S752" s="197"/>
      <c r="T752" s="13"/>
      <c r="U752" s="13"/>
      <c r="V752" s="13"/>
      <c r="W752" s="13"/>
      <c r="X752" s="13"/>
      <c r="Y752" s="13"/>
      <c r="Z752" s="13"/>
    </row>
    <row r="753" spans="1:26" ht="12.75" customHeight="1" x14ac:dyDescent="0.2">
      <c r="A753" s="8"/>
      <c r="B753" s="8"/>
      <c r="C753" s="197"/>
      <c r="D753" s="8"/>
      <c r="E753" s="197"/>
      <c r="F753" s="197"/>
      <c r="G753" s="197"/>
      <c r="H753" s="197"/>
      <c r="I753" s="197"/>
      <c r="J753" s="8"/>
      <c r="K753" s="197"/>
      <c r="L753" s="8"/>
      <c r="M753" s="197"/>
      <c r="N753" s="197"/>
      <c r="O753" s="197"/>
      <c r="P753" s="197"/>
      <c r="Q753" s="197"/>
      <c r="R753" s="197"/>
      <c r="S753" s="197"/>
      <c r="T753" s="13"/>
      <c r="U753" s="13"/>
      <c r="V753" s="13"/>
      <c r="W753" s="13"/>
      <c r="X753" s="13"/>
      <c r="Y753" s="13"/>
      <c r="Z753" s="13"/>
    </row>
    <row r="754" spans="1:26" ht="12.75" customHeight="1" x14ac:dyDescent="0.2">
      <c r="A754" s="8"/>
      <c r="B754" s="8"/>
      <c r="C754" s="197"/>
      <c r="D754" s="8"/>
      <c r="E754" s="197"/>
      <c r="F754" s="197"/>
      <c r="G754" s="197"/>
      <c r="H754" s="197"/>
      <c r="I754" s="197"/>
      <c r="J754" s="8"/>
      <c r="K754" s="197"/>
      <c r="L754" s="8"/>
      <c r="M754" s="197"/>
      <c r="N754" s="197"/>
      <c r="O754" s="197"/>
      <c r="P754" s="197"/>
      <c r="Q754" s="197"/>
      <c r="R754" s="197"/>
      <c r="S754" s="197"/>
      <c r="T754" s="13"/>
      <c r="U754" s="13"/>
      <c r="V754" s="13"/>
      <c r="W754" s="13"/>
      <c r="X754" s="13"/>
      <c r="Y754" s="13"/>
      <c r="Z754" s="13"/>
    </row>
    <row r="755" spans="1:26" ht="12.75" customHeight="1" x14ac:dyDescent="0.2">
      <c r="A755" s="8"/>
      <c r="B755" s="8"/>
      <c r="C755" s="197"/>
      <c r="D755" s="8"/>
      <c r="E755" s="197"/>
      <c r="F755" s="197"/>
      <c r="G755" s="197"/>
      <c r="H755" s="197"/>
      <c r="I755" s="197"/>
      <c r="J755" s="8"/>
      <c r="K755" s="197"/>
      <c r="L755" s="8"/>
      <c r="M755" s="197"/>
      <c r="N755" s="197"/>
      <c r="O755" s="197"/>
      <c r="P755" s="197"/>
      <c r="Q755" s="197"/>
      <c r="R755" s="197"/>
      <c r="S755" s="197"/>
      <c r="T755" s="13"/>
      <c r="U755" s="13"/>
      <c r="V755" s="13"/>
      <c r="W755" s="13"/>
      <c r="X755" s="13"/>
      <c r="Y755" s="13"/>
      <c r="Z755" s="13"/>
    </row>
    <row r="756" spans="1:26" ht="12.75" customHeight="1" x14ac:dyDescent="0.2">
      <c r="A756" s="8"/>
      <c r="B756" s="8"/>
      <c r="C756" s="197"/>
      <c r="D756" s="8"/>
      <c r="E756" s="197"/>
      <c r="F756" s="197"/>
      <c r="G756" s="197"/>
      <c r="H756" s="197"/>
      <c r="I756" s="197"/>
      <c r="J756" s="8"/>
      <c r="K756" s="197"/>
      <c r="L756" s="8"/>
      <c r="M756" s="197"/>
      <c r="N756" s="197"/>
      <c r="O756" s="197"/>
      <c r="P756" s="197"/>
      <c r="Q756" s="197"/>
      <c r="R756" s="197"/>
      <c r="S756" s="197"/>
      <c r="T756" s="13"/>
      <c r="U756" s="13"/>
      <c r="V756" s="13"/>
      <c r="W756" s="13"/>
      <c r="X756" s="13"/>
      <c r="Y756" s="13"/>
      <c r="Z756" s="13"/>
    </row>
    <row r="757" spans="1:26" ht="12.75" customHeight="1" x14ac:dyDescent="0.2">
      <c r="A757" s="8"/>
      <c r="B757" s="8"/>
      <c r="C757" s="197"/>
      <c r="D757" s="8"/>
      <c r="E757" s="197"/>
      <c r="F757" s="197"/>
      <c r="G757" s="197"/>
      <c r="H757" s="197"/>
      <c r="I757" s="197"/>
      <c r="J757" s="8"/>
      <c r="K757" s="197"/>
      <c r="L757" s="8"/>
      <c r="M757" s="197"/>
      <c r="N757" s="197"/>
      <c r="O757" s="197"/>
      <c r="P757" s="197"/>
      <c r="Q757" s="197"/>
      <c r="R757" s="197"/>
      <c r="S757" s="197"/>
      <c r="T757" s="13"/>
      <c r="U757" s="13"/>
      <c r="V757" s="13"/>
      <c r="W757" s="13"/>
      <c r="X757" s="13"/>
      <c r="Y757" s="13"/>
      <c r="Z757" s="13"/>
    </row>
    <row r="758" spans="1:26" ht="12.75" customHeight="1" x14ac:dyDescent="0.2">
      <c r="A758" s="8"/>
      <c r="B758" s="8"/>
      <c r="C758" s="197"/>
      <c r="D758" s="8"/>
      <c r="E758" s="197"/>
      <c r="F758" s="197"/>
      <c r="G758" s="197"/>
      <c r="H758" s="197"/>
      <c r="I758" s="197"/>
      <c r="J758" s="8"/>
      <c r="K758" s="197"/>
      <c r="L758" s="8"/>
      <c r="M758" s="197"/>
      <c r="N758" s="197"/>
      <c r="O758" s="197"/>
      <c r="P758" s="197"/>
      <c r="Q758" s="197"/>
      <c r="R758" s="197"/>
      <c r="S758" s="197"/>
      <c r="T758" s="13"/>
      <c r="U758" s="13"/>
      <c r="V758" s="13"/>
      <c r="W758" s="13"/>
      <c r="X758" s="13"/>
      <c r="Y758" s="13"/>
      <c r="Z758" s="13"/>
    </row>
    <row r="759" spans="1:26" ht="12.75" customHeight="1" x14ac:dyDescent="0.2">
      <c r="A759" s="8"/>
      <c r="B759" s="8"/>
      <c r="C759" s="197"/>
      <c r="D759" s="8"/>
      <c r="E759" s="197"/>
      <c r="F759" s="197"/>
      <c r="G759" s="197"/>
      <c r="H759" s="197"/>
      <c r="I759" s="197"/>
      <c r="J759" s="8"/>
      <c r="K759" s="197"/>
      <c r="L759" s="8"/>
      <c r="M759" s="197"/>
      <c r="N759" s="197"/>
      <c r="O759" s="197"/>
      <c r="P759" s="197"/>
      <c r="Q759" s="197"/>
      <c r="R759" s="197"/>
      <c r="S759" s="197"/>
      <c r="T759" s="13"/>
      <c r="U759" s="13"/>
      <c r="V759" s="13"/>
      <c r="W759" s="13"/>
      <c r="X759" s="13"/>
      <c r="Y759" s="13"/>
      <c r="Z759" s="13"/>
    </row>
    <row r="760" spans="1:26" ht="12.75" customHeight="1" x14ac:dyDescent="0.2">
      <c r="A760" s="8"/>
      <c r="B760" s="8"/>
      <c r="C760" s="197"/>
      <c r="D760" s="8"/>
      <c r="E760" s="197"/>
      <c r="F760" s="197"/>
      <c r="G760" s="197"/>
      <c r="H760" s="197"/>
      <c r="I760" s="197"/>
      <c r="J760" s="8"/>
      <c r="K760" s="197"/>
      <c r="L760" s="8"/>
      <c r="M760" s="197"/>
      <c r="N760" s="197"/>
      <c r="O760" s="197"/>
      <c r="P760" s="197"/>
      <c r="Q760" s="197"/>
      <c r="R760" s="197"/>
      <c r="S760" s="197"/>
      <c r="T760" s="13"/>
      <c r="U760" s="13"/>
      <c r="V760" s="13"/>
      <c r="W760" s="13"/>
      <c r="X760" s="13"/>
      <c r="Y760" s="13"/>
      <c r="Z760" s="13"/>
    </row>
    <row r="761" spans="1:26" ht="12.75" customHeight="1" x14ac:dyDescent="0.2">
      <c r="A761" s="8"/>
      <c r="B761" s="8"/>
      <c r="C761" s="197"/>
      <c r="D761" s="8"/>
      <c r="E761" s="197"/>
      <c r="F761" s="197"/>
      <c r="G761" s="197"/>
      <c r="H761" s="197"/>
      <c r="I761" s="197"/>
      <c r="J761" s="8"/>
      <c r="K761" s="197"/>
      <c r="L761" s="8"/>
      <c r="M761" s="197"/>
      <c r="N761" s="197"/>
      <c r="O761" s="197"/>
      <c r="P761" s="197"/>
      <c r="Q761" s="197"/>
      <c r="R761" s="197"/>
      <c r="S761" s="197"/>
      <c r="T761" s="13"/>
      <c r="U761" s="13"/>
      <c r="V761" s="13"/>
      <c r="W761" s="13"/>
      <c r="X761" s="13"/>
      <c r="Y761" s="13"/>
      <c r="Z761" s="13"/>
    </row>
    <row r="762" spans="1:26" ht="12.75" customHeight="1" x14ac:dyDescent="0.2">
      <c r="A762" s="8"/>
      <c r="B762" s="8"/>
      <c r="C762" s="197"/>
      <c r="D762" s="8"/>
      <c r="E762" s="197"/>
      <c r="F762" s="197"/>
      <c r="G762" s="197"/>
      <c r="H762" s="197"/>
      <c r="I762" s="197"/>
      <c r="J762" s="8"/>
      <c r="K762" s="197"/>
      <c r="L762" s="8"/>
      <c r="M762" s="197"/>
      <c r="N762" s="197"/>
      <c r="O762" s="197"/>
      <c r="P762" s="197"/>
      <c r="Q762" s="197"/>
      <c r="R762" s="197"/>
      <c r="S762" s="197"/>
      <c r="T762" s="13"/>
      <c r="U762" s="13"/>
      <c r="V762" s="13"/>
      <c r="W762" s="13"/>
      <c r="X762" s="13"/>
      <c r="Y762" s="13"/>
      <c r="Z762" s="13"/>
    </row>
    <row r="763" spans="1:26" ht="12.75" customHeight="1" x14ac:dyDescent="0.2">
      <c r="A763" s="8"/>
      <c r="B763" s="8"/>
      <c r="C763" s="197"/>
      <c r="D763" s="8"/>
      <c r="E763" s="197"/>
      <c r="F763" s="197"/>
      <c r="G763" s="197"/>
      <c r="H763" s="197"/>
      <c r="I763" s="197"/>
      <c r="J763" s="8"/>
      <c r="K763" s="197"/>
      <c r="L763" s="8"/>
      <c r="M763" s="197"/>
      <c r="N763" s="197"/>
      <c r="O763" s="197"/>
      <c r="P763" s="197"/>
      <c r="Q763" s="197"/>
      <c r="R763" s="197"/>
      <c r="S763" s="197"/>
      <c r="T763" s="13"/>
      <c r="U763" s="13"/>
      <c r="V763" s="13"/>
      <c r="W763" s="13"/>
      <c r="X763" s="13"/>
      <c r="Y763" s="13"/>
      <c r="Z763" s="13"/>
    </row>
    <row r="764" spans="1:26" ht="12.75" customHeight="1" x14ac:dyDescent="0.2">
      <c r="A764" s="8"/>
      <c r="B764" s="8"/>
      <c r="C764" s="197"/>
      <c r="D764" s="8"/>
      <c r="E764" s="197"/>
      <c r="F764" s="197"/>
      <c r="G764" s="197"/>
      <c r="H764" s="197"/>
      <c r="I764" s="197"/>
      <c r="J764" s="8"/>
      <c r="K764" s="197"/>
      <c r="L764" s="8"/>
      <c r="M764" s="197"/>
      <c r="N764" s="197"/>
      <c r="O764" s="197"/>
      <c r="P764" s="197"/>
      <c r="Q764" s="197"/>
      <c r="R764" s="197"/>
      <c r="S764" s="197"/>
      <c r="T764" s="13"/>
      <c r="U764" s="13"/>
      <c r="V764" s="13"/>
      <c r="W764" s="13"/>
      <c r="X764" s="13"/>
      <c r="Y764" s="13"/>
      <c r="Z764" s="13"/>
    </row>
    <row r="765" spans="1:26" ht="12.75" customHeight="1" x14ac:dyDescent="0.2">
      <c r="A765" s="8"/>
      <c r="B765" s="8"/>
      <c r="C765" s="197"/>
      <c r="D765" s="8"/>
      <c r="E765" s="197"/>
      <c r="F765" s="197"/>
      <c r="G765" s="197"/>
      <c r="H765" s="197"/>
      <c r="I765" s="197"/>
      <c r="J765" s="8"/>
      <c r="K765" s="197"/>
      <c r="L765" s="8"/>
      <c r="M765" s="197"/>
      <c r="N765" s="197"/>
      <c r="O765" s="197"/>
      <c r="P765" s="197"/>
      <c r="Q765" s="197"/>
      <c r="R765" s="197"/>
      <c r="S765" s="197"/>
      <c r="T765" s="13"/>
      <c r="U765" s="13"/>
      <c r="V765" s="13"/>
      <c r="W765" s="13"/>
      <c r="X765" s="13"/>
      <c r="Y765" s="13"/>
      <c r="Z765" s="13"/>
    </row>
    <row r="766" spans="1:26" ht="12.75" customHeight="1" x14ac:dyDescent="0.2">
      <c r="A766" s="8"/>
      <c r="B766" s="8"/>
      <c r="C766" s="197"/>
      <c r="D766" s="8"/>
      <c r="E766" s="197"/>
      <c r="F766" s="197"/>
      <c r="G766" s="197"/>
      <c r="H766" s="197"/>
      <c r="I766" s="197"/>
      <c r="J766" s="8"/>
      <c r="K766" s="197"/>
      <c r="L766" s="8"/>
      <c r="M766" s="197"/>
      <c r="N766" s="197"/>
      <c r="O766" s="197"/>
      <c r="P766" s="197"/>
      <c r="Q766" s="197"/>
      <c r="R766" s="197"/>
      <c r="S766" s="197"/>
      <c r="T766" s="13"/>
      <c r="U766" s="13"/>
      <c r="V766" s="13"/>
      <c r="W766" s="13"/>
      <c r="X766" s="13"/>
      <c r="Y766" s="13"/>
      <c r="Z766" s="13"/>
    </row>
    <row r="767" spans="1:26" ht="12.75" customHeight="1" x14ac:dyDescent="0.2">
      <c r="A767" s="8"/>
      <c r="B767" s="8"/>
      <c r="C767" s="197"/>
      <c r="D767" s="8"/>
      <c r="E767" s="197"/>
      <c r="F767" s="197"/>
      <c r="G767" s="197"/>
      <c r="H767" s="197"/>
      <c r="I767" s="197"/>
      <c r="J767" s="8"/>
      <c r="K767" s="197"/>
      <c r="L767" s="8"/>
      <c r="M767" s="197"/>
      <c r="N767" s="197"/>
      <c r="O767" s="197"/>
      <c r="P767" s="197"/>
      <c r="Q767" s="197"/>
      <c r="R767" s="197"/>
      <c r="S767" s="197"/>
      <c r="T767" s="13"/>
      <c r="U767" s="13"/>
      <c r="V767" s="13"/>
      <c r="W767" s="13"/>
      <c r="X767" s="13"/>
      <c r="Y767" s="13"/>
      <c r="Z767" s="13"/>
    </row>
    <row r="768" spans="1:26" ht="12.75" customHeight="1" x14ac:dyDescent="0.2">
      <c r="A768" s="8"/>
      <c r="B768" s="8"/>
      <c r="C768" s="197"/>
      <c r="D768" s="8"/>
      <c r="E768" s="197"/>
      <c r="F768" s="197"/>
      <c r="G768" s="197"/>
      <c r="H768" s="197"/>
      <c r="I768" s="197"/>
      <c r="J768" s="8"/>
      <c r="K768" s="197"/>
      <c r="L768" s="8"/>
      <c r="M768" s="197"/>
      <c r="N768" s="197"/>
      <c r="O768" s="197"/>
      <c r="P768" s="197"/>
      <c r="Q768" s="197"/>
      <c r="R768" s="197"/>
      <c r="S768" s="197"/>
      <c r="T768" s="13"/>
      <c r="U768" s="13"/>
      <c r="V768" s="13"/>
      <c r="W768" s="13"/>
      <c r="X768" s="13"/>
      <c r="Y768" s="13"/>
      <c r="Z768" s="13"/>
    </row>
    <row r="769" spans="1:26" ht="12.75" customHeight="1" x14ac:dyDescent="0.2">
      <c r="A769" s="8"/>
      <c r="B769" s="8"/>
      <c r="C769" s="197"/>
      <c r="D769" s="8"/>
      <c r="E769" s="197"/>
      <c r="F769" s="197"/>
      <c r="G769" s="197"/>
      <c r="H769" s="197"/>
      <c r="I769" s="197"/>
      <c r="J769" s="8"/>
      <c r="K769" s="197"/>
      <c r="L769" s="8"/>
      <c r="M769" s="197"/>
      <c r="N769" s="197"/>
      <c r="O769" s="197"/>
      <c r="P769" s="197"/>
      <c r="Q769" s="197"/>
      <c r="R769" s="197"/>
      <c r="S769" s="197"/>
      <c r="T769" s="13"/>
      <c r="U769" s="13"/>
      <c r="V769" s="13"/>
      <c r="W769" s="13"/>
      <c r="X769" s="13"/>
      <c r="Y769" s="13"/>
      <c r="Z769" s="13"/>
    </row>
    <row r="770" spans="1:26" ht="12.75" customHeight="1" x14ac:dyDescent="0.2">
      <c r="A770" s="8"/>
      <c r="B770" s="8"/>
      <c r="C770" s="197"/>
      <c r="D770" s="8"/>
      <c r="E770" s="197"/>
      <c r="F770" s="197"/>
      <c r="G770" s="197"/>
      <c r="H770" s="197"/>
      <c r="I770" s="197"/>
      <c r="J770" s="8"/>
      <c r="K770" s="197"/>
      <c r="L770" s="8"/>
      <c r="M770" s="197"/>
      <c r="N770" s="197"/>
      <c r="O770" s="197"/>
      <c r="P770" s="197"/>
      <c r="Q770" s="197"/>
      <c r="R770" s="197"/>
      <c r="S770" s="197"/>
      <c r="T770" s="13"/>
      <c r="U770" s="13"/>
      <c r="V770" s="13"/>
      <c r="W770" s="13"/>
      <c r="X770" s="13"/>
      <c r="Y770" s="13"/>
      <c r="Z770" s="13"/>
    </row>
    <row r="771" spans="1:26" ht="12.75" customHeight="1" x14ac:dyDescent="0.2">
      <c r="A771" s="8"/>
      <c r="B771" s="8"/>
      <c r="C771" s="197"/>
      <c r="D771" s="8"/>
      <c r="E771" s="197"/>
      <c r="F771" s="197"/>
      <c r="G771" s="197"/>
      <c r="H771" s="197"/>
      <c r="I771" s="197"/>
      <c r="J771" s="8"/>
      <c r="K771" s="197"/>
      <c r="L771" s="8"/>
      <c r="M771" s="197"/>
      <c r="N771" s="197"/>
      <c r="O771" s="197"/>
      <c r="P771" s="197"/>
      <c r="Q771" s="197"/>
      <c r="R771" s="197"/>
      <c r="S771" s="197"/>
      <c r="T771" s="13"/>
      <c r="U771" s="13"/>
      <c r="V771" s="13"/>
      <c r="W771" s="13"/>
      <c r="X771" s="13"/>
      <c r="Y771" s="13"/>
      <c r="Z771" s="13"/>
    </row>
    <row r="772" spans="1:26" ht="12.75" customHeight="1" x14ac:dyDescent="0.2">
      <c r="A772" s="8"/>
      <c r="B772" s="8"/>
      <c r="C772" s="197"/>
      <c r="D772" s="8"/>
      <c r="E772" s="197"/>
      <c r="F772" s="197"/>
      <c r="G772" s="197"/>
      <c r="H772" s="197"/>
      <c r="I772" s="197"/>
      <c r="J772" s="8"/>
      <c r="K772" s="197"/>
      <c r="L772" s="8"/>
      <c r="M772" s="197"/>
      <c r="N772" s="197"/>
      <c r="O772" s="197"/>
      <c r="P772" s="197"/>
      <c r="Q772" s="197"/>
      <c r="R772" s="197"/>
      <c r="S772" s="197"/>
      <c r="T772" s="13"/>
      <c r="U772" s="13"/>
      <c r="V772" s="13"/>
      <c r="W772" s="13"/>
      <c r="X772" s="13"/>
      <c r="Y772" s="13"/>
      <c r="Z772" s="13"/>
    </row>
    <row r="773" spans="1:26" ht="12.75" customHeight="1" x14ac:dyDescent="0.2">
      <c r="A773" s="8"/>
      <c r="B773" s="8"/>
      <c r="C773" s="197"/>
      <c r="D773" s="8"/>
      <c r="E773" s="197"/>
      <c r="F773" s="197"/>
      <c r="G773" s="197"/>
      <c r="H773" s="197"/>
      <c r="I773" s="197"/>
      <c r="J773" s="8"/>
      <c r="K773" s="197"/>
      <c r="L773" s="8"/>
      <c r="M773" s="197"/>
      <c r="N773" s="197"/>
      <c r="O773" s="197"/>
      <c r="P773" s="197"/>
      <c r="Q773" s="197"/>
      <c r="R773" s="197"/>
      <c r="S773" s="197"/>
      <c r="T773" s="13"/>
      <c r="U773" s="13"/>
      <c r="V773" s="13"/>
      <c r="W773" s="13"/>
      <c r="X773" s="13"/>
      <c r="Y773" s="13"/>
      <c r="Z773" s="13"/>
    </row>
    <row r="774" spans="1:26" ht="12.75" customHeight="1" x14ac:dyDescent="0.2">
      <c r="A774" s="8"/>
      <c r="B774" s="8"/>
      <c r="C774" s="197"/>
      <c r="D774" s="8"/>
      <c r="E774" s="197"/>
      <c r="F774" s="197"/>
      <c r="G774" s="197"/>
      <c r="H774" s="197"/>
      <c r="I774" s="197"/>
      <c r="J774" s="8"/>
      <c r="K774" s="197"/>
      <c r="L774" s="8"/>
      <c r="M774" s="197"/>
      <c r="N774" s="197"/>
      <c r="O774" s="197"/>
      <c r="P774" s="197"/>
      <c r="Q774" s="197"/>
      <c r="R774" s="197"/>
      <c r="S774" s="197"/>
      <c r="T774" s="13"/>
      <c r="U774" s="13"/>
      <c r="V774" s="13"/>
      <c r="W774" s="13"/>
      <c r="X774" s="13"/>
      <c r="Y774" s="13"/>
      <c r="Z774" s="13"/>
    </row>
    <row r="775" spans="1:26" ht="12.75" customHeight="1" x14ac:dyDescent="0.2">
      <c r="A775" s="8"/>
      <c r="B775" s="8"/>
      <c r="C775" s="197"/>
      <c r="D775" s="8"/>
      <c r="E775" s="197"/>
      <c r="F775" s="197"/>
      <c r="G775" s="197"/>
      <c r="H775" s="197"/>
      <c r="I775" s="197"/>
      <c r="J775" s="8"/>
      <c r="K775" s="197"/>
      <c r="L775" s="8"/>
      <c r="M775" s="197"/>
      <c r="N775" s="197"/>
      <c r="O775" s="197"/>
      <c r="P775" s="197"/>
      <c r="Q775" s="197"/>
      <c r="R775" s="197"/>
      <c r="S775" s="197"/>
      <c r="T775" s="13"/>
      <c r="U775" s="13"/>
      <c r="V775" s="13"/>
      <c r="W775" s="13"/>
      <c r="X775" s="13"/>
      <c r="Y775" s="13"/>
      <c r="Z775" s="13"/>
    </row>
    <row r="776" spans="1:26" ht="12.75" customHeight="1" x14ac:dyDescent="0.2">
      <c r="A776" s="8"/>
      <c r="B776" s="8"/>
      <c r="C776" s="197"/>
      <c r="D776" s="8"/>
      <c r="E776" s="197"/>
      <c r="F776" s="197"/>
      <c r="G776" s="197"/>
      <c r="H776" s="197"/>
      <c r="I776" s="197"/>
      <c r="J776" s="8"/>
      <c r="K776" s="197"/>
      <c r="L776" s="8"/>
      <c r="M776" s="197"/>
      <c r="N776" s="197"/>
      <c r="O776" s="197"/>
      <c r="P776" s="197"/>
      <c r="Q776" s="197"/>
      <c r="R776" s="197"/>
      <c r="S776" s="197"/>
      <c r="T776" s="13"/>
      <c r="U776" s="13"/>
      <c r="V776" s="13"/>
      <c r="W776" s="13"/>
      <c r="X776" s="13"/>
      <c r="Y776" s="13"/>
      <c r="Z776" s="13"/>
    </row>
    <row r="777" spans="1:26" ht="12.75" customHeight="1" x14ac:dyDescent="0.2">
      <c r="A777" s="8"/>
      <c r="B777" s="8"/>
      <c r="C777" s="197"/>
      <c r="D777" s="8"/>
      <c r="E777" s="197"/>
      <c r="F777" s="197"/>
      <c r="G777" s="197"/>
      <c r="H777" s="197"/>
      <c r="I777" s="197"/>
      <c r="J777" s="8"/>
      <c r="K777" s="197"/>
      <c r="L777" s="8"/>
      <c r="M777" s="197"/>
      <c r="N777" s="197"/>
      <c r="O777" s="197"/>
      <c r="P777" s="197"/>
      <c r="Q777" s="197"/>
      <c r="R777" s="197"/>
      <c r="S777" s="197"/>
      <c r="T777" s="13"/>
      <c r="U777" s="13"/>
      <c r="V777" s="13"/>
      <c r="W777" s="13"/>
      <c r="X777" s="13"/>
      <c r="Y777" s="13"/>
      <c r="Z777" s="13"/>
    </row>
    <row r="778" spans="1:26" ht="12.75" customHeight="1" x14ac:dyDescent="0.2">
      <c r="A778" s="8"/>
      <c r="B778" s="8"/>
      <c r="C778" s="197"/>
      <c r="D778" s="8"/>
      <c r="E778" s="197"/>
      <c r="F778" s="197"/>
      <c r="G778" s="197"/>
      <c r="H778" s="197"/>
      <c r="I778" s="197"/>
      <c r="J778" s="8"/>
      <c r="K778" s="197"/>
      <c r="L778" s="8"/>
      <c r="M778" s="197"/>
      <c r="N778" s="197"/>
      <c r="O778" s="197"/>
      <c r="P778" s="197"/>
      <c r="Q778" s="197"/>
      <c r="R778" s="197"/>
      <c r="S778" s="197"/>
      <c r="T778" s="13"/>
      <c r="U778" s="13"/>
      <c r="V778" s="13"/>
      <c r="W778" s="13"/>
      <c r="X778" s="13"/>
      <c r="Y778" s="13"/>
      <c r="Z778" s="13"/>
    </row>
    <row r="779" spans="1:26" ht="12.75" customHeight="1" x14ac:dyDescent="0.2">
      <c r="A779" s="8"/>
      <c r="B779" s="8"/>
      <c r="C779" s="197"/>
      <c r="D779" s="8"/>
      <c r="E779" s="197"/>
      <c r="F779" s="197"/>
      <c r="G779" s="197"/>
      <c r="H779" s="197"/>
      <c r="I779" s="197"/>
      <c r="J779" s="8"/>
      <c r="K779" s="197"/>
      <c r="L779" s="8"/>
      <c r="M779" s="197"/>
      <c r="N779" s="197"/>
      <c r="O779" s="197"/>
      <c r="P779" s="197"/>
      <c r="Q779" s="197"/>
      <c r="R779" s="197"/>
      <c r="S779" s="197"/>
      <c r="T779" s="13"/>
      <c r="U779" s="13"/>
      <c r="V779" s="13"/>
      <c r="W779" s="13"/>
      <c r="X779" s="13"/>
      <c r="Y779" s="13"/>
      <c r="Z779" s="13"/>
    </row>
    <row r="780" spans="1:26" ht="12.75" customHeight="1" x14ac:dyDescent="0.2">
      <c r="A780" s="8"/>
      <c r="B780" s="8"/>
      <c r="C780" s="197"/>
      <c r="D780" s="8"/>
      <c r="E780" s="197"/>
      <c r="F780" s="197"/>
      <c r="G780" s="197"/>
      <c r="H780" s="197"/>
      <c r="I780" s="197"/>
      <c r="J780" s="8"/>
      <c r="K780" s="197"/>
      <c r="L780" s="8"/>
      <c r="M780" s="197"/>
      <c r="N780" s="197"/>
      <c r="O780" s="197"/>
      <c r="P780" s="197"/>
      <c r="Q780" s="197"/>
      <c r="R780" s="197"/>
      <c r="S780" s="197"/>
      <c r="T780" s="13"/>
      <c r="U780" s="13"/>
      <c r="V780" s="13"/>
      <c r="W780" s="13"/>
      <c r="X780" s="13"/>
      <c r="Y780" s="13"/>
      <c r="Z780" s="13"/>
    </row>
    <row r="781" spans="1:26" ht="12.75" customHeight="1" x14ac:dyDescent="0.2">
      <c r="A781" s="8"/>
      <c r="B781" s="8"/>
      <c r="C781" s="197"/>
      <c r="D781" s="8"/>
      <c r="E781" s="197"/>
      <c r="F781" s="197"/>
      <c r="G781" s="197"/>
      <c r="H781" s="197"/>
      <c r="I781" s="197"/>
      <c r="J781" s="8"/>
      <c r="K781" s="197"/>
      <c r="L781" s="8"/>
      <c r="M781" s="197"/>
      <c r="N781" s="197"/>
      <c r="O781" s="197"/>
      <c r="P781" s="197"/>
      <c r="Q781" s="197"/>
      <c r="R781" s="197"/>
      <c r="S781" s="197"/>
      <c r="T781" s="13"/>
      <c r="U781" s="13"/>
      <c r="V781" s="13"/>
      <c r="W781" s="13"/>
      <c r="X781" s="13"/>
      <c r="Y781" s="13"/>
      <c r="Z781" s="13"/>
    </row>
    <row r="782" spans="1:26" ht="12.75" customHeight="1" x14ac:dyDescent="0.2">
      <c r="A782" s="8"/>
      <c r="B782" s="8"/>
      <c r="C782" s="197"/>
      <c r="D782" s="8"/>
      <c r="E782" s="197"/>
      <c r="F782" s="197"/>
      <c r="G782" s="197"/>
      <c r="H782" s="197"/>
      <c r="I782" s="197"/>
      <c r="J782" s="8"/>
      <c r="K782" s="197"/>
      <c r="L782" s="8"/>
      <c r="M782" s="197"/>
      <c r="N782" s="197"/>
      <c r="O782" s="197"/>
      <c r="P782" s="197"/>
      <c r="Q782" s="197"/>
      <c r="R782" s="197"/>
      <c r="S782" s="197"/>
      <c r="T782" s="13"/>
      <c r="U782" s="13"/>
      <c r="V782" s="13"/>
      <c r="W782" s="13"/>
      <c r="X782" s="13"/>
      <c r="Y782" s="13"/>
      <c r="Z782" s="13"/>
    </row>
    <row r="783" spans="1:26" ht="12.75" customHeight="1" x14ac:dyDescent="0.2">
      <c r="A783" s="8"/>
      <c r="B783" s="8"/>
      <c r="C783" s="197"/>
      <c r="D783" s="8"/>
      <c r="E783" s="197"/>
      <c r="F783" s="197"/>
      <c r="G783" s="197"/>
      <c r="H783" s="197"/>
      <c r="I783" s="197"/>
      <c r="J783" s="8"/>
      <c r="K783" s="197"/>
      <c r="L783" s="8"/>
      <c r="M783" s="197"/>
      <c r="N783" s="197"/>
      <c r="O783" s="197"/>
      <c r="P783" s="197"/>
      <c r="Q783" s="197"/>
      <c r="R783" s="197"/>
      <c r="S783" s="197"/>
      <c r="T783" s="13"/>
      <c r="U783" s="13"/>
      <c r="V783" s="13"/>
      <c r="W783" s="13"/>
      <c r="X783" s="13"/>
      <c r="Y783" s="13"/>
      <c r="Z783" s="13"/>
    </row>
    <row r="784" spans="1:26" ht="12.75" customHeight="1" x14ac:dyDescent="0.2">
      <c r="A784" s="8"/>
      <c r="B784" s="8"/>
      <c r="C784" s="197"/>
      <c r="D784" s="8"/>
      <c r="E784" s="197"/>
      <c r="F784" s="197"/>
      <c r="G784" s="197"/>
      <c r="H784" s="197"/>
      <c r="I784" s="197"/>
      <c r="J784" s="8"/>
      <c r="K784" s="197"/>
      <c r="L784" s="8"/>
      <c r="M784" s="197"/>
      <c r="N784" s="197"/>
      <c r="O784" s="197"/>
      <c r="P784" s="197"/>
      <c r="Q784" s="197"/>
      <c r="R784" s="197"/>
      <c r="S784" s="197"/>
      <c r="T784" s="13"/>
      <c r="U784" s="13"/>
      <c r="V784" s="13"/>
      <c r="W784" s="13"/>
      <c r="X784" s="13"/>
      <c r="Y784" s="13"/>
      <c r="Z784" s="13"/>
    </row>
    <row r="785" spans="1:26" ht="12.75" customHeight="1" x14ac:dyDescent="0.2">
      <c r="A785" s="8"/>
      <c r="B785" s="8"/>
      <c r="C785" s="197"/>
      <c r="D785" s="8"/>
      <c r="E785" s="197"/>
      <c r="F785" s="197"/>
      <c r="G785" s="197"/>
      <c r="H785" s="197"/>
      <c r="I785" s="197"/>
      <c r="J785" s="8"/>
      <c r="K785" s="197"/>
      <c r="L785" s="8"/>
      <c r="M785" s="197"/>
      <c r="N785" s="197"/>
      <c r="O785" s="197"/>
      <c r="P785" s="197"/>
      <c r="Q785" s="197"/>
      <c r="R785" s="197"/>
      <c r="S785" s="197"/>
      <c r="T785" s="13"/>
      <c r="U785" s="13"/>
      <c r="V785" s="13"/>
      <c r="W785" s="13"/>
      <c r="X785" s="13"/>
      <c r="Y785" s="13"/>
      <c r="Z785" s="13"/>
    </row>
    <row r="786" spans="1:26" ht="12.75" customHeight="1" x14ac:dyDescent="0.2">
      <c r="A786" s="8"/>
      <c r="B786" s="8"/>
      <c r="C786" s="197"/>
      <c r="D786" s="8"/>
      <c r="E786" s="197"/>
      <c r="F786" s="197"/>
      <c r="G786" s="197"/>
      <c r="H786" s="197"/>
      <c r="I786" s="197"/>
      <c r="J786" s="8"/>
      <c r="K786" s="197"/>
      <c r="L786" s="8"/>
      <c r="M786" s="197"/>
      <c r="N786" s="197"/>
      <c r="O786" s="197"/>
      <c r="P786" s="197"/>
      <c r="Q786" s="197"/>
      <c r="R786" s="197"/>
      <c r="S786" s="197"/>
      <c r="T786" s="13"/>
      <c r="U786" s="13"/>
      <c r="V786" s="13"/>
      <c r="W786" s="13"/>
      <c r="X786" s="13"/>
      <c r="Y786" s="13"/>
      <c r="Z786" s="13"/>
    </row>
    <row r="787" spans="1:26" ht="12.75" customHeight="1" x14ac:dyDescent="0.2">
      <c r="A787" s="8"/>
      <c r="B787" s="8"/>
      <c r="C787" s="197"/>
      <c r="D787" s="8"/>
      <c r="E787" s="197"/>
      <c r="F787" s="197"/>
      <c r="G787" s="197"/>
      <c r="H787" s="197"/>
      <c r="I787" s="197"/>
      <c r="J787" s="8"/>
      <c r="K787" s="197"/>
      <c r="L787" s="8"/>
      <c r="M787" s="197"/>
      <c r="N787" s="197"/>
      <c r="O787" s="197"/>
      <c r="P787" s="197"/>
      <c r="Q787" s="197"/>
      <c r="R787" s="197"/>
      <c r="S787" s="197"/>
      <c r="T787" s="13"/>
      <c r="U787" s="13"/>
      <c r="V787" s="13"/>
      <c r="W787" s="13"/>
      <c r="X787" s="13"/>
      <c r="Y787" s="13"/>
      <c r="Z787" s="13"/>
    </row>
    <row r="788" spans="1:26" ht="12.75" customHeight="1" x14ac:dyDescent="0.2">
      <c r="A788" s="8"/>
      <c r="B788" s="8"/>
      <c r="C788" s="197"/>
      <c r="D788" s="8"/>
      <c r="E788" s="197"/>
      <c r="F788" s="197"/>
      <c r="G788" s="197"/>
      <c r="H788" s="197"/>
      <c r="I788" s="197"/>
      <c r="J788" s="8"/>
      <c r="K788" s="197"/>
      <c r="L788" s="8"/>
      <c r="M788" s="197"/>
      <c r="N788" s="197"/>
      <c r="O788" s="197"/>
      <c r="P788" s="197"/>
      <c r="Q788" s="197"/>
      <c r="R788" s="197"/>
      <c r="S788" s="197"/>
      <c r="T788" s="13"/>
      <c r="U788" s="13"/>
      <c r="V788" s="13"/>
      <c r="W788" s="13"/>
      <c r="X788" s="13"/>
      <c r="Y788" s="13"/>
      <c r="Z788" s="13"/>
    </row>
    <row r="789" spans="1:26" ht="12.75" customHeight="1" x14ac:dyDescent="0.2">
      <c r="A789" s="8"/>
      <c r="B789" s="8"/>
      <c r="C789" s="197"/>
      <c r="D789" s="8"/>
      <c r="E789" s="197"/>
      <c r="F789" s="197"/>
      <c r="G789" s="197"/>
      <c r="H789" s="197"/>
      <c r="I789" s="197"/>
      <c r="J789" s="8"/>
      <c r="K789" s="197"/>
      <c r="L789" s="8"/>
      <c r="M789" s="197"/>
      <c r="N789" s="197"/>
      <c r="O789" s="197"/>
      <c r="P789" s="197"/>
      <c r="Q789" s="197"/>
      <c r="R789" s="197"/>
      <c r="S789" s="197"/>
      <c r="T789" s="13"/>
      <c r="U789" s="13"/>
      <c r="V789" s="13"/>
      <c r="W789" s="13"/>
      <c r="X789" s="13"/>
      <c r="Y789" s="13"/>
      <c r="Z789" s="13"/>
    </row>
    <row r="790" spans="1:26" ht="12.75" customHeight="1" x14ac:dyDescent="0.2">
      <c r="A790" s="8"/>
      <c r="B790" s="8"/>
      <c r="C790" s="197"/>
      <c r="D790" s="8"/>
      <c r="E790" s="197"/>
      <c r="F790" s="197"/>
      <c r="G790" s="197"/>
      <c r="H790" s="197"/>
      <c r="I790" s="197"/>
      <c r="J790" s="8"/>
      <c r="K790" s="197"/>
      <c r="L790" s="8"/>
      <c r="M790" s="197"/>
      <c r="N790" s="197"/>
      <c r="O790" s="197"/>
      <c r="P790" s="197"/>
      <c r="Q790" s="197"/>
      <c r="R790" s="197"/>
      <c r="S790" s="197"/>
      <c r="T790" s="13"/>
      <c r="U790" s="13"/>
      <c r="V790" s="13"/>
      <c r="W790" s="13"/>
      <c r="X790" s="13"/>
      <c r="Y790" s="13"/>
      <c r="Z790" s="13"/>
    </row>
    <row r="791" spans="1:26" ht="12.75" customHeight="1" x14ac:dyDescent="0.2">
      <c r="A791" s="8"/>
      <c r="B791" s="8"/>
      <c r="C791" s="197"/>
      <c r="D791" s="8"/>
      <c r="E791" s="197"/>
      <c r="F791" s="197"/>
      <c r="G791" s="197"/>
      <c r="H791" s="197"/>
      <c r="I791" s="197"/>
      <c r="J791" s="8"/>
      <c r="K791" s="197"/>
      <c r="L791" s="8"/>
      <c r="M791" s="197"/>
      <c r="N791" s="197"/>
      <c r="O791" s="197"/>
      <c r="P791" s="197"/>
      <c r="Q791" s="197"/>
      <c r="R791" s="197"/>
      <c r="S791" s="197"/>
      <c r="T791" s="13"/>
      <c r="U791" s="13"/>
      <c r="V791" s="13"/>
      <c r="W791" s="13"/>
      <c r="X791" s="13"/>
      <c r="Y791" s="13"/>
      <c r="Z791" s="13"/>
    </row>
    <row r="792" spans="1:26" ht="12.75" customHeight="1" x14ac:dyDescent="0.2">
      <c r="A792" s="8"/>
      <c r="B792" s="8"/>
      <c r="C792" s="197"/>
      <c r="D792" s="8"/>
      <c r="E792" s="197"/>
      <c r="F792" s="197"/>
      <c r="G792" s="197"/>
      <c r="H792" s="197"/>
      <c r="I792" s="197"/>
      <c r="J792" s="8"/>
      <c r="K792" s="197"/>
      <c r="L792" s="8"/>
      <c r="M792" s="197"/>
      <c r="N792" s="197"/>
      <c r="O792" s="197"/>
      <c r="P792" s="197"/>
      <c r="Q792" s="197"/>
      <c r="R792" s="197"/>
      <c r="S792" s="197"/>
      <c r="T792" s="13"/>
      <c r="U792" s="13"/>
      <c r="V792" s="13"/>
      <c r="W792" s="13"/>
      <c r="X792" s="13"/>
      <c r="Y792" s="13"/>
      <c r="Z792" s="13"/>
    </row>
    <row r="793" spans="1:26" ht="12.75" customHeight="1" x14ac:dyDescent="0.2">
      <c r="A793" s="8"/>
      <c r="B793" s="8"/>
      <c r="C793" s="197"/>
      <c r="D793" s="8"/>
      <c r="E793" s="197"/>
      <c r="F793" s="197"/>
      <c r="G793" s="197"/>
      <c r="H793" s="197"/>
      <c r="I793" s="197"/>
      <c r="J793" s="8"/>
      <c r="K793" s="197"/>
      <c r="L793" s="8"/>
      <c r="M793" s="197"/>
      <c r="N793" s="197"/>
      <c r="O793" s="197"/>
      <c r="P793" s="197"/>
      <c r="Q793" s="197"/>
      <c r="R793" s="197"/>
      <c r="S793" s="197"/>
      <c r="T793" s="13"/>
      <c r="U793" s="13"/>
      <c r="V793" s="13"/>
      <c r="W793" s="13"/>
      <c r="X793" s="13"/>
      <c r="Y793" s="13"/>
      <c r="Z793" s="13"/>
    </row>
    <row r="794" spans="1:26" ht="12.75" customHeight="1" x14ac:dyDescent="0.2">
      <c r="A794" s="8"/>
      <c r="B794" s="8"/>
      <c r="C794" s="197"/>
      <c r="D794" s="8"/>
      <c r="E794" s="197"/>
      <c r="F794" s="197"/>
      <c r="G794" s="197"/>
      <c r="H794" s="197"/>
      <c r="I794" s="197"/>
      <c r="J794" s="8"/>
      <c r="K794" s="197"/>
      <c r="L794" s="8"/>
      <c r="M794" s="197"/>
      <c r="N794" s="197"/>
      <c r="O794" s="197"/>
      <c r="P794" s="197"/>
      <c r="Q794" s="197"/>
      <c r="R794" s="197"/>
      <c r="S794" s="197"/>
      <c r="T794" s="13"/>
      <c r="U794" s="13"/>
      <c r="V794" s="13"/>
      <c r="W794" s="13"/>
      <c r="X794" s="13"/>
      <c r="Y794" s="13"/>
      <c r="Z794" s="13"/>
    </row>
    <row r="795" spans="1:26" ht="12.75" customHeight="1" x14ac:dyDescent="0.2">
      <c r="A795" s="8"/>
      <c r="B795" s="8"/>
      <c r="C795" s="197"/>
      <c r="D795" s="8"/>
      <c r="E795" s="197"/>
      <c r="F795" s="197"/>
      <c r="G795" s="197"/>
      <c r="H795" s="197"/>
      <c r="I795" s="197"/>
      <c r="J795" s="8"/>
      <c r="K795" s="197"/>
      <c r="L795" s="8"/>
      <c r="M795" s="197"/>
      <c r="N795" s="197"/>
      <c r="O795" s="197"/>
      <c r="P795" s="197"/>
      <c r="Q795" s="197"/>
      <c r="R795" s="197"/>
      <c r="S795" s="197"/>
      <c r="T795" s="13"/>
      <c r="U795" s="13"/>
      <c r="V795" s="13"/>
      <c r="W795" s="13"/>
      <c r="X795" s="13"/>
      <c r="Y795" s="13"/>
      <c r="Z795" s="13"/>
    </row>
    <row r="796" spans="1:26" ht="12.75" customHeight="1" x14ac:dyDescent="0.2">
      <c r="A796" s="8"/>
      <c r="B796" s="8"/>
      <c r="C796" s="197"/>
      <c r="D796" s="8"/>
      <c r="E796" s="197"/>
      <c r="F796" s="197"/>
      <c r="G796" s="197"/>
      <c r="H796" s="197"/>
      <c r="I796" s="197"/>
      <c r="J796" s="8"/>
      <c r="K796" s="197"/>
      <c r="L796" s="8"/>
      <c r="M796" s="197"/>
      <c r="N796" s="197"/>
      <c r="O796" s="197"/>
      <c r="P796" s="197"/>
      <c r="Q796" s="197"/>
      <c r="R796" s="197"/>
      <c r="S796" s="197"/>
      <c r="T796" s="13"/>
      <c r="U796" s="13"/>
      <c r="V796" s="13"/>
      <c r="W796" s="13"/>
      <c r="X796" s="13"/>
      <c r="Y796" s="13"/>
      <c r="Z796" s="13"/>
    </row>
    <row r="797" spans="1:26" ht="12.75" customHeight="1" x14ac:dyDescent="0.2">
      <c r="A797" s="8"/>
      <c r="B797" s="8"/>
      <c r="C797" s="197"/>
      <c r="D797" s="8"/>
      <c r="E797" s="197"/>
      <c r="F797" s="197"/>
      <c r="G797" s="197"/>
      <c r="H797" s="197"/>
      <c r="I797" s="197"/>
      <c r="J797" s="8"/>
      <c r="K797" s="197"/>
      <c r="L797" s="8"/>
      <c r="M797" s="197"/>
      <c r="N797" s="197"/>
      <c r="O797" s="197"/>
      <c r="P797" s="197"/>
      <c r="Q797" s="197"/>
      <c r="R797" s="197"/>
      <c r="S797" s="197"/>
      <c r="T797" s="13"/>
      <c r="U797" s="13"/>
      <c r="V797" s="13"/>
      <c r="W797" s="13"/>
      <c r="X797" s="13"/>
      <c r="Y797" s="13"/>
      <c r="Z797" s="13"/>
    </row>
    <row r="798" spans="1:26" ht="12.75" customHeight="1" x14ac:dyDescent="0.2">
      <c r="A798" s="8"/>
      <c r="B798" s="8"/>
      <c r="C798" s="197"/>
      <c r="D798" s="8"/>
      <c r="E798" s="197"/>
      <c r="F798" s="197"/>
      <c r="G798" s="197"/>
      <c r="H798" s="197"/>
      <c r="I798" s="197"/>
      <c r="J798" s="8"/>
      <c r="K798" s="197"/>
      <c r="L798" s="8"/>
      <c r="M798" s="197"/>
      <c r="N798" s="197"/>
      <c r="O798" s="197"/>
      <c r="P798" s="197"/>
      <c r="Q798" s="197"/>
      <c r="R798" s="197"/>
      <c r="S798" s="197"/>
      <c r="T798" s="13"/>
      <c r="U798" s="13"/>
      <c r="V798" s="13"/>
      <c r="W798" s="13"/>
      <c r="X798" s="13"/>
      <c r="Y798" s="13"/>
      <c r="Z798" s="13"/>
    </row>
    <row r="799" spans="1:26" ht="12.75" customHeight="1" x14ac:dyDescent="0.2">
      <c r="A799" s="8"/>
      <c r="B799" s="8"/>
      <c r="C799" s="197"/>
      <c r="D799" s="8"/>
      <c r="E799" s="197"/>
      <c r="F799" s="197"/>
      <c r="G799" s="197"/>
      <c r="H799" s="197"/>
      <c r="I799" s="197"/>
      <c r="J799" s="8"/>
      <c r="K799" s="197"/>
      <c r="L799" s="8"/>
      <c r="M799" s="197"/>
      <c r="N799" s="197"/>
      <c r="O799" s="197"/>
      <c r="P799" s="197"/>
      <c r="Q799" s="197"/>
      <c r="R799" s="197"/>
      <c r="S799" s="197"/>
      <c r="T799" s="13"/>
      <c r="U799" s="13"/>
      <c r="V799" s="13"/>
      <c r="W799" s="13"/>
      <c r="X799" s="13"/>
      <c r="Y799" s="13"/>
      <c r="Z799" s="13"/>
    </row>
    <row r="800" spans="1:26" ht="12.75" customHeight="1" x14ac:dyDescent="0.2">
      <c r="A800" s="8"/>
      <c r="B800" s="8"/>
      <c r="C800" s="197"/>
      <c r="D800" s="8"/>
      <c r="E800" s="197"/>
      <c r="F800" s="197"/>
      <c r="G800" s="197"/>
      <c r="H800" s="197"/>
      <c r="I800" s="197"/>
      <c r="J800" s="8"/>
      <c r="K800" s="197"/>
      <c r="L800" s="8"/>
      <c r="M800" s="197"/>
      <c r="N800" s="197"/>
      <c r="O800" s="197"/>
      <c r="P800" s="197"/>
      <c r="Q800" s="197"/>
      <c r="R800" s="197"/>
      <c r="S800" s="197"/>
      <c r="T800" s="13"/>
      <c r="U800" s="13"/>
      <c r="V800" s="13"/>
      <c r="W800" s="13"/>
      <c r="X800" s="13"/>
      <c r="Y800" s="13"/>
      <c r="Z800" s="13"/>
    </row>
    <row r="801" spans="1:26" ht="12.75" customHeight="1" x14ac:dyDescent="0.2">
      <c r="A801" s="8"/>
      <c r="B801" s="8"/>
      <c r="C801" s="197"/>
      <c r="D801" s="8"/>
      <c r="E801" s="197"/>
      <c r="F801" s="197"/>
      <c r="G801" s="197"/>
      <c r="H801" s="197"/>
      <c r="I801" s="197"/>
      <c r="J801" s="8"/>
      <c r="K801" s="197"/>
      <c r="L801" s="8"/>
      <c r="M801" s="197"/>
      <c r="N801" s="197"/>
      <c r="O801" s="197"/>
      <c r="P801" s="197"/>
      <c r="Q801" s="197"/>
      <c r="R801" s="197"/>
      <c r="S801" s="197"/>
      <c r="T801" s="13"/>
      <c r="U801" s="13"/>
      <c r="V801" s="13"/>
      <c r="W801" s="13"/>
      <c r="X801" s="13"/>
      <c r="Y801" s="13"/>
      <c r="Z801" s="13"/>
    </row>
    <row r="802" spans="1:26" ht="12.75" customHeight="1" x14ac:dyDescent="0.2">
      <c r="A802" s="8"/>
      <c r="B802" s="8"/>
      <c r="C802" s="197"/>
      <c r="D802" s="8"/>
      <c r="E802" s="197"/>
      <c r="F802" s="197"/>
      <c r="G802" s="197"/>
      <c r="H802" s="197"/>
      <c r="I802" s="197"/>
      <c r="J802" s="8"/>
      <c r="K802" s="197"/>
      <c r="L802" s="8"/>
      <c r="M802" s="197"/>
      <c r="N802" s="197"/>
      <c r="O802" s="197"/>
      <c r="P802" s="197"/>
      <c r="Q802" s="197"/>
      <c r="R802" s="197"/>
      <c r="S802" s="197"/>
      <c r="T802" s="13"/>
      <c r="U802" s="13"/>
      <c r="V802" s="13"/>
      <c r="W802" s="13"/>
      <c r="X802" s="13"/>
      <c r="Y802" s="13"/>
      <c r="Z802" s="13"/>
    </row>
    <row r="803" spans="1:26" ht="12.75" customHeight="1" x14ac:dyDescent="0.2">
      <c r="A803" s="8"/>
      <c r="B803" s="8"/>
      <c r="C803" s="197"/>
      <c r="D803" s="8"/>
      <c r="E803" s="197"/>
      <c r="F803" s="197"/>
      <c r="G803" s="197"/>
      <c r="H803" s="197"/>
      <c r="I803" s="197"/>
      <c r="J803" s="8"/>
      <c r="K803" s="197"/>
      <c r="L803" s="8"/>
      <c r="M803" s="197"/>
      <c r="N803" s="197"/>
      <c r="O803" s="197"/>
      <c r="P803" s="197"/>
      <c r="Q803" s="197"/>
      <c r="R803" s="197"/>
      <c r="S803" s="197"/>
      <c r="T803" s="13"/>
      <c r="U803" s="13"/>
      <c r="V803" s="13"/>
      <c r="W803" s="13"/>
      <c r="X803" s="13"/>
      <c r="Y803" s="13"/>
      <c r="Z803" s="13"/>
    </row>
    <row r="804" spans="1:26" ht="12.75" customHeight="1" x14ac:dyDescent="0.2">
      <c r="A804" s="8"/>
      <c r="B804" s="8"/>
      <c r="C804" s="197"/>
      <c r="D804" s="8"/>
      <c r="E804" s="197"/>
      <c r="F804" s="197"/>
      <c r="G804" s="197"/>
      <c r="H804" s="197"/>
      <c r="I804" s="197"/>
      <c r="J804" s="8"/>
      <c r="K804" s="197"/>
      <c r="L804" s="8"/>
      <c r="M804" s="197"/>
      <c r="N804" s="197"/>
      <c r="O804" s="197"/>
      <c r="P804" s="197"/>
      <c r="Q804" s="197"/>
      <c r="R804" s="197"/>
      <c r="S804" s="197"/>
      <c r="T804" s="13"/>
      <c r="U804" s="13"/>
      <c r="V804" s="13"/>
      <c r="W804" s="13"/>
      <c r="X804" s="13"/>
      <c r="Y804" s="13"/>
      <c r="Z804" s="13"/>
    </row>
    <row r="805" spans="1:26" ht="12.75" customHeight="1" x14ac:dyDescent="0.2">
      <c r="A805" s="8"/>
      <c r="B805" s="8"/>
      <c r="C805" s="197"/>
      <c r="D805" s="8"/>
      <c r="E805" s="197"/>
      <c r="F805" s="197"/>
      <c r="G805" s="197"/>
      <c r="H805" s="197"/>
      <c r="I805" s="197"/>
      <c r="J805" s="8"/>
      <c r="K805" s="197"/>
      <c r="L805" s="8"/>
      <c r="M805" s="197"/>
      <c r="N805" s="197"/>
      <c r="O805" s="197"/>
      <c r="P805" s="197"/>
      <c r="Q805" s="197"/>
      <c r="R805" s="197"/>
      <c r="S805" s="197"/>
      <c r="T805" s="13"/>
      <c r="U805" s="13"/>
      <c r="V805" s="13"/>
      <c r="W805" s="13"/>
      <c r="X805" s="13"/>
      <c r="Y805" s="13"/>
      <c r="Z805" s="13"/>
    </row>
    <row r="806" spans="1:26" ht="12.75" customHeight="1" x14ac:dyDescent="0.2">
      <c r="A806" s="8"/>
      <c r="B806" s="8"/>
      <c r="C806" s="197"/>
      <c r="D806" s="8"/>
      <c r="E806" s="197"/>
      <c r="F806" s="197"/>
      <c r="G806" s="197"/>
      <c r="H806" s="197"/>
      <c r="I806" s="197"/>
      <c r="J806" s="8"/>
      <c r="K806" s="197"/>
      <c r="L806" s="8"/>
      <c r="M806" s="197"/>
      <c r="N806" s="197"/>
      <c r="O806" s="197"/>
      <c r="P806" s="197"/>
      <c r="Q806" s="197"/>
      <c r="R806" s="197"/>
      <c r="S806" s="197"/>
      <c r="T806" s="13"/>
      <c r="U806" s="13"/>
      <c r="V806" s="13"/>
      <c r="W806" s="13"/>
      <c r="X806" s="13"/>
      <c r="Y806" s="13"/>
      <c r="Z806" s="13"/>
    </row>
    <row r="807" spans="1:26" ht="12.75" customHeight="1" x14ac:dyDescent="0.2">
      <c r="A807" s="8"/>
      <c r="B807" s="8"/>
      <c r="C807" s="197"/>
      <c r="D807" s="8"/>
      <c r="E807" s="197"/>
      <c r="F807" s="197"/>
      <c r="G807" s="197"/>
      <c r="H807" s="197"/>
      <c r="I807" s="197"/>
      <c r="J807" s="8"/>
      <c r="K807" s="197"/>
      <c r="L807" s="8"/>
      <c r="M807" s="197"/>
      <c r="N807" s="197"/>
      <c r="O807" s="197"/>
      <c r="P807" s="197"/>
      <c r="Q807" s="197"/>
      <c r="R807" s="197"/>
      <c r="S807" s="197"/>
      <c r="T807" s="13"/>
      <c r="U807" s="13"/>
      <c r="V807" s="13"/>
      <c r="W807" s="13"/>
      <c r="X807" s="13"/>
      <c r="Y807" s="13"/>
      <c r="Z807" s="13"/>
    </row>
    <row r="808" spans="1:26" ht="12.75" customHeight="1" x14ac:dyDescent="0.2">
      <c r="A808" s="8"/>
      <c r="B808" s="8"/>
      <c r="C808" s="197"/>
      <c r="D808" s="8"/>
      <c r="E808" s="197"/>
      <c r="F808" s="197"/>
      <c r="G808" s="197"/>
      <c r="H808" s="197"/>
      <c r="I808" s="197"/>
      <c r="J808" s="8"/>
      <c r="K808" s="197"/>
      <c r="L808" s="8"/>
      <c r="M808" s="197"/>
      <c r="N808" s="197"/>
      <c r="O808" s="197"/>
      <c r="P808" s="197"/>
      <c r="Q808" s="197"/>
      <c r="R808" s="197"/>
      <c r="S808" s="197"/>
      <c r="T808" s="13"/>
      <c r="U808" s="13"/>
      <c r="V808" s="13"/>
      <c r="W808" s="13"/>
      <c r="X808" s="13"/>
      <c r="Y808" s="13"/>
      <c r="Z808" s="13"/>
    </row>
    <row r="809" spans="1:26" ht="12.75" customHeight="1" x14ac:dyDescent="0.2">
      <c r="A809" s="8"/>
      <c r="B809" s="8"/>
      <c r="C809" s="197"/>
      <c r="D809" s="8"/>
      <c r="E809" s="197"/>
      <c r="F809" s="197"/>
      <c r="G809" s="197"/>
      <c r="H809" s="197"/>
      <c r="I809" s="197"/>
      <c r="J809" s="8"/>
      <c r="K809" s="197"/>
      <c r="L809" s="8"/>
      <c r="M809" s="197"/>
      <c r="N809" s="197"/>
      <c r="O809" s="197"/>
      <c r="P809" s="197"/>
      <c r="Q809" s="197"/>
      <c r="R809" s="197"/>
      <c r="S809" s="197"/>
      <c r="T809" s="13"/>
      <c r="U809" s="13"/>
      <c r="V809" s="13"/>
      <c r="W809" s="13"/>
      <c r="X809" s="13"/>
      <c r="Y809" s="13"/>
      <c r="Z809" s="13"/>
    </row>
    <row r="810" spans="1:26" ht="12.75" customHeight="1" x14ac:dyDescent="0.2">
      <c r="A810" s="8"/>
      <c r="B810" s="8"/>
      <c r="C810" s="197"/>
      <c r="D810" s="8"/>
      <c r="E810" s="197"/>
      <c r="F810" s="197"/>
      <c r="G810" s="197"/>
      <c r="H810" s="197"/>
      <c r="I810" s="197"/>
      <c r="J810" s="8"/>
      <c r="K810" s="197"/>
      <c r="L810" s="8"/>
      <c r="M810" s="197"/>
      <c r="N810" s="197"/>
      <c r="O810" s="197"/>
      <c r="P810" s="197"/>
      <c r="Q810" s="197"/>
      <c r="R810" s="197"/>
      <c r="S810" s="197"/>
      <c r="T810" s="13"/>
      <c r="U810" s="13"/>
      <c r="V810" s="13"/>
      <c r="W810" s="13"/>
      <c r="X810" s="13"/>
      <c r="Y810" s="13"/>
      <c r="Z810" s="13"/>
    </row>
    <row r="811" spans="1:26" ht="12.75" customHeight="1" x14ac:dyDescent="0.2">
      <c r="A811" s="8"/>
      <c r="B811" s="8"/>
      <c r="C811" s="197"/>
      <c r="D811" s="8"/>
      <c r="E811" s="197"/>
      <c r="F811" s="197"/>
      <c r="G811" s="197"/>
      <c r="H811" s="197"/>
      <c r="I811" s="197"/>
      <c r="J811" s="8"/>
      <c r="K811" s="197"/>
      <c r="L811" s="8"/>
      <c r="M811" s="197"/>
      <c r="N811" s="197"/>
      <c r="O811" s="197"/>
      <c r="P811" s="197"/>
      <c r="Q811" s="197"/>
      <c r="R811" s="197"/>
      <c r="S811" s="197"/>
      <c r="T811" s="13"/>
      <c r="U811" s="13"/>
      <c r="V811" s="13"/>
      <c r="W811" s="13"/>
      <c r="X811" s="13"/>
      <c r="Y811" s="13"/>
      <c r="Z811" s="13"/>
    </row>
    <row r="812" spans="1:26" ht="12.75" customHeight="1" x14ac:dyDescent="0.2">
      <c r="A812" s="8"/>
      <c r="B812" s="8"/>
      <c r="C812" s="197"/>
      <c r="D812" s="8"/>
      <c r="E812" s="197"/>
      <c r="F812" s="197"/>
      <c r="G812" s="197"/>
      <c r="H812" s="197"/>
      <c r="I812" s="197"/>
      <c r="J812" s="8"/>
      <c r="K812" s="197"/>
      <c r="L812" s="8"/>
      <c r="M812" s="197"/>
      <c r="N812" s="197"/>
      <c r="O812" s="197"/>
      <c r="P812" s="197"/>
      <c r="Q812" s="197"/>
      <c r="R812" s="197"/>
      <c r="S812" s="197"/>
      <c r="T812" s="13"/>
      <c r="U812" s="13"/>
      <c r="V812" s="13"/>
      <c r="W812" s="13"/>
      <c r="X812" s="13"/>
      <c r="Y812" s="13"/>
      <c r="Z812" s="13"/>
    </row>
    <row r="813" spans="1:26" ht="12.75" customHeight="1" x14ac:dyDescent="0.2">
      <c r="A813" s="8"/>
      <c r="B813" s="8"/>
      <c r="C813" s="197"/>
      <c r="D813" s="8"/>
      <c r="E813" s="197"/>
      <c r="F813" s="197"/>
      <c r="G813" s="197"/>
      <c r="H813" s="197"/>
      <c r="I813" s="197"/>
      <c r="J813" s="8"/>
      <c r="K813" s="197"/>
      <c r="L813" s="8"/>
      <c r="M813" s="197"/>
      <c r="N813" s="197"/>
      <c r="O813" s="197"/>
      <c r="P813" s="197"/>
      <c r="Q813" s="197"/>
      <c r="R813" s="197"/>
      <c r="S813" s="197"/>
      <c r="T813" s="13"/>
      <c r="U813" s="13"/>
      <c r="V813" s="13"/>
      <c r="W813" s="13"/>
      <c r="X813" s="13"/>
      <c r="Y813" s="13"/>
      <c r="Z813" s="13"/>
    </row>
    <row r="814" spans="1:26" ht="12.75" customHeight="1" x14ac:dyDescent="0.2">
      <c r="A814" s="8"/>
      <c r="B814" s="8"/>
      <c r="C814" s="197"/>
      <c r="D814" s="8"/>
      <c r="E814" s="197"/>
      <c r="F814" s="197"/>
      <c r="G814" s="197"/>
      <c r="H814" s="197"/>
      <c r="I814" s="197"/>
      <c r="J814" s="8"/>
      <c r="K814" s="197"/>
      <c r="L814" s="8"/>
      <c r="M814" s="197"/>
      <c r="N814" s="197"/>
      <c r="O814" s="197"/>
      <c r="P814" s="197"/>
      <c r="Q814" s="197"/>
      <c r="R814" s="197"/>
      <c r="S814" s="197"/>
      <c r="T814" s="13"/>
      <c r="U814" s="13"/>
      <c r="V814" s="13"/>
      <c r="W814" s="13"/>
      <c r="X814" s="13"/>
      <c r="Y814" s="13"/>
      <c r="Z814" s="13"/>
    </row>
    <row r="815" spans="1:26" ht="12.75" customHeight="1" x14ac:dyDescent="0.2">
      <c r="A815" s="8"/>
      <c r="B815" s="8"/>
      <c r="C815" s="197"/>
      <c r="D815" s="8"/>
      <c r="E815" s="197"/>
      <c r="F815" s="197"/>
      <c r="G815" s="197"/>
      <c r="H815" s="197"/>
      <c r="I815" s="197"/>
      <c r="J815" s="8"/>
      <c r="K815" s="197"/>
      <c r="L815" s="8"/>
      <c r="M815" s="197"/>
      <c r="N815" s="197"/>
      <c r="O815" s="197"/>
      <c r="P815" s="197"/>
      <c r="Q815" s="197"/>
      <c r="R815" s="197"/>
      <c r="S815" s="197"/>
      <c r="T815" s="13"/>
      <c r="U815" s="13"/>
      <c r="V815" s="13"/>
      <c r="W815" s="13"/>
      <c r="X815" s="13"/>
      <c r="Y815" s="13"/>
      <c r="Z815" s="13"/>
    </row>
    <row r="816" spans="1:26" ht="12.75" customHeight="1" x14ac:dyDescent="0.2">
      <c r="A816" s="8"/>
      <c r="B816" s="8"/>
      <c r="C816" s="197"/>
      <c r="D816" s="8"/>
      <c r="E816" s="197"/>
      <c r="F816" s="197"/>
      <c r="G816" s="197"/>
      <c r="H816" s="197"/>
      <c r="I816" s="197"/>
      <c r="J816" s="8"/>
      <c r="K816" s="197"/>
      <c r="L816" s="8"/>
      <c r="M816" s="197"/>
      <c r="N816" s="197"/>
      <c r="O816" s="197"/>
      <c r="P816" s="197"/>
      <c r="Q816" s="197"/>
      <c r="R816" s="197"/>
      <c r="S816" s="197"/>
      <c r="T816" s="13"/>
      <c r="U816" s="13"/>
      <c r="V816" s="13"/>
      <c r="W816" s="13"/>
      <c r="X816" s="13"/>
      <c r="Y816" s="13"/>
      <c r="Z816" s="13"/>
    </row>
    <row r="817" spans="1:26" ht="12.75" customHeight="1" x14ac:dyDescent="0.2">
      <c r="A817" s="8"/>
      <c r="B817" s="8"/>
      <c r="C817" s="197"/>
      <c r="D817" s="8"/>
      <c r="E817" s="197"/>
      <c r="F817" s="197"/>
      <c r="G817" s="197"/>
      <c r="H817" s="197"/>
      <c r="I817" s="197"/>
      <c r="J817" s="8"/>
      <c r="K817" s="197"/>
      <c r="L817" s="8"/>
      <c r="M817" s="197"/>
      <c r="N817" s="197"/>
      <c r="O817" s="197"/>
      <c r="P817" s="197"/>
      <c r="Q817" s="197"/>
      <c r="R817" s="197"/>
      <c r="S817" s="197"/>
      <c r="T817" s="13"/>
      <c r="U817" s="13"/>
      <c r="V817" s="13"/>
      <c r="W817" s="13"/>
      <c r="X817" s="13"/>
      <c r="Y817" s="13"/>
      <c r="Z817" s="13"/>
    </row>
    <row r="818" spans="1:26" ht="12.75" customHeight="1" x14ac:dyDescent="0.2">
      <c r="A818" s="8"/>
      <c r="B818" s="8"/>
      <c r="C818" s="197"/>
      <c r="D818" s="8"/>
      <c r="E818" s="197"/>
      <c r="F818" s="197"/>
      <c r="G818" s="197"/>
      <c r="H818" s="197"/>
      <c r="I818" s="197"/>
      <c r="J818" s="8"/>
      <c r="K818" s="197"/>
      <c r="L818" s="8"/>
      <c r="M818" s="197"/>
      <c r="N818" s="197"/>
      <c r="O818" s="197"/>
      <c r="P818" s="197"/>
      <c r="Q818" s="197"/>
      <c r="R818" s="197"/>
      <c r="S818" s="197"/>
      <c r="T818" s="13"/>
      <c r="U818" s="13"/>
      <c r="V818" s="13"/>
      <c r="W818" s="13"/>
      <c r="X818" s="13"/>
      <c r="Y818" s="13"/>
      <c r="Z818" s="13"/>
    </row>
    <row r="819" spans="1:26" ht="12.75" customHeight="1" x14ac:dyDescent="0.2">
      <c r="A819" s="8"/>
      <c r="B819" s="8"/>
      <c r="C819" s="197"/>
      <c r="D819" s="8"/>
      <c r="E819" s="197"/>
      <c r="F819" s="197"/>
      <c r="G819" s="197"/>
      <c r="H819" s="197"/>
      <c r="I819" s="197"/>
      <c r="J819" s="8"/>
      <c r="K819" s="197"/>
      <c r="L819" s="8"/>
      <c r="M819" s="197"/>
      <c r="N819" s="197"/>
      <c r="O819" s="197"/>
      <c r="P819" s="197"/>
      <c r="Q819" s="197"/>
      <c r="R819" s="197"/>
      <c r="S819" s="197"/>
      <c r="T819" s="13"/>
      <c r="U819" s="13"/>
      <c r="V819" s="13"/>
      <c r="W819" s="13"/>
      <c r="X819" s="13"/>
      <c r="Y819" s="13"/>
      <c r="Z819" s="13"/>
    </row>
    <row r="820" spans="1:26" ht="12.75" customHeight="1" x14ac:dyDescent="0.2">
      <c r="A820" s="8"/>
      <c r="B820" s="8"/>
      <c r="C820" s="197"/>
      <c r="D820" s="8"/>
      <c r="E820" s="197"/>
      <c r="F820" s="197"/>
      <c r="G820" s="197"/>
      <c r="H820" s="197"/>
      <c r="I820" s="197"/>
      <c r="J820" s="8"/>
      <c r="K820" s="197"/>
      <c r="L820" s="8"/>
      <c r="M820" s="197"/>
      <c r="N820" s="197"/>
      <c r="O820" s="197"/>
      <c r="P820" s="197"/>
      <c r="Q820" s="197"/>
      <c r="R820" s="197"/>
      <c r="S820" s="197"/>
      <c r="T820" s="13"/>
      <c r="U820" s="13"/>
      <c r="V820" s="13"/>
      <c r="W820" s="13"/>
      <c r="X820" s="13"/>
      <c r="Y820" s="13"/>
      <c r="Z820" s="13"/>
    </row>
    <row r="821" spans="1:26" ht="12.75" customHeight="1" x14ac:dyDescent="0.2">
      <c r="A821" s="8"/>
      <c r="B821" s="8"/>
      <c r="C821" s="197"/>
      <c r="D821" s="8"/>
      <c r="E821" s="197"/>
      <c r="F821" s="197"/>
      <c r="G821" s="197"/>
      <c r="H821" s="197"/>
      <c r="I821" s="197"/>
      <c r="J821" s="8"/>
      <c r="K821" s="197"/>
      <c r="L821" s="8"/>
      <c r="M821" s="197"/>
      <c r="N821" s="197"/>
      <c r="O821" s="197"/>
      <c r="P821" s="197"/>
      <c r="Q821" s="197"/>
      <c r="R821" s="197"/>
      <c r="S821" s="197"/>
      <c r="T821" s="13"/>
      <c r="U821" s="13"/>
      <c r="V821" s="13"/>
      <c r="W821" s="13"/>
      <c r="X821" s="13"/>
      <c r="Y821" s="13"/>
      <c r="Z821" s="13"/>
    </row>
    <row r="822" spans="1:26" ht="12.75" customHeight="1" x14ac:dyDescent="0.2">
      <c r="A822" s="8"/>
      <c r="B822" s="8"/>
      <c r="C822" s="197"/>
      <c r="D822" s="8"/>
      <c r="E822" s="197"/>
      <c r="F822" s="197"/>
      <c r="G822" s="197"/>
      <c r="H822" s="197"/>
      <c r="I822" s="197"/>
      <c r="J822" s="8"/>
      <c r="K822" s="197"/>
      <c r="L822" s="8"/>
      <c r="M822" s="197"/>
      <c r="N822" s="197"/>
      <c r="O822" s="197"/>
      <c r="P822" s="197"/>
      <c r="Q822" s="197"/>
      <c r="R822" s="197"/>
      <c r="S822" s="197"/>
      <c r="T822" s="13"/>
      <c r="U822" s="13"/>
      <c r="V822" s="13"/>
      <c r="W822" s="13"/>
      <c r="X822" s="13"/>
      <c r="Y822" s="13"/>
      <c r="Z822" s="13"/>
    </row>
    <row r="823" spans="1:26" ht="12.75" customHeight="1" x14ac:dyDescent="0.2">
      <c r="A823" s="8"/>
      <c r="B823" s="8"/>
      <c r="C823" s="197"/>
      <c r="D823" s="8"/>
      <c r="E823" s="197"/>
      <c r="F823" s="197"/>
      <c r="G823" s="197"/>
      <c r="H823" s="197"/>
      <c r="I823" s="197"/>
      <c r="J823" s="8"/>
      <c r="K823" s="197"/>
      <c r="L823" s="8"/>
      <c r="M823" s="197"/>
      <c r="N823" s="197"/>
      <c r="O823" s="197"/>
      <c r="P823" s="197"/>
      <c r="Q823" s="197"/>
      <c r="R823" s="197"/>
      <c r="S823" s="197"/>
      <c r="T823" s="13"/>
      <c r="U823" s="13"/>
      <c r="V823" s="13"/>
      <c r="W823" s="13"/>
      <c r="X823" s="13"/>
      <c r="Y823" s="13"/>
      <c r="Z823" s="13"/>
    </row>
    <row r="824" spans="1:26" ht="12.75" customHeight="1" x14ac:dyDescent="0.2">
      <c r="A824" s="8"/>
      <c r="B824" s="8"/>
      <c r="C824" s="197"/>
      <c r="D824" s="8"/>
      <c r="E824" s="197"/>
      <c r="F824" s="197"/>
      <c r="G824" s="197"/>
      <c r="H824" s="197"/>
      <c r="I824" s="197"/>
      <c r="J824" s="8"/>
      <c r="K824" s="197"/>
      <c r="L824" s="8"/>
      <c r="M824" s="197"/>
      <c r="N824" s="197"/>
      <c r="O824" s="197"/>
      <c r="P824" s="197"/>
      <c r="Q824" s="197"/>
      <c r="R824" s="197"/>
      <c r="S824" s="197"/>
      <c r="T824" s="13"/>
      <c r="U824" s="13"/>
      <c r="V824" s="13"/>
      <c r="W824" s="13"/>
      <c r="X824" s="13"/>
      <c r="Y824" s="13"/>
      <c r="Z824" s="13"/>
    </row>
    <row r="825" spans="1:26" ht="12.75" customHeight="1" x14ac:dyDescent="0.2">
      <c r="A825" s="8"/>
      <c r="B825" s="8"/>
      <c r="C825" s="197"/>
      <c r="D825" s="8"/>
      <c r="E825" s="197"/>
      <c r="F825" s="197"/>
      <c r="G825" s="197"/>
      <c r="H825" s="197"/>
      <c r="I825" s="197"/>
      <c r="J825" s="8"/>
      <c r="K825" s="197"/>
      <c r="L825" s="8"/>
      <c r="M825" s="197"/>
      <c r="N825" s="197"/>
      <c r="O825" s="197"/>
      <c r="P825" s="197"/>
      <c r="Q825" s="197"/>
      <c r="R825" s="197"/>
      <c r="S825" s="197"/>
      <c r="T825" s="13"/>
      <c r="U825" s="13"/>
      <c r="V825" s="13"/>
      <c r="W825" s="13"/>
      <c r="X825" s="13"/>
      <c r="Y825" s="13"/>
      <c r="Z825" s="13"/>
    </row>
    <row r="826" spans="1:26" ht="12.75" customHeight="1" x14ac:dyDescent="0.2">
      <c r="A826" s="8"/>
      <c r="B826" s="8"/>
      <c r="C826" s="197"/>
      <c r="D826" s="8"/>
      <c r="E826" s="197"/>
      <c r="F826" s="197"/>
      <c r="G826" s="197"/>
      <c r="H826" s="197"/>
      <c r="I826" s="197"/>
      <c r="J826" s="8"/>
      <c r="K826" s="197"/>
      <c r="L826" s="8"/>
      <c r="M826" s="197"/>
      <c r="N826" s="197"/>
      <c r="O826" s="197"/>
      <c r="P826" s="197"/>
      <c r="Q826" s="197"/>
      <c r="R826" s="197"/>
      <c r="S826" s="197"/>
      <c r="T826" s="13"/>
      <c r="U826" s="13"/>
      <c r="V826" s="13"/>
      <c r="W826" s="13"/>
      <c r="X826" s="13"/>
      <c r="Y826" s="13"/>
      <c r="Z826" s="13"/>
    </row>
    <row r="827" spans="1:26" ht="12.75" customHeight="1" x14ac:dyDescent="0.2">
      <c r="A827" s="8"/>
      <c r="B827" s="8"/>
      <c r="C827" s="197"/>
      <c r="D827" s="8"/>
      <c r="E827" s="197"/>
      <c r="F827" s="197"/>
      <c r="G827" s="197"/>
      <c r="H827" s="197"/>
      <c r="I827" s="197"/>
      <c r="J827" s="8"/>
      <c r="K827" s="197"/>
      <c r="L827" s="8"/>
      <c r="M827" s="197"/>
      <c r="N827" s="197"/>
      <c r="O827" s="197"/>
      <c r="P827" s="197"/>
      <c r="Q827" s="197"/>
      <c r="R827" s="197"/>
      <c r="S827" s="197"/>
      <c r="T827" s="13"/>
      <c r="U827" s="13"/>
      <c r="V827" s="13"/>
      <c r="W827" s="13"/>
      <c r="X827" s="13"/>
      <c r="Y827" s="13"/>
      <c r="Z827" s="13"/>
    </row>
    <row r="828" spans="1:26" ht="12.75" customHeight="1" x14ac:dyDescent="0.2">
      <c r="A828" s="8"/>
      <c r="B828" s="8"/>
      <c r="C828" s="197"/>
      <c r="D828" s="8"/>
      <c r="E828" s="197"/>
      <c r="F828" s="197"/>
      <c r="G828" s="197"/>
      <c r="H828" s="197"/>
      <c r="I828" s="197"/>
      <c r="J828" s="8"/>
      <c r="K828" s="197"/>
      <c r="L828" s="8"/>
      <c r="M828" s="197"/>
      <c r="N828" s="197"/>
      <c r="O828" s="197"/>
      <c r="P828" s="197"/>
      <c r="Q828" s="197"/>
      <c r="R828" s="197"/>
      <c r="S828" s="197"/>
      <c r="T828" s="13"/>
      <c r="U828" s="13"/>
      <c r="V828" s="13"/>
      <c r="W828" s="13"/>
      <c r="X828" s="13"/>
      <c r="Y828" s="13"/>
      <c r="Z828" s="13"/>
    </row>
    <row r="829" spans="1:26" ht="12.75" customHeight="1" x14ac:dyDescent="0.2">
      <c r="A829" s="8"/>
      <c r="B829" s="8"/>
      <c r="C829" s="197"/>
      <c r="D829" s="8"/>
      <c r="E829" s="197"/>
      <c r="F829" s="197"/>
      <c r="G829" s="197"/>
      <c r="H829" s="197"/>
      <c r="I829" s="197"/>
      <c r="J829" s="8"/>
      <c r="K829" s="197"/>
      <c r="L829" s="8"/>
      <c r="M829" s="197"/>
      <c r="N829" s="197"/>
      <c r="O829" s="197"/>
      <c r="P829" s="197"/>
      <c r="Q829" s="197"/>
      <c r="R829" s="197"/>
      <c r="S829" s="197"/>
      <c r="T829" s="13"/>
      <c r="U829" s="13"/>
      <c r="V829" s="13"/>
      <c r="W829" s="13"/>
      <c r="X829" s="13"/>
      <c r="Y829" s="13"/>
      <c r="Z829" s="13"/>
    </row>
    <row r="830" spans="1:26" ht="12.75" customHeight="1" x14ac:dyDescent="0.2">
      <c r="A830" s="8"/>
      <c r="B830" s="8"/>
      <c r="C830" s="197"/>
      <c r="D830" s="8"/>
      <c r="E830" s="197"/>
      <c r="F830" s="197"/>
      <c r="G830" s="197"/>
      <c r="H830" s="197"/>
      <c r="I830" s="197"/>
      <c r="J830" s="8"/>
      <c r="K830" s="197"/>
      <c r="L830" s="8"/>
      <c r="M830" s="197"/>
      <c r="N830" s="197"/>
      <c r="O830" s="197"/>
      <c r="P830" s="197"/>
      <c r="Q830" s="197"/>
      <c r="R830" s="197"/>
      <c r="S830" s="197"/>
      <c r="T830" s="13"/>
      <c r="U830" s="13"/>
      <c r="V830" s="13"/>
      <c r="W830" s="13"/>
      <c r="X830" s="13"/>
      <c r="Y830" s="13"/>
      <c r="Z830" s="13"/>
    </row>
    <row r="831" spans="1:26" ht="12.75" customHeight="1" x14ac:dyDescent="0.2">
      <c r="A831" s="8"/>
      <c r="B831" s="8"/>
      <c r="C831" s="197"/>
      <c r="D831" s="8"/>
      <c r="E831" s="197"/>
      <c r="F831" s="197"/>
      <c r="G831" s="197"/>
      <c r="H831" s="197"/>
      <c r="I831" s="197"/>
      <c r="J831" s="8"/>
      <c r="K831" s="197"/>
      <c r="L831" s="8"/>
      <c r="M831" s="197"/>
      <c r="N831" s="197"/>
      <c r="O831" s="197"/>
      <c r="P831" s="197"/>
      <c r="Q831" s="197"/>
      <c r="R831" s="197"/>
      <c r="S831" s="197"/>
      <c r="T831" s="13"/>
      <c r="U831" s="13"/>
      <c r="V831" s="13"/>
      <c r="W831" s="13"/>
      <c r="X831" s="13"/>
      <c r="Y831" s="13"/>
      <c r="Z831" s="13"/>
    </row>
    <row r="832" spans="1:26" ht="12.75" customHeight="1" x14ac:dyDescent="0.2">
      <c r="A832" s="8"/>
      <c r="B832" s="8"/>
      <c r="C832" s="197"/>
      <c r="D832" s="8"/>
      <c r="E832" s="197"/>
      <c r="F832" s="197"/>
      <c r="G832" s="197"/>
      <c r="H832" s="197"/>
      <c r="I832" s="197"/>
      <c r="J832" s="8"/>
      <c r="K832" s="197"/>
      <c r="L832" s="8"/>
      <c r="M832" s="197"/>
      <c r="N832" s="197"/>
      <c r="O832" s="197"/>
      <c r="P832" s="197"/>
      <c r="Q832" s="197"/>
      <c r="R832" s="197"/>
      <c r="S832" s="197"/>
      <c r="T832" s="13"/>
      <c r="U832" s="13"/>
      <c r="V832" s="13"/>
      <c r="W832" s="13"/>
      <c r="X832" s="13"/>
      <c r="Y832" s="13"/>
      <c r="Z832" s="13"/>
    </row>
    <row r="833" spans="1:26" ht="12.75" customHeight="1" x14ac:dyDescent="0.2">
      <c r="A833" s="8"/>
      <c r="B833" s="8"/>
      <c r="C833" s="197"/>
      <c r="D833" s="8"/>
      <c r="E833" s="197"/>
      <c r="F833" s="197"/>
      <c r="G833" s="197"/>
      <c r="H833" s="197"/>
      <c r="I833" s="197"/>
      <c r="J833" s="8"/>
      <c r="K833" s="197"/>
      <c r="L833" s="8"/>
      <c r="M833" s="197"/>
      <c r="N833" s="197"/>
      <c r="O833" s="197"/>
      <c r="P833" s="197"/>
      <c r="Q833" s="197"/>
      <c r="R833" s="197"/>
      <c r="S833" s="197"/>
      <c r="T833" s="13"/>
      <c r="U833" s="13"/>
      <c r="V833" s="13"/>
      <c r="W833" s="13"/>
      <c r="X833" s="13"/>
      <c r="Y833" s="13"/>
      <c r="Z833" s="13"/>
    </row>
    <row r="834" spans="1:26" ht="12.75" customHeight="1" x14ac:dyDescent="0.2">
      <c r="A834" s="8"/>
      <c r="B834" s="8"/>
      <c r="C834" s="197"/>
      <c r="D834" s="8"/>
      <c r="E834" s="197"/>
      <c r="F834" s="197"/>
      <c r="G834" s="197"/>
      <c r="H834" s="197"/>
      <c r="I834" s="197"/>
      <c r="J834" s="8"/>
      <c r="K834" s="197"/>
      <c r="L834" s="8"/>
      <c r="M834" s="197"/>
      <c r="N834" s="197"/>
      <c r="O834" s="197"/>
      <c r="P834" s="197"/>
      <c r="Q834" s="197"/>
      <c r="R834" s="197"/>
      <c r="S834" s="197"/>
      <c r="T834" s="13"/>
      <c r="U834" s="13"/>
      <c r="V834" s="13"/>
      <c r="W834" s="13"/>
      <c r="X834" s="13"/>
      <c r="Y834" s="13"/>
      <c r="Z834" s="13"/>
    </row>
    <row r="835" spans="1:26" ht="12.75" customHeight="1" x14ac:dyDescent="0.2">
      <c r="A835" s="8"/>
      <c r="B835" s="8"/>
      <c r="C835" s="197"/>
      <c r="D835" s="8"/>
      <c r="E835" s="197"/>
      <c r="F835" s="197"/>
      <c r="G835" s="197"/>
      <c r="H835" s="197"/>
      <c r="I835" s="197"/>
      <c r="J835" s="8"/>
      <c r="K835" s="197"/>
      <c r="L835" s="8"/>
      <c r="M835" s="197"/>
      <c r="N835" s="197"/>
      <c r="O835" s="197"/>
      <c r="P835" s="197"/>
      <c r="Q835" s="197"/>
      <c r="R835" s="197"/>
      <c r="S835" s="197"/>
      <c r="T835" s="13"/>
      <c r="U835" s="13"/>
      <c r="V835" s="13"/>
      <c r="W835" s="13"/>
      <c r="X835" s="13"/>
      <c r="Y835" s="13"/>
      <c r="Z835" s="13"/>
    </row>
    <row r="836" spans="1:26" ht="12.75" customHeight="1" x14ac:dyDescent="0.2">
      <c r="A836" s="8"/>
      <c r="B836" s="8"/>
      <c r="C836" s="197"/>
      <c r="D836" s="8"/>
      <c r="E836" s="197"/>
      <c r="F836" s="197"/>
      <c r="G836" s="197"/>
      <c r="H836" s="197"/>
      <c r="I836" s="197"/>
      <c r="J836" s="8"/>
      <c r="K836" s="197"/>
      <c r="L836" s="8"/>
      <c r="M836" s="197"/>
      <c r="N836" s="197"/>
      <c r="O836" s="197"/>
      <c r="P836" s="197"/>
      <c r="Q836" s="197"/>
      <c r="R836" s="197"/>
      <c r="S836" s="197"/>
      <c r="T836" s="13"/>
      <c r="U836" s="13"/>
      <c r="V836" s="13"/>
      <c r="W836" s="13"/>
      <c r="X836" s="13"/>
      <c r="Y836" s="13"/>
      <c r="Z836" s="13"/>
    </row>
    <row r="837" spans="1:26" ht="12.75" customHeight="1" x14ac:dyDescent="0.2">
      <c r="A837" s="8"/>
      <c r="B837" s="8"/>
      <c r="C837" s="197"/>
      <c r="D837" s="8"/>
      <c r="E837" s="197"/>
      <c r="F837" s="197"/>
      <c r="G837" s="197"/>
      <c r="H837" s="197"/>
      <c r="I837" s="197"/>
      <c r="J837" s="8"/>
      <c r="K837" s="197"/>
      <c r="L837" s="8"/>
      <c r="M837" s="197"/>
      <c r="N837" s="197"/>
      <c r="O837" s="197"/>
      <c r="P837" s="197"/>
      <c r="Q837" s="197"/>
      <c r="R837" s="197"/>
      <c r="S837" s="197"/>
      <c r="T837" s="13"/>
      <c r="U837" s="13"/>
      <c r="V837" s="13"/>
      <c r="W837" s="13"/>
      <c r="X837" s="13"/>
      <c r="Y837" s="13"/>
      <c r="Z837" s="13"/>
    </row>
    <row r="838" spans="1:26" ht="12.75" customHeight="1" x14ac:dyDescent="0.2">
      <c r="A838" s="8"/>
      <c r="B838" s="8"/>
      <c r="C838" s="197"/>
      <c r="D838" s="8"/>
      <c r="E838" s="197"/>
      <c r="F838" s="197"/>
      <c r="G838" s="197"/>
      <c r="H838" s="197"/>
      <c r="I838" s="197"/>
      <c r="J838" s="8"/>
      <c r="K838" s="197"/>
      <c r="L838" s="8"/>
      <c r="M838" s="197"/>
      <c r="N838" s="197"/>
      <c r="O838" s="197"/>
      <c r="P838" s="197"/>
      <c r="Q838" s="197"/>
      <c r="R838" s="197"/>
      <c r="S838" s="197"/>
      <c r="T838" s="13"/>
      <c r="U838" s="13"/>
      <c r="V838" s="13"/>
      <c r="W838" s="13"/>
      <c r="X838" s="13"/>
      <c r="Y838" s="13"/>
      <c r="Z838" s="13"/>
    </row>
    <row r="839" spans="1:26" ht="12.75" customHeight="1" x14ac:dyDescent="0.2">
      <c r="A839" s="8"/>
      <c r="B839" s="8"/>
      <c r="C839" s="197"/>
      <c r="D839" s="8"/>
      <c r="E839" s="197"/>
      <c r="F839" s="197"/>
      <c r="G839" s="197"/>
      <c r="H839" s="197"/>
      <c r="I839" s="197"/>
      <c r="J839" s="8"/>
      <c r="K839" s="197"/>
      <c r="L839" s="8"/>
      <c r="M839" s="197"/>
      <c r="N839" s="197"/>
      <c r="O839" s="197"/>
      <c r="P839" s="197"/>
      <c r="Q839" s="197"/>
      <c r="R839" s="197"/>
      <c r="S839" s="197"/>
      <c r="T839" s="13"/>
      <c r="U839" s="13"/>
      <c r="V839" s="13"/>
      <c r="W839" s="13"/>
      <c r="X839" s="13"/>
      <c r="Y839" s="13"/>
      <c r="Z839" s="13"/>
    </row>
    <row r="840" spans="1:26" ht="12.75" customHeight="1" x14ac:dyDescent="0.2">
      <c r="A840" s="8"/>
      <c r="B840" s="8"/>
      <c r="C840" s="197"/>
      <c r="D840" s="8"/>
      <c r="E840" s="197"/>
      <c r="F840" s="197"/>
      <c r="G840" s="197"/>
      <c r="H840" s="197"/>
      <c r="I840" s="197"/>
      <c r="J840" s="8"/>
      <c r="K840" s="197"/>
      <c r="L840" s="8"/>
      <c r="M840" s="197"/>
      <c r="N840" s="197"/>
      <c r="O840" s="197"/>
      <c r="P840" s="197"/>
      <c r="Q840" s="197"/>
      <c r="R840" s="197"/>
      <c r="S840" s="197"/>
      <c r="T840" s="13"/>
      <c r="U840" s="13"/>
      <c r="V840" s="13"/>
      <c r="W840" s="13"/>
      <c r="X840" s="13"/>
      <c r="Y840" s="13"/>
      <c r="Z840" s="13"/>
    </row>
    <row r="841" spans="1:26" ht="12.75" customHeight="1" x14ac:dyDescent="0.2">
      <c r="A841" s="8"/>
      <c r="B841" s="8"/>
      <c r="C841" s="197"/>
      <c r="D841" s="8"/>
      <c r="E841" s="197"/>
      <c r="F841" s="197"/>
      <c r="G841" s="197"/>
      <c r="H841" s="197"/>
      <c r="I841" s="197"/>
      <c r="J841" s="8"/>
      <c r="K841" s="197"/>
      <c r="L841" s="8"/>
      <c r="M841" s="197"/>
      <c r="N841" s="197"/>
      <c r="O841" s="197"/>
      <c r="P841" s="197"/>
      <c r="Q841" s="197"/>
      <c r="R841" s="197"/>
      <c r="S841" s="197"/>
      <c r="T841" s="13"/>
      <c r="U841" s="13"/>
      <c r="V841" s="13"/>
      <c r="W841" s="13"/>
      <c r="X841" s="13"/>
      <c r="Y841" s="13"/>
      <c r="Z841" s="13"/>
    </row>
    <row r="842" spans="1:26" ht="12.75" customHeight="1" x14ac:dyDescent="0.2">
      <c r="A842" s="8"/>
      <c r="B842" s="8"/>
      <c r="C842" s="197"/>
      <c r="D842" s="8"/>
      <c r="E842" s="197"/>
      <c r="F842" s="197"/>
      <c r="G842" s="197"/>
      <c r="H842" s="197"/>
      <c r="I842" s="197"/>
      <c r="J842" s="8"/>
      <c r="K842" s="197"/>
      <c r="L842" s="8"/>
      <c r="M842" s="197"/>
      <c r="N842" s="197"/>
      <c r="O842" s="197"/>
      <c r="P842" s="197"/>
      <c r="Q842" s="197"/>
      <c r="R842" s="197"/>
      <c r="S842" s="197"/>
      <c r="T842" s="13"/>
      <c r="U842" s="13"/>
      <c r="V842" s="13"/>
      <c r="W842" s="13"/>
      <c r="X842" s="13"/>
      <c r="Y842" s="13"/>
      <c r="Z842" s="13"/>
    </row>
    <row r="843" spans="1:26" ht="12.75" customHeight="1" x14ac:dyDescent="0.2">
      <c r="A843" s="8"/>
      <c r="B843" s="8"/>
      <c r="C843" s="197"/>
      <c r="D843" s="8"/>
      <c r="E843" s="197"/>
      <c r="F843" s="197"/>
      <c r="G843" s="197"/>
      <c r="H843" s="197"/>
      <c r="I843" s="197"/>
      <c r="J843" s="8"/>
      <c r="K843" s="197"/>
      <c r="L843" s="8"/>
      <c r="M843" s="197"/>
      <c r="N843" s="197"/>
      <c r="O843" s="197"/>
      <c r="P843" s="197"/>
      <c r="Q843" s="197"/>
      <c r="R843" s="197"/>
      <c r="S843" s="197"/>
      <c r="T843" s="13"/>
      <c r="U843" s="13"/>
      <c r="V843" s="13"/>
      <c r="W843" s="13"/>
      <c r="X843" s="13"/>
      <c r="Y843" s="13"/>
      <c r="Z843" s="13"/>
    </row>
    <row r="844" spans="1:26" ht="12.75" customHeight="1" x14ac:dyDescent="0.2">
      <c r="A844" s="8"/>
      <c r="B844" s="8"/>
      <c r="C844" s="197"/>
      <c r="D844" s="8"/>
      <c r="E844" s="197"/>
      <c r="F844" s="197"/>
      <c r="G844" s="197"/>
      <c r="H844" s="197"/>
      <c r="I844" s="197"/>
      <c r="J844" s="8"/>
      <c r="K844" s="197"/>
      <c r="L844" s="8"/>
      <c r="M844" s="197"/>
      <c r="N844" s="197"/>
      <c r="O844" s="197"/>
      <c r="P844" s="197"/>
      <c r="Q844" s="197"/>
      <c r="R844" s="197"/>
      <c r="S844" s="197"/>
      <c r="T844" s="13"/>
      <c r="U844" s="13"/>
      <c r="V844" s="13"/>
      <c r="W844" s="13"/>
      <c r="X844" s="13"/>
      <c r="Y844" s="13"/>
      <c r="Z844" s="13"/>
    </row>
    <row r="845" spans="1:26" ht="12.75" customHeight="1" x14ac:dyDescent="0.2">
      <c r="A845" s="8"/>
      <c r="B845" s="8"/>
      <c r="C845" s="197"/>
      <c r="D845" s="8"/>
      <c r="E845" s="197"/>
      <c r="F845" s="197"/>
      <c r="G845" s="197"/>
      <c r="H845" s="197"/>
      <c r="I845" s="197"/>
      <c r="J845" s="8"/>
      <c r="K845" s="197"/>
      <c r="L845" s="8"/>
      <c r="M845" s="197"/>
      <c r="N845" s="197"/>
      <c r="O845" s="197"/>
      <c r="P845" s="197"/>
      <c r="Q845" s="197"/>
      <c r="R845" s="197"/>
      <c r="S845" s="197"/>
      <c r="T845" s="13"/>
      <c r="U845" s="13"/>
      <c r="V845" s="13"/>
      <c r="W845" s="13"/>
      <c r="X845" s="13"/>
      <c r="Y845" s="13"/>
      <c r="Z845" s="13"/>
    </row>
    <row r="846" spans="1:26" ht="12.75" customHeight="1" x14ac:dyDescent="0.2">
      <c r="A846" s="8"/>
      <c r="B846" s="8"/>
      <c r="C846" s="197"/>
      <c r="D846" s="8"/>
      <c r="E846" s="197"/>
      <c r="F846" s="197"/>
      <c r="G846" s="197"/>
      <c r="H846" s="197"/>
      <c r="I846" s="197"/>
      <c r="J846" s="8"/>
      <c r="K846" s="197"/>
      <c r="L846" s="8"/>
      <c r="M846" s="197"/>
      <c r="N846" s="197"/>
      <c r="O846" s="197"/>
      <c r="P846" s="197"/>
      <c r="Q846" s="197"/>
      <c r="R846" s="197"/>
      <c r="S846" s="197"/>
      <c r="T846" s="13"/>
      <c r="U846" s="13"/>
      <c r="V846" s="13"/>
      <c r="W846" s="13"/>
      <c r="X846" s="13"/>
      <c r="Y846" s="13"/>
      <c r="Z846" s="13"/>
    </row>
    <row r="847" spans="1:26" ht="12.75" customHeight="1" x14ac:dyDescent="0.2">
      <c r="A847" s="8"/>
      <c r="B847" s="8"/>
      <c r="C847" s="197"/>
      <c r="D847" s="8"/>
      <c r="E847" s="197"/>
      <c r="F847" s="197"/>
      <c r="G847" s="197"/>
      <c r="H847" s="197"/>
      <c r="I847" s="197"/>
      <c r="J847" s="8"/>
      <c r="K847" s="197"/>
      <c r="L847" s="8"/>
      <c r="M847" s="197"/>
      <c r="N847" s="197"/>
      <c r="O847" s="197"/>
      <c r="P847" s="197"/>
      <c r="Q847" s="197"/>
      <c r="R847" s="197"/>
      <c r="S847" s="197"/>
      <c r="T847" s="13"/>
      <c r="U847" s="13"/>
      <c r="V847" s="13"/>
      <c r="W847" s="13"/>
      <c r="X847" s="13"/>
      <c r="Y847" s="13"/>
      <c r="Z847" s="13"/>
    </row>
    <row r="848" spans="1:26" ht="12.75" customHeight="1" x14ac:dyDescent="0.2">
      <c r="A848" s="8"/>
      <c r="B848" s="8"/>
      <c r="C848" s="197"/>
      <c r="D848" s="8"/>
      <c r="E848" s="197"/>
      <c r="F848" s="197"/>
      <c r="G848" s="197"/>
      <c r="H848" s="197"/>
      <c r="I848" s="197"/>
      <c r="J848" s="8"/>
      <c r="K848" s="197"/>
      <c r="L848" s="8"/>
      <c r="M848" s="197"/>
      <c r="N848" s="197"/>
      <c r="O848" s="197"/>
      <c r="P848" s="197"/>
      <c r="Q848" s="197"/>
      <c r="R848" s="197"/>
      <c r="S848" s="197"/>
      <c r="T848" s="13"/>
      <c r="U848" s="13"/>
      <c r="V848" s="13"/>
      <c r="W848" s="13"/>
      <c r="X848" s="13"/>
      <c r="Y848" s="13"/>
      <c r="Z848" s="13"/>
    </row>
    <row r="849" spans="1:26" ht="12.75" customHeight="1" x14ac:dyDescent="0.2">
      <c r="A849" s="8"/>
      <c r="B849" s="8"/>
      <c r="C849" s="197"/>
      <c r="D849" s="8"/>
      <c r="E849" s="197"/>
      <c r="F849" s="197"/>
      <c r="G849" s="197"/>
      <c r="H849" s="197"/>
      <c r="I849" s="197"/>
      <c r="J849" s="8"/>
      <c r="K849" s="197"/>
      <c r="L849" s="8"/>
      <c r="M849" s="197"/>
      <c r="N849" s="197"/>
      <c r="O849" s="197"/>
      <c r="P849" s="197"/>
      <c r="Q849" s="197"/>
      <c r="R849" s="197"/>
      <c r="S849" s="197"/>
      <c r="T849" s="13"/>
      <c r="U849" s="13"/>
      <c r="V849" s="13"/>
      <c r="W849" s="13"/>
      <c r="X849" s="13"/>
      <c r="Y849" s="13"/>
      <c r="Z849" s="13"/>
    </row>
    <row r="850" spans="1:26" ht="12.75" customHeight="1" x14ac:dyDescent="0.2">
      <c r="A850" s="8"/>
      <c r="B850" s="8"/>
      <c r="C850" s="197"/>
      <c r="D850" s="8"/>
      <c r="E850" s="197"/>
      <c r="F850" s="197"/>
      <c r="G850" s="197"/>
      <c r="H850" s="197"/>
      <c r="I850" s="197"/>
      <c r="J850" s="8"/>
      <c r="K850" s="197"/>
      <c r="L850" s="8"/>
      <c r="M850" s="197"/>
      <c r="N850" s="197"/>
      <c r="O850" s="197"/>
      <c r="P850" s="197"/>
      <c r="Q850" s="197"/>
      <c r="R850" s="197"/>
      <c r="S850" s="197"/>
      <c r="T850" s="13"/>
      <c r="U850" s="13"/>
      <c r="V850" s="13"/>
      <c r="W850" s="13"/>
      <c r="X850" s="13"/>
      <c r="Y850" s="13"/>
      <c r="Z850" s="13"/>
    </row>
    <row r="851" spans="1:26" ht="12.75" customHeight="1" x14ac:dyDescent="0.2">
      <c r="A851" s="8"/>
      <c r="B851" s="8"/>
      <c r="C851" s="197"/>
      <c r="D851" s="8"/>
      <c r="E851" s="197"/>
      <c r="F851" s="197"/>
      <c r="G851" s="197"/>
      <c r="H851" s="197"/>
      <c r="I851" s="197"/>
      <c r="J851" s="8"/>
      <c r="K851" s="197"/>
      <c r="L851" s="8"/>
      <c r="M851" s="197"/>
      <c r="N851" s="197"/>
      <c r="O851" s="197"/>
      <c r="P851" s="197"/>
      <c r="Q851" s="197"/>
      <c r="R851" s="197"/>
      <c r="S851" s="197"/>
      <c r="T851" s="13"/>
      <c r="U851" s="13"/>
      <c r="V851" s="13"/>
      <c r="W851" s="13"/>
      <c r="X851" s="13"/>
      <c r="Y851" s="13"/>
      <c r="Z851" s="13"/>
    </row>
    <row r="852" spans="1:26" ht="12.75" customHeight="1" x14ac:dyDescent="0.2">
      <c r="A852" s="8"/>
      <c r="B852" s="8"/>
      <c r="C852" s="197"/>
      <c r="D852" s="8"/>
      <c r="E852" s="197"/>
      <c r="F852" s="197"/>
      <c r="G852" s="197"/>
      <c r="H852" s="197"/>
      <c r="I852" s="197"/>
      <c r="J852" s="8"/>
      <c r="K852" s="197"/>
      <c r="L852" s="8"/>
      <c r="M852" s="197"/>
      <c r="N852" s="197"/>
      <c r="O852" s="197"/>
      <c r="P852" s="197"/>
      <c r="Q852" s="197"/>
      <c r="R852" s="197"/>
      <c r="S852" s="197"/>
      <c r="T852" s="13"/>
      <c r="U852" s="13"/>
      <c r="V852" s="13"/>
      <c r="W852" s="13"/>
      <c r="X852" s="13"/>
      <c r="Y852" s="13"/>
      <c r="Z852" s="13"/>
    </row>
    <row r="853" spans="1:26" ht="12.75" customHeight="1" x14ac:dyDescent="0.2">
      <c r="A853" s="8"/>
      <c r="B853" s="8"/>
      <c r="C853" s="197"/>
      <c r="D853" s="8"/>
      <c r="E853" s="197"/>
      <c r="F853" s="197"/>
      <c r="G853" s="197"/>
      <c r="H853" s="197"/>
      <c r="I853" s="197"/>
      <c r="J853" s="8"/>
      <c r="K853" s="197"/>
      <c r="L853" s="8"/>
      <c r="M853" s="197"/>
      <c r="N853" s="197"/>
      <c r="O853" s="197"/>
      <c r="P853" s="197"/>
      <c r="Q853" s="197"/>
      <c r="R853" s="197"/>
      <c r="S853" s="197"/>
      <c r="T853" s="13"/>
      <c r="U853" s="13"/>
      <c r="V853" s="13"/>
      <c r="W853" s="13"/>
      <c r="X853" s="13"/>
      <c r="Y853" s="13"/>
      <c r="Z853" s="13"/>
    </row>
    <row r="854" spans="1:26" ht="12.75" customHeight="1" x14ac:dyDescent="0.2">
      <c r="A854" s="8"/>
      <c r="B854" s="8"/>
      <c r="C854" s="197"/>
      <c r="D854" s="8"/>
      <c r="E854" s="197"/>
      <c r="F854" s="197"/>
      <c r="G854" s="197"/>
      <c r="H854" s="197"/>
      <c r="I854" s="197"/>
      <c r="J854" s="8"/>
      <c r="K854" s="197"/>
      <c r="L854" s="8"/>
      <c r="M854" s="197"/>
      <c r="N854" s="197"/>
      <c r="O854" s="197"/>
      <c r="P854" s="197"/>
      <c r="Q854" s="197"/>
      <c r="R854" s="197"/>
      <c r="S854" s="197"/>
      <c r="T854" s="13"/>
      <c r="U854" s="13"/>
      <c r="V854" s="13"/>
      <c r="W854" s="13"/>
      <c r="X854" s="13"/>
      <c r="Y854" s="13"/>
      <c r="Z854" s="13"/>
    </row>
    <row r="855" spans="1:26" ht="12.75" customHeight="1" x14ac:dyDescent="0.2">
      <c r="A855" s="8"/>
      <c r="B855" s="8"/>
      <c r="C855" s="197"/>
      <c r="D855" s="8"/>
      <c r="E855" s="197"/>
      <c r="F855" s="197"/>
      <c r="G855" s="197"/>
      <c r="H855" s="197"/>
      <c r="I855" s="197"/>
      <c r="J855" s="8"/>
      <c r="K855" s="197"/>
      <c r="L855" s="8"/>
      <c r="M855" s="197"/>
      <c r="N855" s="197"/>
      <c r="O855" s="197"/>
      <c r="P855" s="197"/>
      <c r="Q855" s="197"/>
      <c r="R855" s="197"/>
      <c r="S855" s="197"/>
      <c r="T855" s="13"/>
      <c r="U855" s="13"/>
      <c r="V855" s="13"/>
      <c r="W855" s="13"/>
      <c r="X855" s="13"/>
      <c r="Y855" s="13"/>
      <c r="Z855" s="13"/>
    </row>
    <row r="856" spans="1:26" ht="12.75" customHeight="1" x14ac:dyDescent="0.2">
      <c r="A856" s="8"/>
      <c r="B856" s="8"/>
      <c r="C856" s="197"/>
      <c r="D856" s="8"/>
      <c r="E856" s="197"/>
      <c r="F856" s="197"/>
      <c r="G856" s="197"/>
      <c r="H856" s="197"/>
      <c r="I856" s="197"/>
      <c r="J856" s="8"/>
      <c r="K856" s="197"/>
      <c r="L856" s="8"/>
      <c r="M856" s="197"/>
      <c r="N856" s="197"/>
      <c r="O856" s="197"/>
      <c r="P856" s="197"/>
      <c r="Q856" s="197"/>
      <c r="R856" s="197"/>
      <c r="S856" s="197"/>
      <c r="T856" s="13"/>
      <c r="U856" s="13"/>
      <c r="V856" s="13"/>
      <c r="W856" s="13"/>
      <c r="X856" s="13"/>
      <c r="Y856" s="13"/>
      <c r="Z856" s="13"/>
    </row>
    <row r="857" spans="1:26" ht="12.75" customHeight="1" x14ac:dyDescent="0.2">
      <c r="A857" s="8"/>
      <c r="B857" s="8"/>
      <c r="C857" s="197"/>
      <c r="D857" s="8"/>
      <c r="E857" s="197"/>
      <c r="F857" s="197"/>
      <c r="G857" s="197"/>
      <c r="H857" s="197"/>
      <c r="I857" s="197"/>
      <c r="J857" s="8"/>
      <c r="K857" s="197"/>
      <c r="L857" s="8"/>
      <c r="M857" s="197"/>
      <c r="N857" s="197"/>
      <c r="O857" s="197"/>
      <c r="P857" s="197"/>
      <c r="Q857" s="197"/>
      <c r="R857" s="197"/>
      <c r="S857" s="197"/>
      <c r="T857" s="13"/>
      <c r="U857" s="13"/>
      <c r="V857" s="13"/>
      <c r="W857" s="13"/>
      <c r="X857" s="13"/>
      <c r="Y857" s="13"/>
      <c r="Z857" s="13"/>
    </row>
    <row r="858" spans="1:26" ht="12.75" customHeight="1" x14ac:dyDescent="0.2">
      <c r="A858" s="8"/>
      <c r="B858" s="8"/>
      <c r="C858" s="197"/>
      <c r="D858" s="8"/>
      <c r="E858" s="197"/>
      <c r="F858" s="197"/>
      <c r="G858" s="197"/>
      <c r="H858" s="197"/>
      <c r="I858" s="197"/>
      <c r="J858" s="8"/>
      <c r="K858" s="197"/>
      <c r="L858" s="8"/>
      <c r="M858" s="197"/>
      <c r="N858" s="197"/>
      <c r="O858" s="197"/>
      <c r="P858" s="197"/>
      <c r="Q858" s="197"/>
      <c r="R858" s="197"/>
      <c r="S858" s="197"/>
      <c r="T858" s="13"/>
      <c r="U858" s="13"/>
      <c r="V858" s="13"/>
      <c r="W858" s="13"/>
      <c r="X858" s="13"/>
      <c r="Y858" s="13"/>
      <c r="Z858" s="13"/>
    </row>
    <row r="859" spans="1:26" ht="12.75" customHeight="1" x14ac:dyDescent="0.2">
      <c r="A859" s="8"/>
      <c r="B859" s="8"/>
      <c r="C859" s="197"/>
      <c r="D859" s="8"/>
      <c r="E859" s="197"/>
      <c r="F859" s="197"/>
      <c r="G859" s="197"/>
      <c r="H859" s="197"/>
      <c r="I859" s="197"/>
      <c r="J859" s="8"/>
      <c r="K859" s="197"/>
      <c r="L859" s="8"/>
      <c r="M859" s="197"/>
      <c r="N859" s="197"/>
      <c r="O859" s="197"/>
      <c r="P859" s="197"/>
      <c r="Q859" s="197"/>
      <c r="R859" s="197"/>
      <c r="S859" s="197"/>
      <c r="T859" s="13"/>
      <c r="U859" s="13"/>
      <c r="V859" s="13"/>
      <c r="W859" s="13"/>
      <c r="X859" s="13"/>
      <c r="Y859" s="13"/>
      <c r="Z859" s="13"/>
    </row>
    <row r="860" spans="1:26" ht="12.75" customHeight="1" x14ac:dyDescent="0.2">
      <c r="A860" s="8"/>
      <c r="B860" s="8"/>
      <c r="C860" s="197"/>
      <c r="D860" s="8"/>
      <c r="E860" s="197"/>
      <c r="F860" s="197"/>
      <c r="G860" s="197"/>
      <c r="H860" s="197"/>
      <c r="I860" s="197"/>
      <c r="J860" s="8"/>
      <c r="K860" s="197"/>
      <c r="L860" s="8"/>
      <c r="M860" s="197"/>
      <c r="N860" s="197"/>
      <c r="O860" s="197"/>
      <c r="P860" s="197"/>
      <c r="Q860" s="197"/>
      <c r="R860" s="197"/>
      <c r="S860" s="197"/>
      <c r="T860" s="13"/>
      <c r="U860" s="13"/>
      <c r="V860" s="13"/>
      <c r="W860" s="13"/>
      <c r="X860" s="13"/>
      <c r="Y860" s="13"/>
      <c r="Z860" s="13"/>
    </row>
    <row r="861" spans="1:26" ht="12.75" customHeight="1" x14ac:dyDescent="0.2">
      <c r="A861" s="8"/>
      <c r="B861" s="8"/>
      <c r="C861" s="197"/>
      <c r="D861" s="8"/>
      <c r="E861" s="197"/>
      <c r="F861" s="197"/>
      <c r="G861" s="197"/>
      <c r="H861" s="197"/>
      <c r="I861" s="197"/>
      <c r="J861" s="8"/>
      <c r="K861" s="197"/>
      <c r="L861" s="8"/>
      <c r="M861" s="197"/>
      <c r="N861" s="197"/>
      <c r="O861" s="197"/>
      <c r="P861" s="197"/>
      <c r="Q861" s="197"/>
      <c r="R861" s="197"/>
      <c r="S861" s="197"/>
      <c r="T861" s="13"/>
      <c r="U861" s="13"/>
      <c r="V861" s="13"/>
      <c r="W861" s="13"/>
      <c r="X861" s="13"/>
      <c r="Y861" s="13"/>
      <c r="Z861" s="13"/>
    </row>
    <row r="862" spans="1:26" ht="12.75" customHeight="1" x14ac:dyDescent="0.2">
      <c r="A862" s="8"/>
      <c r="B862" s="8"/>
      <c r="C862" s="197"/>
      <c r="D862" s="8"/>
      <c r="E862" s="197"/>
      <c r="F862" s="197"/>
      <c r="G862" s="197"/>
      <c r="H862" s="197"/>
      <c r="I862" s="197"/>
      <c r="J862" s="8"/>
      <c r="K862" s="197"/>
      <c r="L862" s="8"/>
      <c r="M862" s="197"/>
      <c r="N862" s="197"/>
      <c r="O862" s="197"/>
      <c r="P862" s="197"/>
      <c r="Q862" s="197"/>
      <c r="R862" s="197"/>
      <c r="S862" s="197"/>
      <c r="T862" s="13"/>
      <c r="U862" s="13"/>
      <c r="V862" s="13"/>
      <c r="W862" s="13"/>
      <c r="X862" s="13"/>
      <c r="Y862" s="13"/>
      <c r="Z862" s="13"/>
    </row>
    <row r="863" spans="1:26" ht="12.75" customHeight="1" x14ac:dyDescent="0.2">
      <c r="A863" s="8"/>
      <c r="B863" s="8"/>
      <c r="C863" s="197"/>
      <c r="D863" s="8"/>
      <c r="E863" s="197"/>
      <c r="F863" s="197"/>
      <c r="G863" s="197"/>
      <c r="H863" s="197"/>
      <c r="I863" s="197"/>
      <c r="J863" s="8"/>
      <c r="K863" s="197"/>
      <c r="L863" s="8"/>
      <c r="M863" s="197"/>
      <c r="N863" s="197"/>
      <c r="O863" s="197"/>
      <c r="P863" s="197"/>
      <c r="Q863" s="197"/>
      <c r="R863" s="197"/>
      <c r="S863" s="197"/>
      <c r="T863" s="13"/>
      <c r="U863" s="13"/>
      <c r="V863" s="13"/>
      <c r="W863" s="13"/>
      <c r="X863" s="13"/>
      <c r="Y863" s="13"/>
      <c r="Z863" s="13"/>
    </row>
    <row r="864" spans="1:26" ht="12.75" customHeight="1" x14ac:dyDescent="0.2">
      <c r="A864" s="8"/>
      <c r="B864" s="8"/>
      <c r="C864" s="197"/>
      <c r="D864" s="8"/>
      <c r="E864" s="197"/>
      <c r="F864" s="197"/>
      <c r="G864" s="197"/>
      <c r="H864" s="197"/>
      <c r="I864" s="197"/>
      <c r="J864" s="8"/>
      <c r="K864" s="197"/>
      <c r="L864" s="8"/>
      <c r="M864" s="197"/>
      <c r="N864" s="197"/>
      <c r="O864" s="197"/>
      <c r="P864" s="197"/>
      <c r="Q864" s="197"/>
      <c r="R864" s="197"/>
      <c r="S864" s="197"/>
      <c r="T864" s="13"/>
      <c r="U864" s="13"/>
      <c r="V864" s="13"/>
      <c r="W864" s="13"/>
      <c r="X864" s="13"/>
      <c r="Y864" s="13"/>
      <c r="Z864" s="13"/>
    </row>
    <row r="865" spans="1:26" ht="12.75" customHeight="1" x14ac:dyDescent="0.2">
      <c r="A865" s="8"/>
      <c r="B865" s="8"/>
      <c r="C865" s="197"/>
      <c r="D865" s="8"/>
      <c r="E865" s="197"/>
      <c r="F865" s="197"/>
      <c r="G865" s="197"/>
      <c r="H865" s="197"/>
      <c r="I865" s="197"/>
      <c r="J865" s="8"/>
      <c r="K865" s="197"/>
      <c r="L865" s="8"/>
      <c r="M865" s="197"/>
      <c r="N865" s="197"/>
      <c r="O865" s="197"/>
      <c r="P865" s="197"/>
      <c r="Q865" s="197"/>
      <c r="R865" s="197"/>
      <c r="S865" s="197"/>
      <c r="T865" s="13"/>
      <c r="U865" s="13"/>
      <c r="V865" s="13"/>
      <c r="W865" s="13"/>
      <c r="X865" s="13"/>
      <c r="Y865" s="13"/>
      <c r="Z865" s="13"/>
    </row>
    <row r="866" spans="1:26" ht="12.75" customHeight="1" x14ac:dyDescent="0.2">
      <c r="A866" s="8"/>
      <c r="B866" s="8"/>
      <c r="C866" s="197"/>
      <c r="D866" s="8"/>
      <c r="E866" s="197"/>
      <c r="F866" s="197"/>
      <c r="G866" s="197"/>
      <c r="H866" s="197"/>
      <c r="I866" s="197"/>
      <c r="J866" s="8"/>
      <c r="K866" s="197"/>
      <c r="L866" s="8"/>
      <c r="M866" s="197"/>
      <c r="N866" s="197"/>
      <c r="O866" s="197"/>
      <c r="P866" s="197"/>
      <c r="Q866" s="197"/>
      <c r="R866" s="197"/>
      <c r="S866" s="197"/>
      <c r="T866" s="13"/>
      <c r="U866" s="13"/>
      <c r="V866" s="13"/>
      <c r="W866" s="13"/>
      <c r="X866" s="13"/>
      <c r="Y866" s="13"/>
      <c r="Z866" s="13"/>
    </row>
    <row r="867" spans="1:26" ht="12.75" customHeight="1" x14ac:dyDescent="0.2">
      <c r="A867" s="8"/>
      <c r="B867" s="8"/>
      <c r="C867" s="197"/>
      <c r="D867" s="8"/>
      <c r="E867" s="197"/>
      <c r="F867" s="197"/>
      <c r="G867" s="197"/>
      <c r="H867" s="197"/>
      <c r="I867" s="197"/>
      <c r="J867" s="8"/>
      <c r="K867" s="197"/>
      <c r="L867" s="8"/>
      <c r="M867" s="197"/>
      <c r="N867" s="197"/>
      <c r="O867" s="197"/>
      <c r="P867" s="197"/>
      <c r="Q867" s="197"/>
      <c r="R867" s="197"/>
      <c r="S867" s="197"/>
      <c r="T867" s="13"/>
      <c r="U867" s="13"/>
      <c r="V867" s="13"/>
      <c r="W867" s="13"/>
      <c r="X867" s="13"/>
      <c r="Y867" s="13"/>
      <c r="Z867" s="13"/>
    </row>
    <row r="868" spans="1:26" ht="12.75" customHeight="1" x14ac:dyDescent="0.2">
      <c r="A868" s="8"/>
      <c r="B868" s="8"/>
      <c r="C868" s="197"/>
      <c r="D868" s="8"/>
      <c r="E868" s="197"/>
      <c r="F868" s="197"/>
      <c r="G868" s="197"/>
      <c r="H868" s="197"/>
      <c r="I868" s="197"/>
      <c r="J868" s="8"/>
      <c r="K868" s="197"/>
      <c r="L868" s="8"/>
      <c r="M868" s="197"/>
      <c r="N868" s="197"/>
      <c r="O868" s="197"/>
      <c r="P868" s="197"/>
      <c r="Q868" s="197"/>
      <c r="R868" s="197"/>
      <c r="S868" s="197"/>
      <c r="T868" s="13"/>
      <c r="U868" s="13"/>
      <c r="V868" s="13"/>
      <c r="W868" s="13"/>
      <c r="X868" s="13"/>
      <c r="Y868" s="13"/>
      <c r="Z868" s="13"/>
    </row>
    <row r="869" spans="1:26" ht="12.75" customHeight="1" x14ac:dyDescent="0.2">
      <c r="A869" s="8"/>
      <c r="B869" s="8"/>
      <c r="C869" s="197"/>
      <c r="D869" s="8"/>
      <c r="E869" s="197"/>
      <c r="F869" s="197"/>
      <c r="G869" s="197"/>
      <c r="H869" s="197"/>
      <c r="I869" s="197"/>
      <c r="J869" s="8"/>
      <c r="K869" s="197"/>
      <c r="L869" s="8"/>
      <c r="M869" s="197"/>
      <c r="N869" s="197"/>
      <c r="O869" s="197"/>
      <c r="P869" s="197"/>
      <c r="Q869" s="197"/>
      <c r="R869" s="197"/>
      <c r="S869" s="197"/>
      <c r="T869" s="13"/>
      <c r="U869" s="13"/>
      <c r="V869" s="13"/>
      <c r="W869" s="13"/>
      <c r="X869" s="13"/>
      <c r="Y869" s="13"/>
      <c r="Z869" s="13"/>
    </row>
    <row r="870" spans="1:26" ht="12.75" customHeight="1" x14ac:dyDescent="0.2">
      <c r="A870" s="8"/>
      <c r="B870" s="8"/>
      <c r="C870" s="197"/>
      <c r="D870" s="8"/>
      <c r="E870" s="197"/>
      <c r="F870" s="197"/>
      <c r="G870" s="197"/>
      <c r="H870" s="197"/>
      <c r="I870" s="197"/>
      <c r="J870" s="8"/>
      <c r="K870" s="197"/>
      <c r="L870" s="8"/>
      <c r="M870" s="197"/>
      <c r="N870" s="197"/>
      <c r="O870" s="197"/>
      <c r="P870" s="197"/>
      <c r="Q870" s="197"/>
      <c r="R870" s="197"/>
      <c r="S870" s="197"/>
      <c r="T870" s="13"/>
      <c r="U870" s="13"/>
      <c r="V870" s="13"/>
      <c r="W870" s="13"/>
      <c r="X870" s="13"/>
      <c r="Y870" s="13"/>
      <c r="Z870" s="13"/>
    </row>
    <row r="871" spans="1:26" ht="12.75" customHeight="1" x14ac:dyDescent="0.2">
      <c r="A871" s="8"/>
      <c r="B871" s="8"/>
      <c r="C871" s="197"/>
      <c r="D871" s="8"/>
      <c r="E871" s="197"/>
      <c r="F871" s="197"/>
      <c r="G871" s="197"/>
      <c r="H871" s="197"/>
      <c r="I871" s="197"/>
      <c r="J871" s="8"/>
      <c r="K871" s="197"/>
      <c r="L871" s="8"/>
      <c r="M871" s="197"/>
      <c r="N871" s="197"/>
      <c r="O871" s="197"/>
      <c r="P871" s="197"/>
      <c r="Q871" s="197"/>
      <c r="R871" s="197"/>
      <c r="S871" s="197"/>
      <c r="T871" s="13"/>
      <c r="U871" s="13"/>
      <c r="V871" s="13"/>
      <c r="W871" s="13"/>
      <c r="X871" s="13"/>
      <c r="Y871" s="13"/>
      <c r="Z871" s="13"/>
    </row>
    <row r="872" spans="1:26" ht="12.75" customHeight="1" x14ac:dyDescent="0.2">
      <c r="A872" s="8"/>
      <c r="B872" s="8"/>
      <c r="C872" s="197"/>
      <c r="D872" s="8"/>
      <c r="E872" s="197"/>
      <c r="F872" s="197"/>
      <c r="G872" s="197"/>
      <c r="H872" s="197"/>
      <c r="I872" s="197"/>
      <c r="J872" s="8"/>
      <c r="K872" s="197"/>
      <c r="L872" s="8"/>
      <c r="M872" s="197"/>
      <c r="N872" s="197"/>
      <c r="O872" s="197"/>
      <c r="P872" s="197"/>
      <c r="Q872" s="197"/>
      <c r="R872" s="197"/>
      <c r="S872" s="197"/>
      <c r="T872" s="13"/>
      <c r="U872" s="13"/>
      <c r="V872" s="13"/>
      <c r="W872" s="13"/>
      <c r="X872" s="13"/>
      <c r="Y872" s="13"/>
      <c r="Z872" s="13"/>
    </row>
    <row r="873" spans="1:26" ht="12.75" customHeight="1" x14ac:dyDescent="0.2">
      <c r="A873" s="8"/>
      <c r="B873" s="8"/>
      <c r="C873" s="197"/>
      <c r="D873" s="8"/>
      <c r="E873" s="197"/>
      <c r="F873" s="197"/>
      <c r="G873" s="197"/>
      <c r="H873" s="197"/>
      <c r="I873" s="197"/>
      <c r="J873" s="8"/>
      <c r="K873" s="197"/>
      <c r="L873" s="8"/>
      <c r="M873" s="197"/>
      <c r="N873" s="197"/>
      <c r="O873" s="197"/>
      <c r="P873" s="197"/>
      <c r="Q873" s="197"/>
      <c r="R873" s="197"/>
      <c r="S873" s="197"/>
      <c r="T873" s="13"/>
      <c r="U873" s="13"/>
      <c r="V873" s="13"/>
      <c r="W873" s="13"/>
      <c r="X873" s="13"/>
      <c r="Y873" s="13"/>
      <c r="Z873" s="13"/>
    </row>
    <row r="874" spans="1:26" ht="12.75" customHeight="1" x14ac:dyDescent="0.2">
      <c r="A874" s="8"/>
      <c r="B874" s="8"/>
      <c r="C874" s="197"/>
      <c r="D874" s="8"/>
      <c r="E874" s="197"/>
      <c r="F874" s="197"/>
      <c r="G874" s="197"/>
      <c r="H874" s="197"/>
      <c r="I874" s="197"/>
      <c r="J874" s="8"/>
      <c r="K874" s="197"/>
      <c r="L874" s="8"/>
      <c r="M874" s="197"/>
      <c r="N874" s="197"/>
      <c r="O874" s="197"/>
      <c r="P874" s="197"/>
      <c r="Q874" s="197"/>
      <c r="R874" s="197"/>
      <c r="S874" s="197"/>
      <c r="T874" s="13"/>
      <c r="U874" s="13"/>
      <c r="V874" s="13"/>
      <c r="W874" s="13"/>
      <c r="X874" s="13"/>
      <c r="Y874" s="13"/>
      <c r="Z874" s="13"/>
    </row>
    <row r="875" spans="1:26" ht="12.75" customHeight="1" x14ac:dyDescent="0.2">
      <c r="A875" s="8"/>
      <c r="B875" s="8"/>
      <c r="C875" s="197"/>
      <c r="D875" s="8"/>
      <c r="E875" s="197"/>
      <c r="F875" s="197"/>
      <c r="G875" s="197"/>
      <c r="H875" s="197"/>
      <c r="I875" s="197"/>
      <c r="J875" s="8"/>
      <c r="K875" s="197"/>
      <c r="L875" s="8"/>
      <c r="M875" s="197"/>
      <c r="N875" s="197"/>
      <c r="O875" s="197"/>
      <c r="P875" s="197"/>
      <c r="Q875" s="197"/>
      <c r="R875" s="197"/>
      <c r="S875" s="197"/>
      <c r="T875" s="13"/>
      <c r="U875" s="13"/>
      <c r="V875" s="13"/>
      <c r="W875" s="13"/>
      <c r="X875" s="13"/>
      <c r="Y875" s="13"/>
      <c r="Z875" s="13"/>
    </row>
    <row r="876" spans="1:26" ht="12.75" customHeight="1" x14ac:dyDescent="0.2">
      <c r="A876" s="8"/>
      <c r="B876" s="8"/>
      <c r="C876" s="197"/>
      <c r="D876" s="8"/>
      <c r="E876" s="197"/>
      <c r="F876" s="197"/>
      <c r="G876" s="197"/>
      <c r="H876" s="197"/>
      <c r="I876" s="197"/>
      <c r="J876" s="8"/>
      <c r="K876" s="197"/>
      <c r="L876" s="8"/>
      <c r="M876" s="197"/>
      <c r="N876" s="197"/>
      <c r="O876" s="197"/>
      <c r="P876" s="197"/>
      <c r="Q876" s="197"/>
      <c r="R876" s="197"/>
      <c r="S876" s="197"/>
      <c r="T876" s="13"/>
      <c r="U876" s="13"/>
      <c r="V876" s="13"/>
      <c r="W876" s="13"/>
      <c r="X876" s="13"/>
      <c r="Y876" s="13"/>
      <c r="Z876" s="13"/>
    </row>
    <row r="877" spans="1:26" ht="12.75" customHeight="1" x14ac:dyDescent="0.2">
      <c r="A877" s="8"/>
      <c r="B877" s="8"/>
      <c r="C877" s="197"/>
      <c r="D877" s="8"/>
      <c r="E877" s="197"/>
      <c r="F877" s="197"/>
      <c r="G877" s="197"/>
      <c r="H877" s="197"/>
      <c r="I877" s="197"/>
      <c r="J877" s="8"/>
      <c r="K877" s="197"/>
      <c r="L877" s="8"/>
      <c r="M877" s="197"/>
      <c r="N877" s="197"/>
      <c r="O877" s="197"/>
      <c r="P877" s="197"/>
      <c r="Q877" s="197"/>
      <c r="R877" s="197"/>
      <c r="S877" s="197"/>
      <c r="T877" s="13"/>
      <c r="U877" s="13"/>
      <c r="V877" s="13"/>
      <c r="W877" s="13"/>
      <c r="X877" s="13"/>
      <c r="Y877" s="13"/>
      <c r="Z877" s="13"/>
    </row>
    <row r="878" spans="1:26" ht="12.75" customHeight="1" x14ac:dyDescent="0.2">
      <c r="A878" s="8"/>
      <c r="B878" s="8"/>
      <c r="C878" s="197"/>
      <c r="D878" s="8"/>
      <c r="E878" s="197"/>
      <c r="F878" s="197"/>
      <c r="G878" s="197"/>
      <c r="H878" s="197"/>
      <c r="I878" s="197"/>
      <c r="J878" s="8"/>
      <c r="K878" s="197"/>
      <c r="L878" s="8"/>
      <c r="M878" s="197"/>
      <c r="N878" s="197"/>
      <c r="O878" s="197"/>
      <c r="P878" s="197"/>
      <c r="Q878" s="197"/>
      <c r="R878" s="197"/>
      <c r="S878" s="197"/>
      <c r="T878" s="13"/>
      <c r="U878" s="13"/>
      <c r="V878" s="13"/>
      <c r="W878" s="13"/>
      <c r="X878" s="13"/>
      <c r="Y878" s="13"/>
      <c r="Z878" s="13"/>
    </row>
    <row r="879" spans="1:26" ht="12.75" customHeight="1" x14ac:dyDescent="0.2">
      <c r="A879" s="8"/>
      <c r="B879" s="8"/>
      <c r="C879" s="197"/>
      <c r="D879" s="8"/>
      <c r="E879" s="197"/>
      <c r="F879" s="197"/>
      <c r="G879" s="197"/>
      <c r="H879" s="197"/>
      <c r="I879" s="197"/>
      <c r="J879" s="8"/>
      <c r="K879" s="197"/>
      <c r="L879" s="8"/>
      <c r="M879" s="197"/>
      <c r="N879" s="197"/>
      <c r="O879" s="197"/>
      <c r="P879" s="197"/>
      <c r="Q879" s="197"/>
      <c r="R879" s="197"/>
      <c r="S879" s="197"/>
      <c r="T879" s="13"/>
      <c r="U879" s="13"/>
      <c r="V879" s="13"/>
      <c r="W879" s="13"/>
      <c r="X879" s="13"/>
      <c r="Y879" s="13"/>
      <c r="Z879" s="13"/>
    </row>
    <row r="880" spans="1:26" ht="12.75" customHeight="1" x14ac:dyDescent="0.2">
      <c r="A880" s="8"/>
      <c r="B880" s="8"/>
      <c r="C880" s="197"/>
      <c r="D880" s="8"/>
      <c r="E880" s="197"/>
      <c r="F880" s="197"/>
      <c r="G880" s="197"/>
      <c r="H880" s="197"/>
      <c r="I880" s="197"/>
      <c r="J880" s="8"/>
      <c r="K880" s="197"/>
      <c r="L880" s="8"/>
      <c r="M880" s="197"/>
      <c r="N880" s="197"/>
      <c r="O880" s="197"/>
      <c r="P880" s="197"/>
      <c r="Q880" s="197"/>
      <c r="R880" s="197"/>
      <c r="S880" s="197"/>
      <c r="T880" s="13"/>
      <c r="U880" s="13"/>
      <c r="V880" s="13"/>
      <c r="W880" s="13"/>
      <c r="X880" s="13"/>
      <c r="Y880" s="13"/>
      <c r="Z880" s="13"/>
    </row>
    <row r="881" spans="1:26" ht="12.75" customHeight="1" x14ac:dyDescent="0.2">
      <c r="A881" s="8"/>
      <c r="B881" s="8"/>
      <c r="C881" s="197"/>
      <c r="D881" s="8"/>
      <c r="E881" s="197"/>
      <c r="F881" s="197"/>
      <c r="G881" s="197"/>
      <c r="H881" s="197"/>
      <c r="I881" s="197"/>
      <c r="J881" s="8"/>
      <c r="K881" s="197"/>
      <c r="L881" s="8"/>
      <c r="M881" s="197"/>
      <c r="N881" s="197"/>
      <c r="O881" s="197"/>
      <c r="P881" s="197"/>
      <c r="Q881" s="197"/>
      <c r="R881" s="197"/>
      <c r="S881" s="197"/>
      <c r="T881" s="13"/>
      <c r="U881" s="13"/>
      <c r="V881" s="13"/>
      <c r="W881" s="13"/>
      <c r="X881" s="13"/>
      <c r="Y881" s="13"/>
      <c r="Z881" s="13"/>
    </row>
    <row r="882" spans="1:26" ht="12.75" customHeight="1" x14ac:dyDescent="0.2">
      <c r="A882" s="8"/>
      <c r="B882" s="8"/>
      <c r="C882" s="197"/>
      <c r="D882" s="8"/>
      <c r="E882" s="197"/>
      <c r="F882" s="197"/>
      <c r="G882" s="197"/>
      <c r="H882" s="197"/>
      <c r="I882" s="197"/>
      <c r="J882" s="8"/>
      <c r="K882" s="197"/>
      <c r="L882" s="8"/>
      <c r="M882" s="197"/>
      <c r="N882" s="197"/>
      <c r="O882" s="197"/>
      <c r="P882" s="197"/>
      <c r="Q882" s="197"/>
      <c r="R882" s="197"/>
      <c r="S882" s="197"/>
      <c r="T882" s="13"/>
      <c r="U882" s="13"/>
      <c r="V882" s="13"/>
      <c r="W882" s="13"/>
      <c r="X882" s="13"/>
      <c r="Y882" s="13"/>
      <c r="Z882" s="13"/>
    </row>
    <row r="883" spans="1:26" ht="12.75" customHeight="1" x14ac:dyDescent="0.2">
      <c r="A883" s="8"/>
      <c r="B883" s="8"/>
      <c r="C883" s="197"/>
      <c r="D883" s="8"/>
      <c r="E883" s="197"/>
      <c r="F883" s="197"/>
      <c r="G883" s="197"/>
      <c r="H883" s="197"/>
      <c r="I883" s="197"/>
      <c r="J883" s="8"/>
      <c r="K883" s="197"/>
      <c r="L883" s="8"/>
      <c r="M883" s="197"/>
      <c r="N883" s="197"/>
      <c r="O883" s="197"/>
      <c r="P883" s="197"/>
      <c r="Q883" s="197"/>
      <c r="R883" s="197"/>
      <c r="S883" s="197"/>
      <c r="T883" s="13"/>
      <c r="U883" s="13"/>
      <c r="V883" s="13"/>
      <c r="W883" s="13"/>
      <c r="X883" s="13"/>
      <c r="Y883" s="13"/>
      <c r="Z883" s="13"/>
    </row>
    <row r="884" spans="1:26" ht="12.75" customHeight="1" x14ac:dyDescent="0.2">
      <c r="A884" s="8"/>
      <c r="B884" s="8"/>
      <c r="C884" s="197"/>
      <c r="D884" s="8"/>
      <c r="E884" s="197"/>
      <c r="F884" s="197"/>
      <c r="G884" s="197"/>
      <c r="H884" s="197"/>
      <c r="I884" s="197"/>
      <c r="J884" s="8"/>
      <c r="K884" s="197"/>
      <c r="L884" s="8"/>
      <c r="M884" s="197"/>
      <c r="N884" s="197"/>
      <c r="O884" s="197"/>
      <c r="P884" s="197"/>
      <c r="Q884" s="197"/>
      <c r="R884" s="197"/>
      <c r="S884" s="197"/>
      <c r="T884" s="13"/>
      <c r="U884" s="13"/>
      <c r="V884" s="13"/>
      <c r="W884" s="13"/>
      <c r="X884" s="13"/>
      <c r="Y884" s="13"/>
      <c r="Z884" s="13"/>
    </row>
    <row r="885" spans="1:26" ht="12.75" customHeight="1" x14ac:dyDescent="0.2">
      <c r="A885" s="8"/>
      <c r="B885" s="8"/>
      <c r="C885" s="197"/>
      <c r="D885" s="8"/>
      <c r="E885" s="197"/>
      <c r="F885" s="197"/>
      <c r="G885" s="197"/>
      <c r="H885" s="197"/>
      <c r="I885" s="197"/>
      <c r="J885" s="8"/>
      <c r="K885" s="197"/>
      <c r="L885" s="8"/>
      <c r="M885" s="197"/>
      <c r="N885" s="197"/>
      <c r="O885" s="197"/>
      <c r="P885" s="197"/>
      <c r="Q885" s="197"/>
      <c r="R885" s="197"/>
      <c r="S885" s="197"/>
      <c r="T885" s="13"/>
      <c r="U885" s="13"/>
      <c r="V885" s="13"/>
      <c r="W885" s="13"/>
      <c r="X885" s="13"/>
      <c r="Y885" s="13"/>
      <c r="Z885" s="13"/>
    </row>
    <row r="886" spans="1:26" ht="12.75" customHeight="1" x14ac:dyDescent="0.2">
      <c r="A886" s="8"/>
      <c r="B886" s="8"/>
      <c r="C886" s="197"/>
      <c r="D886" s="8"/>
      <c r="E886" s="197"/>
      <c r="F886" s="197"/>
      <c r="G886" s="197"/>
      <c r="H886" s="197"/>
      <c r="I886" s="197"/>
      <c r="J886" s="8"/>
      <c r="K886" s="197"/>
      <c r="L886" s="8"/>
      <c r="M886" s="197"/>
      <c r="N886" s="197"/>
      <c r="O886" s="197"/>
      <c r="P886" s="197"/>
      <c r="Q886" s="197"/>
      <c r="R886" s="197"/>
      <c r="S886" s="197"/>
      <c r="T886" s="13"/>
      <c r="U886" s="13"/>
      <c r="V886" s="13"/>
      <c r="W886" s="13"/>
      <c r="X886" s="13"/>
      <c r="Y886" s="13"/>
      <c r="Z886" s="13"/>
    </row>
    <row r="887" spans="1:26" ht="12.75" customHeight="1" x14ac:dyDescent="0.2">
      <c r="A887" s="8"/>
      <c r="B887" s="8"/>
      <c r="C887" s="197"/>
      <c r="D887" s="8"/>
      <c r="E887" s="197"/>
      <c r="F887" s="197"/>
      <c r="G887" s="197"/>
      <c r="H887" s="197"/>
      <c r="I887" s="197"/>
      <c r="J887" s="8"/>
      <c r="K887" s="197"/>
      <c r="L887" s="8"/>
      <c r="M887" s="197"/>
      <c r="N887" s="197"/>
      <c r="O887" s="197"/>
      <c r="P887" s="197"/>
      <c r="Q887" s="197"/>
      <c r="R887" s="197"/>
      <c r="S887" s="197"/>
      <c r="T887" s="13"/>
      <c r="U887" s="13"/>
      <c r="V887" s="13"/>
      <c r="W887" s="13"/>
      <c r="X887" s="13"/>
      <c r="Y887" s="13"/>
      <c r="Z887" s="13"/>
    </row>
    <row r="888" spans="1:26" ht="12.75" customHeight="1" x14ac:dyDescent="0.2">
      <c r="A888" s="8"/>
      <c r="B888" s="8"/>
      <c r="C888" s="197"/>
      <c r="D888" s="8"/>
      <c r="E888" s="197"/>
      <c r="F888" s="197"/>
      <c r="G888" s="197"/>
      <c r="H888" s="197"/>
      <c r="I888" s="197"/>
      <c r="J888" s="8"/>
      <c r="K888" s="197"/>
      <c r="L888" s="8"/>
      <c r="M888" s="197"/>
      <c r="N888" s="197"/>
      <c r="O888" s="197"/>
      <c r="P888" s="197"/>
      <c r="Q888" s="197"/>
      <c r="R888" s="197"/>
      <c r="S888" s="197"/>
      <c r="T888" s="13"/>
      <c r="U888" s="13"/>
      <c r="V888" s="13"/>
      <c r="W888" s="13"/>
      <c r="X888" s="13"/>
      <c r="Y888" s="13"/>
      <c r="Z888" s="13"/>
    </row>
    <row r="889" spans="1:26" ht="12.75" customHeight="1" x14ac:dyDescent="0.2">
      <c r="A889" s="8"/>
      <c r="B889" s="8"/>
      <c r="C889" s="197"/>
      <c r="D889" s="8"/>
      <c r="E889" s="197"/>
      <c r="F889" s="197"/>
      <c r="G889" s="197"/>
      <c r="H889" s="197"/>
      <c r="I889" s="197"/>
      <c r="J889" s="8"/>
      <c r="K889" s="197"/>
      <c r="L889" s="8"/>
      <c r="M889" s="197"/>
      <c r="N889" s="197"/>
      <c r="O889" s="197"/>
      <c r="P889" s="197"/>
      <c r="Q889" s="197"/>
      <c r="R889" s="197"/>
      <c r="S889" s="197"/>
      <c r="T889" s="13"/>
      <c r="U889" s="13"/>
      <c r="V889" s="13"/>
      <c r="W889" s="13"/>
      <c r="X889" s="13"/>
      <c r="Y889" s="13"/>
      <c r="Z889" s="13"/>
    </row>
    <row r="890" spans="1:26" ht="12.75" customHeight="1" x14ac:dyDescent="0.2">
      <c r="A890" s="8"/>
      <c r="B890" s="8"/>
      <c r="C890" s="197"/>
      <c r="D890" s="8"/>
      <c r="E890" s="197"/>
      <c r="F890" s="197"/>
      <c r="G890" s="197"/>
      <c r="H890" s="197"/>
      <c r="I890" s="197"/>
      <c r="J890" s="8"/>
      <c r="K890" s="197"/>
      <c r="L890" s="8"/>
      <c r="M890" s="197"/>
      <c r="N890" s="197"/>
      <c r="O890" s="197"/>
      <c r="P890" s="197"/>
      <c r="Q890" s="197"/>
      <c r="R890" s="197"/>
      <c r="S890" s="197"/>
      <c r="T890" s="13"/>
      <c r="U890" s="13"/>
      <c r="V890" s="13"/>
      <c r="W890" s="13"/>
      <c r="X890" s="13"/>
      <c r="Y890" s="13"/>
      <c r="Z890" s="13"/>
    </row>
    <row r="891" spans="1:26" ht="12.75" customHeight="1" x14ac:dyDescent="0.2">
      <c r="A891" s="8"/>
      <c r="B891" s="8"/>
      <c r="C891" s="197"/>
      <c r="D891" s="8"/>
      <c r="E891" s="197"/>
      <c r="F891" s="197"/>
      <c r="G891" s="197"/>
      <c r="H891" s="197"/>
      <c r="I891" s="197"/>
      <c r="J891" s="8"/>
      <c r="K891" s="197"/>
      <c r="L891" s="8"/>
      <c r="M891" s="197"/>
      <c r="N891" s="197"/>
      <c r="O891" s="197"/>
      <c r="P891" s="197"/>
      <c r="Q891" s="197"/>
      <c r="R891" s="197"/>
      <c r="S891" s="197"/>
      <c r="T891" s="13"/>
      <c r="U891" s="13"/>
      <c r="V891" s="13"/>
      <c r="W891" s="13"/>
      <c r="X891" s="13"/>
      <c r="Y891" s="13"/>
      <c r="Z891" s="13"/>
    </row>
    <row r="892" spans="1:26" ht="12.75" customHeight="1" x14ac:dyDescent="0.2">
      <c r="A892" s="8"/>
      <c r="B892" s="8"/>
      <c r="C892" s="197"/>
      <c r="D892" s="8"/>
      <c r="E892" s="197"/>
      <c r="F892" s="197"/>
      <c r="G892" s="197"/>
      <c r="H892" s="197"/>
      <c r="I892" s="197"/>
      <c r="J892" s="8"/>
      <c r="K892" s="197"/>
      <c r="L892" s="8"/>
      <c r="M892" s="197"/>
      <c r="N892" s="197"/>
      <c r="O892" s="197"/>
      <c r="P892" s="197"/>
      <c r="Q892" s="197"/>
      <c r="R892" s="197"/>
      <c r="S892" s="197"/>
      <c r="T892" s="13"/>
      <c r="U892" s="13"/>
      <c r="V892" s="13"/>
      <c r="W892" s="13"/>
      <c r="X892" s="13"/>
      <c r="Y892" s="13"/>
      <c r="Z892" s="13"/>
    </row>
    <row r="893" spans="1:26" ht="12.75" customHeight="1" x14ac:dyDescent="0.2">
      <c r="A893" s="8"/>
      <c r="B893" s="8"/>
      <c r="C893" s="197"/>
      <c r="D893" s="8"/>
      <c r="E893" s="197"/>
      <c r="F893" s="197"/>
      <c r="G893" s="197"/>
      <c r="H893" s="197"/>
      <c r="I893" s="197"/>
      <c r="J893" s="8"/>
      <c r="K893" s="197"/>
      <c r="L893" s="8"/>
      <c r="M893" s="197"/>
      <c r="N893" s="197"/>
      <c r="O893" s="197"/>
      <c r="P893" s="197"/>
      <c r="Q893" s="197"/>
      <c r="R893" s="197"/>
      <c r="S893" s="197"/>
      <c r="T893" s="13"/>
      <c r="U893" s="13"/>
      <c r="V893" s="13"/>
      <c r="W893" s="13"/>
      <c r="X893" s="13"/>
      <c r="Y893" s="13"/>
      <c r="Z893" s="13"/>
    </row>
    <row r="894" spans="1:26" ht="12.75" customHeight="1" x14ac:dyDescent="0.2">
      <c r="A894" s="8"/>
      <c r="B894" s="8"/>
      <c r="C894" s="197"/>
      <c r="D894" s="8"/>
      <c r="E894" s="197"/>
      <c r="F894" s="197"/>
      <c r="G894" s="197"/>
      <c r="H894" s="197"/>
      <c r="I894" s="197"/>
      <c r="J894" s="8"/>
      <c r="K894" s="197"/>
      <c r="L894" s="8"/>
      <c r="M894" s="197"/>
      <c r="N894" s="197"/>
      <c r="O894" s="197"/>
      <c r="P894" s="197"/>
      <c r="Q894" s="197"/>
      <c r="R894" s="197"/>
      <c r="S894" s="197"/>
      <c r="T894" s="13"/>
      <c r="U894" s="13"/>
      <c r="V894" s="13"/>
      <c r="W894" s="13"/>
      <c r="X894" s="13"/>
      <c r="Y894" s="13"/>
      <c r="Z894" s="13"/>
    </row>
    <row r="895" spans="1:26" ht="12.75" customHeight="1" x14ac:dyDescent="0.2">
      <c r="A895" s="8"/>
      <c r="B895" s="8"/>
      <c r="C895" s="197"/>
      <c r="D895" s="8"/>
      <c r="E895" s="197"/>
      <c r="F895" s="197"/>
      <c r="G895" s="197"/>
      <c r="H895" s="197"/>
      <c r="I895" s="197"/>
      <c r="J895" s="8"/>
      <c r="K895" s="197"/>
      <c r="L895" s="8"/>
      <c r="M895" s="197"/>
      <c r="N895" s="197"/>
      <c r="O895" s="197"/>
      <c r="P895" s="197"/>
      <c r="Q895" s="197"/>
      <c r="R895" s="197"/>
      <c r="S895" s="197"/>
      <c r="T895" s="13"/>
      <c r="U895" s="13"/>
      <c r="V895" s="13"/>
      <c r="W895" s="13"/>
      <c r="X895" s="13"/>
      <c r="Y895" s="13"/>
      <c r="Z895" s="13"/>
    </row>
    <row r="896" spans="1:26" ht="12.75" customHeight="1" x14ac:dyDescent="0.2">
      <c r="A896" s="8"/>
      <c r="B896" s="8"/>
      <c r="C896" s="197"/>
      <c r="D896" s="8"/>
      <c r="E896" s="197"/>
      <c r="F896" s="197"/>
      <c r="G896" s="197"/>
      <c r="H896" s="197"/>
      <c r="I896" s="197"/>
      <c r="J896" s="8"/>
      <c r="K896" s="197"/>
      <c r="L896" s="8"/>
      <c r="M896" s="197"/>
      <c r="N896" s="197"/>
      <c r="O896" s="197"/>
      <c r="P896" s="197"/>
      <c r="Q896" s="197"/>
      <c r="R896" s="197"/>
      <c r="S896" s="197"/>
      <c r="T896" s="13"/>
      <c r="U896" s="13"/>
      <c r="V896" s="13"/>
      <c r="W896" s="13"/>
      <c r="X896" s="13"/>
      <c r="Y896" s="13"/>
      <c r="Z896" s="13"/>
    </row>
    <row r="897" spans="1:26" ht="12.75" customHeight="1" x14ac:dyDescent="0.2">
      <c r="A897" s="8"/>
      <c r="B897" s="8"/>
      <c r="C897" s="197"/>
      <c r="D897" s="8"/>
      <c r="E897" s="197"/>
      <c r="F897" s="197"/>
      <c r="G897" s="197"/>
      <c r="H897" s="197"/>
      <c r="I897" s="197"/>
      <c r="J897" s="8"/>
      <c r="K897" s="197"/>
      <c r="L897" s="8"/>
      <c r="M897" s="197"/>
      <c r="N897" s="197"/>
      <c r="O897" s="197"/>
      <c r="P897" s="197"/>
      <c r="Q897" s="197"/>
      <c r="R897" s="197"/>
      <c r="S897" s="197"/>
      <c r="T897" s="13"/>
      <c r="U897" s="13"/>
      <c r="V897" s="13"/>
      <c r="W897" s="13"/>
      <c r="X897" s="13"/>
      <c r="Y897" s="13"/>
      <c r="Z897" s="13"/>
    </row>
    <row r="898" spans="1:26" ht="12.75" customHeight="1" x14ac:dyDescent="0.2">
      <c r="A898" s="8"/>
      <c r="B898" s="8"/>
      <c r="C898" s="197"/>
      <c r="D898" s="8"/>
      <c r="E898" s="197"/>
      <c r="F898" s="197"/>
      <c r="G898" s="197"/>
      <c r="H898" s="197"/>
      <c r="I898" s="197"/>
      <c r="J898" s="8"/>
      <c r="K898" s="197"/>
      <c r="L898" s="8"/>
      <c r="M898" s="197"/>
      <c r="N898" s="197"/>
      <c r="O898" s="197"/>
      <c r="P898" s="197"/>
      <c r="Q898" s="197"/>
      <c r="R898" s="197"/>
      <c r="S898" s="197"/>
      <c r="T898" s="13"/>
      <c r="U898" s="13"/>
      <c r="V898" s="13"/>
      <c r="W898" s="13"/>
      <c r="X898" s="13"/>
      <c r="Y898" s="13"/>
      <c r="Z898" s="13"/>
    </row>
    <row r="899" spans="1:26" ht="12.75" customHeight="1" x14ac:dyDescent="0.2">
      <c r="A899" s="8"/>
      <c r="B899" s="8"/>
      <c r="C899" s="197"/>
      <c r="D899" s="8"/>
      <c r="E899" s="197"/>
      <c r="F899" s="197"/>
      <c r="G899" s="197"/>
      <c r="H899" s="197"/>
      <c r="I899" s="197"/>
      <c r="J899" s="8"/>
      <c r="K899" s="197"/>
      <c r="L899" s="8"/>
      <c r="M899" s="197"/>
      <c r="N899" s="197"/>
      <c r="O899" s="197"/>
      <c r="P899" s="197"/>
      <c r="Q899" s="197"/>
      <c r="R899" s="197"/>
      <c r="S899" s="197"/>
      <c r="T899" s="13"/>
      <c r="U899" s="13"/>
      <c r="V899" s="13"/>
      <c r="W899" s="13"/>
      <c r="X899" s="13"/>
      <c r="Y899" s="13"/>
      <c r="Z899" s="13"/>
    </row>
    <row r="900" spans="1:26" ht="12.75" customHeight="1" x14ac:dyDescent="0.2">
      <c r="A900" s="8"/>
      <c r="B900" s="8"/>
      <c r="C900" s="197"/>
      <c r="D900" s="8"/>
      <c r="E900" s="197"/>
      <c r="F900" s="197"/>
      <c r="G900" s="197"/>
      <c r="H900" s="197"/>
      <c r="I900" s="197"/>
      <c r="J900" s="8"/>
      <c r="K900" s="197"/>
      <c r="L900" s="8"/>
      <c r="M900" s="197"/>
      <c r="N900" s="197"/>
      <c r="O900" s="197"/>
      <c r="P900" s="197"/>
      <c r="Q900" s="197"/>
      <c r="R900" s="197"/>
      <c r="S900" s="197"/>
      <c r="T900" s="13"/>
      <c r="U900" s="13"/>
      <c r="V900" s="13"/>
      <c r="W900" s="13"/>
      <c r="X900" s="13"/>
      <c r="Y900" s="13"/>
      <c r="Z900" s="13"/>
    </row>
    <row r="901" spans="1:26" ht="12.75" customHeight="1" x14ac:dyDescent="0.2">
      <c r="A901" s="8"/>
      <c r="B901" s="8"/>
      <c r="C901" s="197"/>
      <c r="D901" s="8"/>
      <c r="E901" s="197"/>
      <c r="F901" s="197"/>
      <c r="G901" s="197"/>
      <c r="H901" s="197"/>
      <c r="I901" s="197"/>
      <c r="J901" s="8"/>
      <c r="K901" s="197"/>
      <c r="L901" s="8"/>
      <c r="M901" s="197"/>
      <c r="N901" s="197"/>
      <c r="O901" s="197"/>
      <c r="P901" s="197"/>
      <c r="Q901" s="197"/>
      <c r="R901" s="197"/>
      <c r="S901" s="197"/>
      <c r="T901" s="13"/>
      <c r="U901" s="13"/>
      <c r="V901" s="13"/>
      <c r="W901" s="13"/>
      <c r="X901" s="13"/>
      <c r="Y901" s="13"/>
      <c r="Z901" s="13"/>
    </row>
    <row r="902" spans="1:26" ht="12.75" customHeight="1" x14ac:dyDescent="0.2">
      <c r="A902" s="8"/>
      <c r="B902" s="8"/>
      <c r="C902" s="197"/>
      <c r="D902" s="8"/>
      <c r="E902" s="197"/>
      <c r="F902" s="197"/>
      <c r="G902" s="197"/>
      <c r="H902" s="197"/>
      <c r="I902" s="197"/>
      <c r="J902" s="8"/>
      <c r="K902" s="197"/>
      <c r="L902" s="8"/>
      <c r="M902" s="197"/>
      <c r="N902" s="197"/>
      <c r="O902" s="197"/>
      <c r="P902" s="197"/>
      <c r="Q902" s="197"/>
      <c r="R902" s="197"/>
      <c r="S902" s="197"/>
      <c r="T902" s="13"/>
      <c r="U902" s="13"/>
      <c r="V902" s="13"/>
      <c r="W902" s="13"/>
      <c r="X902" s="13"/>
      <c r="Y902" s="13"/>
      <c r="Z902" s="13"/>
    </row>
    <row r="903" spans="1:26" ht="12.75" customHeight="1" x14ac:dyDescent="0.2">
      <c r="A903" s="8"/>
      <c r="B903" s="8"/>
      <c r="C903" s="197"/>
      <c r="D903" s="8"/>
      <c r="E903" s="197"/>
      <c r="F903" s="197"/>
      <c r="G903" s="197"/>
      <c r="H903" s="197"/>
      <c r="I903" s="197"/>
      <c r="J903" s="8"/>
      <c r="K903" s="197"/>
      <c r="L903" s="8"/>
      <c r="M903" s="197"/>
      <c r="N903" s="197"/>
      <c r="O903" s="197"/>
      <c r="P903" s="197"/>
      <c r="Q903" s="197"/>
      <c r="R903" s="197"/>
      <c r="S903" s="197"/>
      <c r="T903" s="13"/>
      <c r="U903" s="13"/>
      <c r="V903" s="13"/>
      <c r="W903" s="13"/>
      <c r="X903" s="13"/>
      <c r="Y903" s="13"/>
      <c r="Z903" s="13"/>
    </row>
    <row r="904" spans="1:26" ht="12.75" customHeight="1" x14ac:dyDescent="0.2">
      <c r="A904" s="8"/>
      <c r="B904" s="8"/>
      <c r="C904" s="197"/>
      <c r="D904" s="8"/>
      <c r="E904" s="197"/>
      <c r="F904" s="197"/>
      <c r="G904" s="197"/>
      <c r="H904" s="197"/>
      <c r="I904" s="197"/>
      <c r="J904" s="8"/>
      <c r="K904" s="197"/>
      <c r="L904" s="8"/>
      <c r="M904" s="197"/>
      <c r="N904" s="197"/>
      <c r="O904" s="197"/>
      <c r="P904" s="197"/>
      <c r="Q904" s="197"/>
      <c r="R904" s="197"/>
      <c r="S904" s="197"/>
      <c r="T904" s="13"/>
      <c r="U904" s="13"/>
      <c r="V904" s="13"/>
      <c r="W904" s="13"/>
      <c r="X904" s="13"/>
      <c r="Y904" s="13"/>
      <c r="Z904" s="13"/>
    </row>
    <row r="905" spans="1:26" ht="12.75" customHeight="1" x14ac:dyDescent="0.2">
      <c r="A905" s="8"/>
      <c r="B905" s="8"/>
      <c r="C905" s="197"/>
      <c r="D905" s="8"/>
      <c r="E905" s="197"/>
      <c r="F905" s="197"/>
      <c r="G905" s="197"/>
      <c r="H905" s="197"/>
      <c r="I905" s="197"/>
      <c r="J905" s="8"/>
      <c r="K905" s="197"/>
      <c r="L905" s="8"/>
      <c r="M905" s="197"/>
      <c r="N905" s="197"/>
      <c r="O905" s="197"/>
      <c r="P905" s="197"/>
      <c r="Q905" s="197"/>
      <c r="R905" s="197"/>
      <c r="S905" s="197"/>
      <c r="T905" s="13"/>
      <c r="U905" s="13"/>
      <c r="V905" s="13"/>
      <c r="W905" s="13"/>
      <c r="X905" s="13"/>
      <c r="Y905" s="13"/>
      <c r="Z905" s="13"/>
    </row>
    <row r="906" spans="1:26" ht="12.75" customHeight="1" x14ac:dyDescent="0.2">
      <c r="A906" s="8"/>
      <c r="B906" s="8"/>
      <c r="C906" s="197"/>
      <c r="D906" s="8"/>
      <c r="E906" s="197"/>
      <c r="F906" s="197"/>
      <c r="G906" s="197"/>
      <c r="H906" s="197"/>
      <c r="I906" s="197"/>
      <c r="J906" s="8"/>
      <c r="K906" s="197"/>
      <c r="L906" s="8"/>
      <c r="M906" s="197"/>
      <c r="N906" s="197"/>
      <c r="O906" s="197"/>
      <c r="P906" s="197"/>
      <c r="Q906" s="197"/>
      <c r="R906" s="197"/>
      <c r="S906" s="197"/>
      <c r="T906" s="13"/>
      <c r="U906" s="13"/>
      <c r="V906" s="13"/>
      <c r="W906" s="13"/>
      <c r="X906" s="13"/>
      <c r="Y906" s="13"/>
      <c r="Z906" s="13"/>
    </row>
    <row r="907" spans="1:26" ht="12.75" customHeight="1" x14ac:dyDescent="0.2">
      <c r="A907" s="8"/>
      <c r="B907" s="8"/>
      <c r="C907" s="197"/>
      <c r="D907" s="8"/>
      <c r="E907" s="197"/>
      <c r="F907" s="197"/>
      <c r="G907" s="197"/>
      <c r="H907" s="197"/>
      <c r="I907" s="197"/>
      <c r="J907" s="8"/>
      <c r="K907" s="197"/>
      <c r="L907" s="8"/>
      <c r="M907" s="197"/>
      <c r="N907" s="197"/>
      <c r="O907" s="197"/>
      <c r="P907" s="197"/>
      <c r="Q907" s="197"/>
      <c r="R907" s="197"/>
      <c r="S907" s="197"/>
      <c r="T907" s="13"/>
      <c r="U907" s="13"/>
      <c r="V907" s="13"/>
      <c r="W907" s="13"/>
      <c r="X907" s="13"/>
      <c r="Y907" s="13"/>
      <c r="Z907" s="13"/>
    </row>
    <row r="908" spans="1:26" ht="12.75" customHeight="1" x14ac:dyDescent="0.2">
      <c r="A908" s="8"/>
      <c r="B908" s="8"/>
      <c r="C908" s="197"/>
      <c r="D908" s="8"/>
      <c r="E908" s="197"/>
      <c r="F908" s="197"/>
      <c r="G908" s="197"/>
      <c r="H908" s="197"/>
      <c r="I908" s="197"/>
      <c r="J908" s="8"/>
      <c r="K908" s="197"/>
      <c r="L908" s="8"/>
      <c r="M908" s="197"/>
      <c r="N908" s="197"/>
      <c r="O908" s="197"/>
      <c r="P908" s="197"/>
      <c r="Q908" s="197"/>
      <c r="R908" s="197"/>
      <c r="S908" s="197"/>
      <c r="T908" s="13"/>
      <c r="U908" s="13"/>
      <c r="V908" s="13"/>
      <c r="W908" s="13"/>
      <c r="X908" s="13"/>
      <c r="Y908" s="13"/>
      <c r="Z908" s="13"/>
    </row>
    <row r="909" spans="1:26" ht="12.75" customHeight="1" x14ac:dyDescent="0.2">
      <c r="A909" s="8"/>
      <c r="B909" s="8"/>
      <c r="C909" s="197"/>
      <c r="D909" s="8"/>
      <c r="E909" s="197"/>
      <c r="F909" s="197"/>
      <c r="G909" s="197"/>
      <c r="H909" s="197"/>
      <c r="I909" s="197"/>
      <c r="J909" s="8"/>
      <c r="K909" s="197"/>
      <c r="L909" s="8"/>
      <c r="M909" s="197"/>
      <c r="N909" s="197"/>
      <c r="O909" s="197"/>
      <c r="P909" s="197"/>
      <c r="Q909" s="197"/>
      <c r="R909" s="197"/>
      <c r="S909" s="197"/>
      <c r="T909" s="13"/>
      <c r="U909" s="13"/>
      <c r="V909" s="13"/>
      <c r="W909" s="13"/>
      <c r="X909" s="13"/>
      <c r="Y909" s="13"/>
      <c r="Z909" s="13"/>
    </row>
    <row r="910" spans="1:26" ht="12.75" customHeight="1" x14ac:dyDescent="0.2">
      <c r="A910" s="8"/>
      <c r="B910" s="8"/>
      <c r="C910" s="197"/>
      <c r="D910" s="8"/>
      <c r="E910" s="197"/>
      <c r="F910" s="197"/>
      <c r="G910" s="197"/>
      <c r="H910" s="197"/>
      <c r="I910" s="197"/>
      <c r="J910" s="8"/>
      <c r="K910" s="197"/>
      <c r="L910" s="8"/>
      <c r="M910" s="197"/>
      <c r="N910" s="197"/>
      <c r="O910" s="197"/>
      <c r="P910" s="197"/>
      <c r="Q910" s="197"/>
      <c r="R910" s="197"/>
      <c r="S910" s="197"/>
      <c r="T910" s="13"/>
      <c r="U910" s="13"/>
      <c r="V910" s="13"/>
      <c r="W910" s="13"/>
      <c r="X910" s="13"/>
      <c r="Y910" s="13"/>
      <c r="Z910" s="13"/>
    </row>
    <row r="911" spans="1:26" ht="12.75" customHeight="1" x14ac:dyDescent="0.2">
      <c r="A911" s="8"/>
      <c r="B911" s="8"/>
      <c r="C911" s="197"/>
      <c r="D911" s="8"/>
      <c r="E911" s="197"/>
      <c r="F911" s="197"/>
      <c r="G911" s="197"/>
      <c r="H911" s="197"/>
      <c r="I911" s="197"/>
      <c r="J911" s="8"/>
      <c r="K911" s="197"/>
      <c r="L911" s="8"/>
      <c r="M911" s="197"/>
      <c r="N911" s="197"/>
      <c r="O911" s="197"/>
      <c r="P911" s="197"/>
      <c r="Q911" s="197"/>
      <c r="R911" s="197"/>
      <c r="S911" s="197"/>
      <c r="T911" s="13"/>
      <c r="U911" s="13"/>
      <c r="V911" s="13"/>
      <c r="W911" s="13"/>
      <c r="X911" s="13"/>
      <c r="Y911" s="13"/>
      <c r="Z911" s="13"/>
    </row>
    <row r="912" spans="1:26" ht="12.75" customHeight="1" x14ac:dyDescent="0.2">
      <c r="A912" s="8"/>
      <c r="B912" s="8"/>
      <c r="C912" s="197"/>
      <c r="D912" s="8"/>
      <c r="E912" s="197"/>
      <c r="F912" s="197"/>
      <c r="G912" s="197"/>
      <c r="H912" s="197"/>
      <c r="I912" s="197"/>
      <c r="J912" s="8"/>
      <c r="K912" s="197"/>
      <c r="L912" s="8"/>
      <c r="M912" s="197"/>
      <c r="N912" s="197"/>
      <c r="O912" s="197"/>
      <c r="P912" s="197"/>
      <c r="Q912" s="197"/>
      <c r="R912" s="197"/>
      <c r="S912" s="197"/>
      <c r="T912" s="13"/>
      <c r="U912" s="13"/>
      <c r="V912" s="13"/>
      <c r="W912" s="13"/>
      <c r="X912" s="13"/>
      <c r="Y912" s="13"/>
      <c r="Z912" s="13"/>
    </row>
    <row r="913" spans="1:26" ht="12.75" customHeight="1" x14ac:dyDescent="0.2">
      <c r="A913" s="8"/>
      <c r="B913" s="8"/>
      <c r="C913" s="197"/>
      <c r="D913" s="8"/>
      <c r="E913" s="197"/>
      <c r="F913" s="197"/>
      <c r="G913" s="197"/>
      <c r="H913" s="197"/>
      <c r="I913" s="197"/>
      <c r="J913" s="8"/>
      <c r="K913" s="197"/>
      <c r="L913" s="8"/>
      <c r="M913" s="197"/>
      <c r="N913" s="197"/>
      <c r="O913" s="197"/>
      <c r="P913" s="197"/>
      <c r="Q913" s="197"/>
      <c r="R913" s="197"/>
      <c r="S913" s="197"/>
      <c r="T913" s="13"/>
      <c r="U913" s="13"/>
      <c r="V913" s="13"/>
      <c r="W913" s="13"/>
      <c r="X913" s="13"/>
      <c r="Y913" s="13"/>
      <c r="Z913" s="13"/>
    </row>
    <row r="914" spans="1:26" ht="12.75" customHeight="1" x14ac:dyDescent="0.2">
      <c r="A914" s="8"/>
      <c r="B914" s="8"/>
      <c r="C914" s="197"/>
      <c r="D914" s="8"/>
      <c r="E914" s="197"/>
      <c r="F914" s="197"/>
      <c r="G914" s="197"/>
      <c r="H914" s="197"/>
      <c r="I914" s="197"/>
      <c r="J914" s="8"/>
      <c r="K914" s="197"/>
      <c r="L914" s="8"/>
      <c r="M914" s="197"/>
      <c r="N914" s="197"/>
      <c r="O914" s="197"/>
      <c r="P914" s="197"/>
      <c r="Q914" s="197"/>
      <c r="R914" s="197"/>
      <c r="S914" s="197"/>
      <c r="T914" s="13"/>
      <c r="U914" s="13"/>
      <c r="V914" s="13"/>
      <c r="W914" s="13"/>
      <c r="X914" s="13"/>
      <c r="Y914" s="13"/>
      <c r="Z914" s="13"/>
    </row>
    <row r="915" spans="1:26" ht="12.75" customHeight="1" x14ac:dyDescent="0.2">
      <c r="A915" s="8"/>
      <c r="B915" s="8"/>
      <c r="C915" s="197"/>
      <c r="D915" s="8"/>
      <c r="E915" s="197"/>
      <c r="F915" s="197"/>
      <c r="G915" s="197"/>
      <c r="H915" s="197"/>
      <c r="I915" s="197"/>
      <c r="J915" s="8"/>
      <c r="K915" s="197"/>
      <c r="L915" s="8"/>
      <c r="M915" s="197"/>
      <c r="N915" s="197"/>
      <c r="O915" s="197"/>
      <c r="P915" s="197"/>
      <c r="Q915" s="197"/>
      <c r="R915" s="197"/>
      <c r="S915" s="197"/>
      <c r="T915" s="13"/>
      <c r="U915" s="13"/>
      <c r="V915" s="13"/>
      <c r="W915" s="13"/>
      <c r="X915" s="13"/>
      <c r="Y915" s="13"/>
      <c r="Z915" s="13"/>
    </row>
    <row r="916" spans="1:26" ht="12.75" customHeight="1" x14ac:dyDescent="0.2">
      <c r="A916" s="8"/>
      <c r="B916" s="8"/>
      <c r="C916" s="197"/>
      <c r="D916" s="8"/>
      <c r="E916" s="197"/>
      <c r="F916" s="197"/>
      <c r="G916" s="197"/>
      <c r="H916" s="197"/>
      <c r="I916" s="197"/>
      <c r="J916" s="8"/>
      <c r="K916" s="197"/>
      <c r="L916" s="8"/>
      <c r="M916" s="197"/>
      <c r="N916" s="197"/>
      <c r="O916" s="197"/>
      <c r="P916" s="197"/>
      <c r="Q916" s="197"/>
      <c r="R916" s="197"/>
      <c r="S916" s="197"/>
      <c r="T916" s="13"/>
      <c r="U916" s="13"/>
      <c r="V916" s="13"/>
      <c r="W916" s="13"/>
      <c r="X916" s="13"/>
      <c r="Y916" s="13"/>
      <c r="Z916" s="13"/>
    </row>
    <row r="917" spans="1:26" ht="12.75" customHeight="1" x14ac:dyDescent="0.2">
      <c r="A917" s="8"/>
      <c r="B917" s="8"/>
      <c r="C917" s="197"/>
      <c r="D917" s="8"/>
      <c r="E917" s="197"/>
      <c r="F917" s="197"/>
      <c r="G917" s="197"/>
      <c r="H917" s="197"/>
      <c r="I917" s="197"/>
      <c r="J917" s="8"/>
      <c r="K917" s="197"/>
      <c r="L917" s="8"/>
      <c r="M917" s="197"/>
      <c r="N917" s="197"/>
      <c r="O917" s="197"/>
      <c r="P917" s="197"/>
      <c r="Q917" s="197"/>
      <c r="R917" s="197"/>
      <c r="S917" s="197"/>
      <c r="T917" s="13"/>
      <c r="U917" s="13"/>
      <c r="V917" s="13"/>
      <c r="W917" s="13"/>
      <c r="X917" s="13"/>
      <c r="Y917" s="13"/>
      <c r="Z917" s="13"/>
    </row>
    <row r="918" spans="1:26" ht="12.75" customHeight="1" x14ac:dyDescent="0.2">
      <c r="A918" s="8"/>
      <c r="B918" s="8"/>
      <c r="C918" s="197"/>
      <c r="D918" s="8"/>
      <c r="E918" s="197"/>
      <c r="F918" s="197"/>
      <c r="G918" s="197"/>
      <c r="H918" s="197"/>
      <c r="I918" s="197"/>
      <c r="J918" s="8"/>
      <c r="K918" s="197"/>
      <c r="L918" s="8"/>
      <c r="M918" s="197"/>
      <c r="N918" s="197"/>
      <c r="O918" s="197"/>
      <c r="P918" s="197"/>
      <c r="Q918" s="197"/>
      <c r="R918" s="197"/>
      <c r="S918" s="197"/>
      <c r="T918" s="13"/>
      <c r="U918" s="13"/>
      <c r="V918" s="13"/>
      <c r="W918" s="13"/>
      <c r="X918" s="13"/>
      <c r="Y918" s="13"/>
      <c r="Z918" s="13"/>
    </row>
    <row r="919" spans="1:26" ht="12.75" customHeight="1" x14ac:dyDescent="0.2">
      <c r="A919" s="8"/>
      <c r="B919" s="8"/>
      <c r="C919" s="197"/>
      <c r="D919" s="8"/>
      <c r="E919" s="197"/>
      <c r="F919" s="197"/>
      <c r="G919" s="197"/>
      <c r="H919" s="197"/>
      <c r="I919" s="197"/>
      <c r="J919" s="8"/>
      <c r="K919" s="197"/>
      <c r="L919" s="8"/>
      <c r="M919" s="197"/>
      <c r="N919" s="197"/>
      <c r="O919" s="197"/>
      <c r="P919" s="197"/>
      <c r="Q919" s="197"/>
      <c r="R919" s="197"/>
      <c r="S919" s="197"/>
      <c r="T919" s="13"/>
      <c r="U919" s="13"/>
      <c r="V919" s="13"/>
      <c r="W919" s="13"/>
      <c r="X919" s="13"/>
      <c r="Y919" s="13"/>
      <c r="Z919" s="13"/>
    </row>
    <row r="920" spans="1:26" ht="12.75" customHeight="1" x14ac:dyDescent="0.2">
      <c r="A920" s="8"/>
      <c r="B920" s="8"/>
      <c r="C920" s="197"/>
      <c r="D920" s="8"/>
      <c r="E920" s="197"/>
      <c r="F920" s="197"/>
      <c r="G920" s="197"/>
      <c r="H920" s="197"/>
      <c r="I920" s="197"/>
      <c r="J920" s="8"/>
      <c r="K920" s="197"/>
      <c r="L920" s="8"/>
      <c r="M920" s="197"/>
      <c r="N920" s="197"/>
      <c r="O920" s="197"/>
      <c r="P920" s="197"/>
      <c r="Q920" s="197"/>
      <c r="R920" s="197"/>
      <c r="S920" s="197"/>
      <c r="T920" s="13"/>
      <c r="U920" s="13"/>
      <c r="V920" s="13"/>
      <c r="W920" s="13"/>
      <c r="X920" s="13"/>
      <c r="Y920" s="13"/>
      <c r="Z920" s="13"/>
    </row>
    <row r="921" spans="1:26" ht="12.75" customHeight="1" x14ac:dyDescent="0.2">
      <c r="A921" s="8"/>
      <c r="B921" s="8"/>
      <c r="C921" s="197"/>
      <c r="D921" s="8"/>
      <c r="E921" s="197"/>
      <c r="F921" s="197"/>
      <c r="G921" s="197"/>
      <c r="H921" s="197"/>
      <c r="I921" s="197"/>
      <c r="J921" s="8"/>
      <c r="K921" s="197"/>
      <c r="L921" s="8"/>
      <c r="M921" s="197"/>
      <c r="N921" s="197"/>
      <c r="O921" s="197"/>
      <c r="P921" s="197"/>
      <c r="Q921" s="197"/>
      <c r="R921" s="197"/>
      <c r="S921" s="197"/>
      <c r="T921" s="13"/>
      <c r="U921" s="13"/>
      <c r="V921" s="13"/>
      <c r="W921" s="13"/>
      <c r="X921" s="13"/>
      <c r="Y921" s="13"/>
      <c r="Z921" s="13"/>
    </row>
    <row r="922" spans="1:26" ht="12.75" customHeight="1" x14ac:dyDescent="0.2">
      <c r="A922" s="8"/>
      <c r="B922" s="8"/>
      <c r="C922" s="197"/>
      <c r="D922" s="8"/>
      <c r="E922" s="197"/>
      <c r="F922" s="197"/>
      <c r="G922" s="197"/>
      <c r="H922" s="197"/>
      <c r="I922" s="197"/>
      <c r="J922" s="8"/>
      <c r="K922" s="197"/>
      <c r="L922" s="8"/>
      <c r="M922" s="197"/>
      <c r="N922" s="197"/>
      <c r="O922" s="197"/>
      <c r="P922" s="197"/>
      <c r="Q922" s="197"/>
      <c r="R922" s="197"/>
      <c r="S922" s="197"/>
      <c r="T922" s="13"/>
      <c r="U922" s="13"/>
      <c r="V922" s="13"/>
      <c r="W922" s="13"/>
      <c r="X922" s="13"/>
      <c r="Y922" s="13"/>
      <c r="Z922" s="13"/>
    </row>
    <row r="923" spans="1:26" ht="12.75" customHeight="1" x14ac:dyDescent="0.2">
      <c r="A923" s="8"/>
      <c r="B923" s="8"/>
      <c r="C923" s="197"/>
      <c r="D923" s="8"/>
      <c r="E923" s="197"/>
      <c r="F923" s="197"/>
      <c r="G923" s="197"/>
      <c r="H923" s="197"/>
      <c r="I923" s="197"/>
      <c r="J923" s="8"/>
      <c r="K923" s="197"/>
      <c r="L923" s="8"/>
      <c r="M923" s="197"/>
      <c r="N923" s="197"/>
      <c r="O923" s="197"/>
      <c r="P923" s="197"/>
      <c r="Q923" s="197"/>
      <c r="R923" s="197"/>
      <c r="S923" s="197"/>
      <c r="T923" s="13"/>
      <c r="U923" s="13"/>
      <c r="V923" s="13"/>
      <c r="W923" s="13"/>
      <c r="X923" s="13"/>
      <c r="Y923" s="13"/>
      <c r="Z923" s="13"/>
    </row>
    <row r="924" spans="1:26" ht="12.75" customHeight="1" x14ac:dyDescent="0.2">
      <c r="A924" s="8"/>
      <c r="B924" s="8"/>
      <c r="C924" s="197"/>
      <c r="D924" s="8"/>
      <c r="E924" s="197"/>
      <c r="F924" s="197"/>
      <c r="G924" s="197"/>
      <c r="H924" s="197"/>
      <c r="I924" s="197"/>
      <c r="J924" s="8"/>
      <c r="K924" s="197"/>
      <c r="L924" s="8"/>
      <c r="M924" s="197"/>
      <c r="N924" s="197"/>
      <c r="O924" s="197"/>
      <c r="P924" s="197"/>
      <c r="Q924" s="197"/>
      <c r="R924" s="197"/>
      <c r="S924" s="197"/>
      <c r="T924" s="13"/>
      <c r="U924" s="13"/>
      <c r="V924" s="13"/>
      <c r="W924" s="13"/>
      <c r="X924" s="13"/>
      <c r="Y924" s="13"/>
      <c r="Z924" s="13"/>
    </row>
    <row r="925" spans="1:26" ht="12.75" customHeight="1" x14ac:dyDescent="0.2">
      <c r="A925" s="8"/>
      <c r="B925" s="8"/>
      <c r="C925" s="197"/>
      <c r="D925" s="8"/>
      <c r="E925" s="197"/>
      <c r="F925" s="197"/>
      <c r="G925" s="197"/>
      <c r="H925" s="197"/>
      <c r="I925" s="197"/>
      <c r="J925" s="8"/>
      <c r="K925" s="197"/>
      <c r="L925" s="8"/>
      <c r="M925" s="197"/>
      <c r="N925" s="197"/>
      <c r="O925" s="197"/>
      <c r="P925" s="197"/>
      <c r="Q925" s="197"/>
      <c r="R925" s="197"/>
      <c r="S925" s="197"/>
      <c r="T925" s="13"/>
      <c r="U925" s="13"/>
      <c r="V925" s="13"/>
      <c r="W925" s="13"/>
      <c r="X925" s="13"/>
      <c r="Y925" s="13"/>
      <c r="Z925" s="13"/>
    </row>
    <row r="926" spans="1:26" ht="12.75" customHeight="1" x14ac:dyDescent="0.2">
      <c r="A926" s="8"/>
      <c r="B926" s="8"/>
      <c r="C926" s="197"/>
      <c r="D926" s="8"/>
      <c r="E926" s="197"/>
      <c r="F926" s="197"/>
      <c r="G926" s="197"/>
      <c r="H926" s="197"/>
      <c r="I926" s="197"/>
      <c r="J926" s="8"/>
      <c r="K926" s="197"/>
      <c r="L926" s="8"/>
      <c r="M926" s="197"/>
      <c r="N926" s="197"/>
      <c r="O926" s="197"/>
      <c r="P926" s="197"/>
      <c r="Q926" s="197"/>
      <c r="R926" s="197"/>
      <c r="S926" s="197"/>
      <c r="T926" s="13"/>
      <c r="U926" s="13"/>
      <c r="V926" s="13"/>
      <c r="W926" s="13"/>
      <c r="X926" s="13"/>
      <c r="Y926" s="13"/>
      <c r="Z926" s="13"/>
    </row>
    <row r="927" spans="1:26" ht="12.75" customHeight="1" x14ac:dyDescent="0.2">
      <c r="A927" s="8"/>
      <c r="B927" s="8"/>
      <c r="C927" s="197"/>
      <c r="D927" s="8"/>
      <c r="E927" s="197"/>
      <c r="F927" s="197"/>
      <c r="G927" s="197"/>
      <c r="H927" s="197"/>
      <c r="I927" s="197"/>
      <c r="J927" s="8"/>
      <c r="K927" s="197"/>
      <c r="L927" s="8"/>
      <c r="M927" s="197"/>
      <c r="N927" s="197"/>
      <c r="O927" s="197"/>
      <c r="P927" s="197"/>
      <c r="Q927" s="197"/>
      <c r="R927" s="197"/>
      <c r="S927" s="197"/>
      <c r="T927" s="13"/>
      <c r="U927" s="13"/>
      <c r="V927" s="13"/>
      <c r="W927" s="13"/>
      <c r="X927" s="13"/>
      <c r="Y927" s="13"/>
      <c r="Z927" s="13"/>
    </row>
    <row r="928" spans="1:26" ht="12.75" customHeight="1" x14ac:dyDescent="0.2">
      <c r="A928" s="8"/>
      <c r="B928" s="8"/>
      <c r="C928" s="197"/>
      <c r="D928" s="8"/>
      <c r="E928" s="197"/>
      <c r="F928" s="197"/>
      <c r="G928" s="197"/>
      <c r="H928" s="197"/>
      <c r="I928" s="197"/>
      <c r="J928" s="8"/>
      <c r="K928" s="197"/>
      <c r="L928" s="8"/>
      <c r="M928" s="197"/>
      <c r="N928" s="197"/>
      <c r="O928" s="197"/>
      <c r="P928" s="197"/>
      <c r="Q928" s="197"/>
      <c r="R928" s="197"/>
      <c r="S928" s="197"/>
      <c r="T928" s="13"/>
      <c r="U928" s="13"/>
      <c r="V928" s="13"/>
      <c r="W928" s="13"/>
      <c r="X928" s="13"/>
      <c r="Y928" s="13"/>
      <c r="Z928" s="13"/>
    </row>
    <row r="929" spans="1:26" ht="12.75" customHeight="1" x14ac:dyDescent="0.2">
      <c r="A929" s="8"/>
      <c r="B929" s="8"/>
      <c r="C929" s="197"/>
      <c r="D929" s="8"/>
      <c r="E929" s="197"/>
      <c r="F929" s="197"/>
      <c r="G929" s="197"/>
      <c r="H929" s="197"/>
      <c r="I929" s="197"/>
      <c r="J929" s="8"/>
      <c r="K929" s="197"/>
      <c r="L929" s="8"/>
      <c r="M929" s="197"/>
      <c r="N929" s="197"/>
      <c r="O929" s="197"/>
      <c r="P929" s="197"/>
      <c r="Q929" s="197"/>
      <c r="R929" s="197"/>
      <c r="S929" s="197"/>
      <c r="T929" s="13"/>
      <c r="U929" s="13"/>
      <c r="V929" s="13"/>
      <c r="W929" s="13"/>
      <c r="X929" s="13"/>
      <c r="Y929" s="13"/>
      <c r="Z929" s="13"/>
    </row>
    <row r="930" spans="1:26" ht="12.75" customHeight="1" x14ac:dyDescent="0.2">
      <c r="A930" s="8"/>
      <c r="B930" s="8"/>
      <c r="C930" s="197"/>
      <c r="D930" s="8"/>
      <c r="E930" s="197"/>
      <c r="F930" s="197"/>
      <c r="G930" s="197"/>
      <c r="H930" s="197"/>
      <c r="I930" s="197"/>
      <c r="J930" s="8"/>
      <c r="K930" s="197"/>
      <c r="L930" s="8"/>
      <c r="M930" s="197"/>
      <c r="N930" s="197"/>
      <c r="O930" s="197"/>
      <c r="P930" s="197"/>
      <c r="Q930" s="197"/>
      <c r="R930" s="197"/>
      <c r="S930" s="197"/>
      <c r="T930" s="13"/>
      <c r="U930" s="13"/>
      <c r="V930" s="13"/>
      <c r="W930" s="13"/>
      <c r="X930" s="13"/>
      <c r="Y930" s="13"/>
      <c r="Z930" s="13"/>
    </row>
    <row r="931" spans="1:26" ht="12.75" customHeight="1" x14ac:dyDescent="0.2">
      <c r="A931" s="8"/>
      <c r="B931" s="8"/>
      <c r="C931" s="197"/>
      <c r="D931" s="8"/>
      <c r="E931" s="197"/>
      <c r="F931" s="197"/>
      <c r="G931" s="197"/>
      <c r="H931" s="197"/>
      <c r="I931" s="197"/>
      <c r="J931" s="8"/>
      <c r="K931" s="197"/>
      <c r="L931" s="8"/>
      <c r="M931" s="197"/>
      <c r="N931" s="197"/>
      <c r="O931" s="197"/>
      <c r="P931" s="197"/>
      <c r="Q931" s="197"/>
      <c r="R931" s="197"/>
      <c r="S931" s="197"/>
      <c r="T931" s="13"/>
      <c r="U931" s="13"/>
      <c r="V931" s="13"/>
      <c r="W931" s="13"/>
      <c r="X931" s="13"/>
      <c r="Y931" s="13"/>
      <c r="Z931" s="13"/>
    </row>
    <row r="932" spans="1:26" ht="12.75" customHeight="1" x14ac:dyDescent="0.2">
      <c r="A932" s="8"/>
      <c r="B932" s="8"/>
      <c r="C932" s="197"/>
      <c r="D932" s="8"/>
      <c r="E932" s="197"/>
      <c r="F932" s="197"/>
      <c r="G932" s="197"/>
      <c r="H932" s="197"/>
      <c r="I932" s="197"/>
      <c r="J932" s="8"/>
      <c r="K932" s="197"/>
      <c r="L932" s="8"/>
      <c r="M932" s="197"/>
      <c r="N932" s="197"/>
      <c r="O932" s="197"/>
      <c r="P932" s="197"/>
      <c r="Q932" s="197"/>
      <c r="R932" s="197"/>
      <c r="S932" s="197"/>
      <c r="T932" s="13"/>
      <c r="U932" s="13"/>
      <c r="V932" s="13"/>
      <c r="W932" s="13"/>
      <c r="X932" s="13"/>
      <c r="Y932" s="13"/>
      <c r="Z932" s="13"/>
    </row>
    <row r="933" spans="1:26" ht="12.75" customHeight="1" x14ac:dyDescent="0.2">
      <c r="A933" s="8"/>
      <c r="B933" s="8"/>
      <c r="C933" s="197"/>
      <c r="D933" s="8"/>
      <c r="E933" s="197"/>
      <c r="F933" s="197"/>
      <c r="G933" s="197"/>
      <c r="H933" s="197"/>
      <c r="I933" s="197"/>
      <c r="J933" s="8"/>
      <c r="K933" s="197"/>
      <c r="L933" s="8"/>
      <c r="M933" s="197"/>
      <c r="N933" s="197"/>
      <c r="O933" s="197"/>
      <c r="P933" s="197"/>
      <c r="Q933" s="197"/>
      <c r="R933" s="197"/>
      <c r="S933" s="197"/>
      <c r="T933" s="13"/>
      <c r="U933" s="13"/>
      <c r="V933" s="13"/>
      <c r="W933" s="13"/>
      <c r="X933" s="13"/>
      <c r="Y933" s="13"/>
      <c r="Z933" s="13"/>
    </row>
    <row r="934" spans="1:26" ht="12.75" customHeight="1" x14ac:dyDescent="0.2">
      <c r="A934" s="8"/>
      <c r="B934" s="8"/>
      <c r="C934" s="197"/>
      <c r="D934" s="8"/>
      <c r="E934" s="197"/>
      <c r="F934" s="197"/>
      <c r="G934" s="197"/>
      <c r="H934" s="197"/>
      <c r="I934" s="197"/>
      <c r="J934" s="8"/>
      <c r="K934" s="197"/>
      <c r="L934" s="8"/>
      <c r="M934" s="197"/>
      <c r="N934" s="197"/>
      <c r="O934" s="197"/>
      <c r="P934" s="197"/>
      <c r="Q934" s="197"/>
      <c r="R934" s="197"/>
      <c r="S934" s="197"/>
      <c r="T934" s="13"/>
      <c r="U934" s="13"/>
      <c r="V934" s="13"/>
      <c r="W934" s="13"/>
      <c r="X934" s="13"/>
      <c r="Y934" s="13"/>
      <c r="Z934" s="13"/>
    </row>
    <row r="935" spans="1:26" ht="12.75" customHeight="1" x14ac:dyDescent="0.2">
      <c r="A935" s="8"/>
      <c r="B935" s="8"/>
      <c r="C935" s="197"/>
      <c r="D935" s="8"/>
      <c r="E935" s="197"/>
      <c r="F935" s="197"/>
      <c r="G935" s="197"/>
      <c r="H935" s="197"/>
      <c r="I935" s="197"/>
      <c r="J935" s="8"/>
      <c r="K935" s="197"/>
      <c r="L935" s="8"/>
      <c r="M935" s="197"/>
      <c r="N935" s="197"/>
      <c r="O935" s="197"/>
      <c r="P935" s="197"/>
      <c r="Q935" s="197"/>
      <c r="R935" s="197"/>
      <c r="S935" s="197"/>
      <c r="T935" s="13"/>
      <c r="U935" s="13"/>
      <c r="V935" s="13"/>
      <c r="W935" s="13"/>
      <c r="X935" s="13"/>
      <c r="Y935" s="13"/>
      <c r="Z935" s="13"/>
    </row>
    <row r="936" spans="1:26" ht="12.75" customHeight="1" x14ac:dyDescent="0.2">
      <c r="A936" s="8"/>
      <c r="B936" s="8"/>
      <c r="C936" s="197"/>
      <c r="D936" s="8"/>
      <c r="E936" s="197"/>
      <c r="F936" s="197"/>
      <c r="G936" s="197"/>
      <c r="H936" s="197"/>
      <c r="I936" s="197"/>
      <c r="J936" s="8"/>
      <c r="K936" s="197"/>
      <c r="L936" s="8"/>
      <c r="M936" s="197"/>
      <c r="N936" s="197"/>
      <c r="O936" s="197"/>
      <c r="P936" s="197"/>
      <c r="Q936" s="197"/>
      <c r="R936" s="197"/>
      <c r="S936" s="197"/>
      <c r="T936" s="13"/>
      <c r="U936" s="13"/>
      <c r="V936" s="13"/>
      <c r="W936" s="13"/>
      <c r="X936" s="13"/>
      <c r="Y936" s="13"/>
      <c r="Z936" s="13"/>
    </row>
    <row r="937" spans="1:26" ht="12.75" customHeight="1" x14ac:dyDescent="0.2">
      <c r="A937" s="8"/>
      <c r="B937" s="8"/>
      <c r="C937" s="197"/>
      <c r="D937" s="8"/>
      <c r="E937" s="197"/>
      <c r="F937" s="197"/>
      <c r="G937" s="197"/>
      <c r="H937" s="197"/>
      <c r="I937" s="197"/>
      <c r="J937" s="8"/>
      <c r="K937" s="197"/>
      <c r="L937" s="8"/>
      <c r="M937" s="197"/>
      <c r="N937" s="197"/>
      <c r="O937" s="197"/>
      <c r="P937" s="197"/>
      <c r="Q937" s="197"/>
      <c r="R937" s="197"/>
      <c r="S937" s="197"/>
      <c r="T937" s="13"/>
      <c r="U937" s="13"/>
      <c r="V937" s="13"/>
      <c r="W937" s="13"/>
      <c r="X937" s="13"/>
      <c r="Y937" s="13"/>
      <c r="Z937" s="13"/>
    </row>
    <row r="938" spans="1:26" ht="12.75" customHeight="1" x14ac:dyDescent="0.2">
      <c r="A938" s="8"/>
      <c r="B938" s="8"/>
      <c r="C938" s="197"/>
      <c r="D938" s="8"/>
      <c r="E938" s="197"/>
      <c r="F938" s="197"/>
      <c r="G938" s="197"/>
      <c r="H938" s="197"/>
      <c r="I938" s="197"/>
      <c r="J938" s="8"/>
      <c r="K938" s="197"/>
      <c r="L938" s="8"/>
      <c r="M938" s="197"/>
      <c r="N938" s="197"/>
      <c r="O938" s="197"/>
      <c r="P938" s="197"/>
      <c r="Q938" s="197"/>
      <c r="R938" s="197"/>
      <c r="S938" s="197"/>
      <c r="T938" s="13"/>
      <c r="U938" s="13"/>
      <c r="V938" s="13"/>
      <c r="W938" s="13"/>
      <c r="X938" s="13"/>
      <c r="Y938" s="13"/>
      <c r="Z938" s="13"/>
    </row>
    <row r="939" spans="1:26" ht="12.75" customHeight="1" x14ac:dyDescent="0.2">
      <c r="A939" s="8"/>
      <c r="B939" s="8"/>
      <c r="C939" s="197"/>
      <c r="D939" s="8"/>
      <c r="E939" s="197"/>
      <c r="F939" s="197"/>
      <c r="G939" s="197"/>
      <c r="H939" s="197"/>
      <c r="I939" s="197"/>
      <c r="J939" s="8"/>
      <c r="K939" s="197"/>
      <c r="L939" s="8"/>
      <c r="M939" s="197"/>
      <c r="N939" s="197"/>
      <c r="O939" s="197"/>
      <c r="P939" s="197"/>
      <c r="Q939" s="197"/>
      <c r="R939" s="197"/>
      <c r="S939" s="197"/>
      <c r="T939" s="13"/>
      <c r="U939" s="13"/>
      <c r="V939" s="13"/>
      <c r="W939" s="13"/>
      <c r="X939" s="13"/>
      <c r="Y939" s="13"/>
      <c r="Z939" s="13"/>
    </row>
    <row r="940" spans="1:26" ht="12.75" customHeight="1" x14ac:dyDescent="0.2">
      <c r="A940" s="8"/>
      <c r="B940" s="8"/>
      <c r="C940" s="197"/>
      <c r="D940" s="8"/>
      <c r="E940" s="197"/>
      <c r="F940" s="197"/>
      <c r="G940" s="197"/>
      <c r="H940" s="197"/>
      <c r="I940" s="197"/>
      <c r="J940" s="8"/>
      <c r="K940" s="197"/>
      <c r="L940" s="8"/>
      <c r="M940" s="197"/>
      <c r="N940" s="197"/>
      <c r="O940" s="197"/>
      <c r="P940" s="197"/>
      <c r="Q940" s="197"/>
      <c r="R940" s="197"/>
      <c r="S940" s="197"/>
      <c r="T940" s="13"/>
      <c r="U940" s="13"/>
      <c r="V940" s="13"/>
      <c r="W940" s="13"/>
      <c r="X940" s="13"/>
      <c r="Y940" s="13"/>
      <c r="Z940" s="13"/>
    </row>
    <row r="941" spans="1:26" ht="12.75" customHeight="1" x14ac:dyDescent="0.2">
      <c r="A941" s="8"/>
      <c r="B941" s="8"/>
      <c r="C941" s="197"/>
      <c r="D941" s="8"/>
      <c r="E941" s="197"/>
      <c r="F941" s="197"/>
      <c r="G941" s="197"/>
      <c r="H941" s="197"/>
      <c r="I941" s="197"/>
      <c r="J941" s="8"/>
      <c r="K941" s="197"/>
      <c r="L941" s="8"/>
      <c r="M941" s="197"/>
      <c r="N941" s="197"/>
      <c r="O941" s="197"/>
      <c r="P941" s="197"/>
      <c r="Q941" s="197"/>
      <c r="R941" s="197"/>
      <c r="S941" s="197"/>
      <c r="T941" s="13"/>
      <c r="U941" s="13"/>
      <c r="V941" s="13"/>
      <c r="W941" s="13"/>
      <c r="X941" s="13"/>
      <c r="Y941" s="13"/>
      <c r="Z941" s="13"/>
    </row>
    <row r="942" spans="1:26" ht="12.75" customHeight="1" x14ac:dyDescent="0.2">
      <c r="A942" s="8"/>
      <c r="B942" s="8"/>
      <c r="C942" s="197"/>
      <c r="D942" s="8"/>
      <c r="E942" s="197"/>
      <c r="F942" s="197"/>
      <c r="G942" s="197"/>
      <c r="H942" s="197"/>
      <c r="I942" s="197"/>
      <c r="J942" s="8"/>
      <c r="K942" s="197"/>
      <c r="L942" s="8"/>
      <c r="M942" s="197"/>
      <c r="N942" s="197"/>
      <c r="O942" s="197"/>
      <c r="P942" s="197"/>
      <c r="Q942" s="197"/>
      <c r="R942" s="197"/>
      <c r="S942" s="197"/>
      <c r="T942" s="13"/>
      <c r="U942" s="13"/>
      <c r="V942" s="13"/>
      <c r="W942" s="13"/>
      <c r="X942" s="13"/>
      <c r="Y942" s="13"/>
      <c r="Z942" s="13"/>
    </row>
    <row r="943" spans="1:26" ht="12.75" customHeight="1" x14ac:dyDescent="0.2">
      <c r="A943" s="8"/>
      <c r="B943" s="8"/>
      <c r="C943" s="197"/>
      <c r="D943" s="8"/>
      <c r="E943" s="197"/>
      <c r="F943" s="197"/>
      <c r="G943" s="197"/>
      <c r="H943" s="197"/>
      <c r="I943" s="197"/>
      <c r="J943" s="8"/>
      <c r="K943" s="197"/>
      <c r="L943" s="8"/>
      <c r="M943" s="197"/>
      <c r="N943" s="197"/>
      <c r="O943" s="197"/>
      <c r="P943" s="197"/>
      <c r="Q943" s="197"/>
      <c r="R943" s="197"/>
      <c r="S943" s="197"/>
      <c r="T943" s="13"/>
      <c r="U943" s="13"/>
      <c r="V943" s="13"/>
      <c r="W943" s="13"/>
      <c r="X943" s="13"/>
      <c r="Y943" s="13"/>
      <c r="Z943" s="13"/>
    </row>
    <row r="944" spans="1:26" ht="12.75" customHeight="1" x14ac:dyDescent="0.2">
      <c r="A944" s="8"/>
      <c r="B944" s="8"/>
      <c r="C944" s="197"/>
      <c r="D944" s="8"/>
      <c r="E944" s="197"/>
      <c r="F944" s="197"/>
      <c r="G944" s="197"/>
      <c r="H944" s="197"/>
      <c r="I944" s="197"/>
      <c r="J944" s="8"/>
      <c r="K944" s="197"/>
      <c r="L944" s="8"/>
      <c r="M944" s="197"/>
      <c r="N944" s="197"/>
      <c r="O944" s="197"/>
      <c r="P944" s="197"/>
      <c r="Q944" s="197"/>
      <c r="R944" s="197"/>
      <c r="S944" s="197"/>
      <c r="T944" s="13"/>
      <c r="U944" s="13"/>
      <c r="V944" s="13"/>
      <c r="W944" s="13"/>
      <c r="X944" s="13"/>
      <c r="Y944" s="13"/>
      <c r="Z944" s="13"/>
    </row>
    <row r="945" spans="1:26" ht="12.75" customHeight="1" x14ac:dyDescent="0.2">
      <c r="A945" s="8"/>
      <c r="B945" s="8"/>
      <c r="C945" s="197"/>
      <c r="D945" s="8"/>
      <c r="E945" s="197"/>
      <c r="F945" s="197"/>
      <c r="G945" s="197"/>
      <c r="H945" s="197"/>
      <c r="I945" s="197"/>
      <c r="J945" s="8"/>
      <c r="K945" s="197"/>
      <c r="L945" s="8"/>
      <c r="M945" s="197"/>
      <c r="N945" s="197"/>
      <c r="O945" s="197"/>
      <c r="P945" s="197"/>
      <c r="Q945" s="197"/>
      <c r="R945" s="197"/>
      <c r="S945" s="197"/>
      <c r="T945" s="13"/>
      <c r="U945" s="13"/>
      <c r="V945" s="13"/>
      <c r="W945" s="13"/>
      <c r="X945" s="13"/>
      <c r="Y945" s="13"/>
      <c r="Z945" s="13"/>
    </row>
    <row r="946" spans="1:26" ht="12.75" customHeight="1" x14ac:dyDescent="0.2">
      <c r="A946" s="8"/>
      <c r="B946" s="8"/>
      <c r="C946" s="197"/>
      <c r="D946" s="8"/>
      <c r="E946" s="197"/>
      <c r="F946" s="197"/>
      <c r="G946" s="197"/>
      <c r="H946" s="197"/>
      <c r="I946" s="197"/>
      <c r="J946" s="8"/>
      <c r="K946" s="197"/>
      <c r="L946" s="8"/>
      <c r="M946" s="197"/>
      <c r="N946" s="197"/>
      <c r="O946" s="197"/>
      <c r="P946" s="197"/>
      <c r="Q946" s="197"/>
      <c r="R946" s="197"/>
      <c r="S946" s="197"/>
      <c r="T946" s="13"/>
      <c r="U946" s="13"/>
      <c r="V946" s="13"/>
      <c r="W946" s="13"/>
      <c r="X946" s="13"/>
      <c r="Y946" s="13"/>
      <c r="Z946" s="13"/>
    </row>
    <row r="947" spans="1:26" ht="12.75" customHeight="1" x14ac:dyDescent="0.2">
      <c r="A947" s="8"/>
      <c r="B947" s="8"/>
      <c r="C947" s="197"/>
      <c r="D947" s="8"/>
      <c r="E947" s="197"/>
      <c r="F947" s="197"/>
      <c r="G947" s="197"/>
      <c r="H947" s="197"/>
      <c r="I947" s="197"/>
      <c r="J947" s="8"/>
      <c r="K947" s="197"/>
      <c r="L947" s="8"/>
      <c r="M947" s="197"/>
      <c r="N947" s="197"/>
      <c r="O947" s="197"/>
      <c r="P947" s="197"/>
      <c r="Q947" s="197"/>
      <c r="R947" s="197"/>
      <c r="S947" s="197"/>
      <c r="T947" s="13"/>
      <c r="U947" s="13"/>
      <c r="V947" s="13"/>
      <c r="W947" s="13"/>
      <c r="X947" s="13"/>
      <c r="Y947" s="13"/>
      <c r="Z947" s="13"/>
    </row>
    <row r="948" spans="1:26" ht="12.75" customHeight="1" x14ac:dyDescent="0.2">
      <c r="A948" s="8"/>
      <c r="B948" s="8"/>
      <c r="C948" s="197"/>
      <c r="D948" s="8"/>
      <c r="E948" s="197"/>
      <c r="F948" s="197"/>
      <c r="G948" s="197"/>
      <c r="H948" s="197"/>
      <c r="I948" s="197"/>
      <c r="J948" s="8"/>
      <c r="K948" s="197"/>
      <c r="L948" s="8"/>
      <c r="M948" s="197"/>
      <c r="N948" s="197"/>
      <c r="O948" s="197"/>
      <c r="P948" s="197"/>
      <c r="Q948" s="197"/>
      <c r="R948" s="197"/>
      <c r="S948" s="197"/>
      <c r="T948" s="13"/>
      <c r="U948" s="13"/>
      <c r="V948" s="13"/>
      <c r="W948" s="13"/>
      <c r="X948" s="13"/>
      <c r="Y948" s="13"/>
      <c r="Z948" s="13"/>
    </row>
    <row r="949" spans="1:26" ht="12.75" customHeight="1" x14ac:dyDescent="0.2">
      <c r="A949" s="8"/>
      <c r="B949" s="8"/>
      <c r="C949" s="197"/>
      <c r="D949" s="8"/>
      <c r="E949" s="197"/>
      <c r="F949" s="197"/>
      <c r="G949" s="197"/>
      <c r="H949" s="197"/>
      <c r="I949" s="197"/>
      <c r="J949" s="8"/>
      <c r="K949" s="197"/>
      <c r="L949" s="8"/>
      <c r="M949" s="197"/>
      <c r="N949" s="197"/>
      <c r="O949" s="197"/>
      <c r="P949" s="197"/>
      <c r="Q949" s="197"/>
      <c r="R949" s="197"/>
      <c r="S949" s="197"/>
      <c r="T949" s="13"/>
      <c r="U949" s="13"/>
      <c r="V949" s="13"/>
      <c r="W949" s="13"/>
      <c r="X949" s="13"/>
      <c r="Y949" s="13"/>
      <c r="Z949" s="13"/>
    </row>
    <row r="950" spans="1:26" ht="12.75" customHeight="1" x14ac:dyDescent="0.2">
      <c r="A950" s="8"/>
      <c r="B950" s="8"/>
      <c r="C950" s="197"/>
      <c r="D950" s="8"/>
      <c r="E950" s="197"/>
      <c r="F950" s="197"/>
      <c r="G950" s="197"/>
      <c r="H950" s="197"/>
      <c r="I950" s="197"/>
      <c r="J950" s="8"/>
      <c r="K950" s="197"/>
      <c r="L950" s="8"/>
      <c r="M950" s="197"/>
      <c r="N950" s="197"/>
      <c r="O950" s="197"/>
      <c r="P950" s="197"/>
      <c r="Q950" s="197"/>
      <c r="R950" s="197"/>
      <c r="S950" s="197"/>
      <c r="T950" s="13"/>
      <c r="U950" s="13"/>
      <c r="V950" s="13"/>
      <c r="W950" s="13"/>
      <c r="X950" s="13"/>
      <c r="Y950" s="13"/>
      <c r="Z950" s="13"/>
    </row>
    <row r="951" spans="1:26" ht="12.75" customHeight="1" x14ac:dyDescent="0.2">
      <c r="A951" s="8"/>
      <c r="B951" s="8"/>
      <c r="C951" s="197"/>
      <c r="D951" s="8"/>
      <c r="E951" s="197"/>
      <c r="F951" s="197"/>
      <c r="G951" s="197"/>
      <c r="H951" s="197"/>
      <c r="I951" s="197"/>
      <c r="J951" s="8"/>
      <c r="K951" s="197"/>
      <c r="L951" s="8"/>
      <c r="M951" s="197"/>
      <c r="N951" s="197"/>
      <c r="O951" s="197"/>
      <c r="P951" s="197"/>
      <c r="Q951" s="197"/>
      <c r="R951" s="197"/>
      <c r="S951" s="197"/>
      <c r="T951" s="13"/>
      <c r="U951" s="13"/>
      <c r="V951" s="13"/>
      <c r="W951" s="13"/>
      <c r="X951" s="13"/>
      <c r="Y951" s="13"/>
      <c r="Z951" s="13"/>
    </row>
    <row r="952" spans="1:26" ht="12.75" customHeight="1" x14ac:dyDescent="0.2">
      <c r="A952" s="8"/>
      <c r="B952" s="8"/>
      <c r="C952" s="197"/>
      <c r="D952" s="8"/>
      <c r="E952" s="197"/>
      <c r="F952" s="197"/>
      <c r="G952" s="197"/>
      <c r="H952" s="197"/>
      <c r="I952" s="197"/>
      <c r="J952" s="8"/>
      <c r="K952" s="197"/>
      <c r="L952" s="8"/>
      <c r="M952" s="197"/>
      <c r="N952" s="197"/>
      <c r="O952" s="197"/>
      <c r="P952" s="197"/>
      <c r="Q952" s="197"/>
      <c r="R952" s="197"/>
      <c r="S952" s="197"/>
      <c r="T952" s="13"/>
      <c r="U952" s="13"/>
      <c r="V952" s="13"/>
      <c r="W952" s="13"/>
      <c r="X952" s="13"/>
      <c r="Y952" s="13"/>
      <c r="Z952" s="13"/>
    </row>
    <row r="953" spans="1:26" ht="12.75" customHeight="1" x14ac:dyDescent="0.2">
      <c r="A953" s="8"/>
      <c r="B953" s="8"/>
      <c r="C953" s="197"/>
      <c r="D953" s="8"/>
      <c r="E953" s="197"/>
      <c r="F953" s="197"/>
      <c r="G953" s="197"/>
      <c r="H953" s="197"/>
      <c r="I953" s="197"/>
      <c r="J953" s="8"/>
      <c r="K953" s="197"/>
      <c r="L953" s="8"/>
      <c r="M953" s="197"/>
      <c r="N953" s="197"/>
      <c r="O953" s="197"/>
      <c r="P953" s="197"/>
      <c r="Q953" s="197"/>
      <c r="R953" s="197"/>
      <c r="S953" s="197"/>
      <c r="T953" s="13"/>
      <c r="U953" s="13"/>
      <c r="V953" s="13"/>
      <c r="W953" s="13"/>
      <c r="X953" s="13"/>
      <c r="Y953" s="13"/>
      <c r="Z953" s="13"/>
    </row>
    <row r="954" spans="1:26" ht="12.75" customHeight="1" x14ac:dyDescent="0.2">
      <c r="A954" s="8"/>
      <c r="B954" s="8"/>
      <c r="C954" s="197"/>
      <c r="D954" s="8"/>
      <c r="E954" s="197"/>
      <c r="F954" s="197"/>
      <c r="G954" s="197"/>
      <c r="H954" s="197"/>
      <c r="I954" s="197"/>
      <c r="J954" s="8"/>
      <c r="K954" s="197"/>
      <c r="L954" s="8"/>
      <c r="M954" s="197"/>
      <c r="N954" s="197"/>
      <c r="O954" s="197"/>
      <c r="P954" s="197"/>
      <c r="Q954" s="197"/>
      <c r="R954" s="197"/>
      <c r="S954" s="197"/>
      <c r="T954" s="13"/>
      <c r="U954" s="13"/>
      <c r="V954" s="13"/>
      <c r="W954" s="13"/>
      <c r="X954" s="13"/>
      <c r="Y954" s="13"/>
      <c r="Z954" s="13"/>
    </row>
    <row r="955" spans="1:26" ht="12.75" customHeight="1" x14ac:dyDescent="0.2">
      <c r="A955" s="8"/>
      <c r="B955" s="8"/>
      <c r="C955" s="197"/>
      <c r="D955" s="8"/>
      <c r="E955" s="197"/>
      <c r="F955" s="197"/>
      <c r="G955" s="197"/>
      <c r="H955" s="197"/>
      <c r="I955" s="197"/>
      <c r="J955" s="8"/>
      <c r="K955" s="197"/>
      <c r="L955" s="8"/>
      <c r="M955" s="197"/>
      <c r="N955" s="197"/>
      <c r="O955" s="197"/>
      <c r="P955" s="197"/>
      <c r="Q955" s="197"/>
      <c r="R955" s="197"/>
      <c r="S955" s="197"/>
      <c r="T955" s="13"/>
      <c r="U955" s="13"/>
      <c r="V955" s="13"/>
      <c r="W955" s="13"/>
      <c r="X955" s="13"/>
      <c r="Y955" s="13"/>
      <c r="Z955" s="13"/>
    </row>
    <row r="956" spans="1:26" ht="12.75" customHeight="1" x14ac:dyDescent="0.2">
      <c r="A956" s="8"/>
      <c r="B956" s="8"/>
      <c r="C956" s="197"/>
      <c r="D956" s="8"/>
      <c r="E956" s="197"/>
      <c r="F956" s="197"/>
      <c r="G956" s="197"/>
      <c r="H956" s="197"/>
      <c r="I956" s="197"/>
      <c r="J956" s="8"/>
      <c r="K956" s="197"/>
      <c r="L956" s="8"/>
      <c r="M956" s="197"/>
      <c r="N956" s="197"/>
      <c r="O956" s="197"/>
      <c r="P956" s="197"/>
      <c r="Q956" s="197"/>
      <c r="R956" s="197"/>
      <c r="S956" s="197"/>
      <c r="T956" s="13"/>
      <c r="U956" s="13"/>
      <c r="V956" s="13"/>
      <c r="W956" s="13"/>
      <c r="X956" s="13"/>
      <c r="Y956" s="13"/>
      <c r="Z956" s="13"/>
    </row>
    <row r="957" spans="1:26" ht="12.75" customHeight="1" x14ac:dyDescent="0.2">
      <c r="A957" s="8"/>
      <c r="B957" s="8"/>
      <c r="C957" s="197"/>
      <c r="D957" s="8"/>
      <c r="E957" s="197"/>
      <c r="F957" s="197"/>
      <c r="G957" s="197"/>
      <c r="H957" s="197"/>
      <c r="I957" s="197"/>
      <c r="J957" s="8"/>
      <c r="K957" s="197"/>
      <c r="L957" s="8"/>
      <c r="M957" s="197"/>
      <c r="N957" s="197"/>
      <c r="O957" s="197"/>
      <c r="P957" s="197"/>
      <c r="Q957" s="197"/>
      <c r="R957" s="197"/>
      <c r="S957" s="197"/>
      <c r="T957" s="13"/>
      <c r="U957" s="13"/>
      <c r="V957" s="13"/>
      <c r="W957" s="13"/>
      <c r="X957" s="13"/>
      <c r="Y957" s="13"/>
      <c r="Z957" s="13"/>
    </row>
    <row r="958" spans="1:26" ht="12.75" customHeight="1" x14ac:dyDescent="0.2">
      <c r="A958" s="8"/>
      <c r="B958" s="8"/>
      <c r="C958" s="197"/>
      <c r="D958" s="8"/>
      <c r="E958" s="197"/>
      <c r="F958" s="197"/>
      <c r="G958" s="197"/>
      <c r="H958" s="197"/>
      <c r="I958" s="197"/>
      <c r="J958" s="8"/>
      <c r="K958" s="197"/>
      <c r="L958" s="8"/>
      <c r="M958" s="197"/>
      <c r="N958" s="197"/>
      <c r="O958" s="197"/>
      <c r="P958" s="197"/>
      <c r="Q958" s="197"/>
      <c r="R958" s="197"/>
      <c r="S958" s="197"/>
      <c r="T958" s="13"/>
      <c r="U958" s="13"/>
      <c r="V958" s="13"/>
      <c r="W958" s="13"/>
      <c r="X958" s="13"/>
      <c r="Y958" s="13"/>
      <c r="Z958" s="13"/>
    </row>
    <row r="959" spans="1:26" ht="12.75" customHeight="1" x14ac:dyDescent="0.2">
      <c r="A959" s="8"/>
      <c r="B959" s="8"/>
      <c r="C959" s="197"/>
      <c r="D959" s="8"/>
      <c r="E959" s="197"/>
      <c r="F959" s="197"/>
      <c r="G959" s="197"/>
      <c r="H959" s="197"/>
      <c r="I959" s="197"/>
      <c r="J959" s="8"/>
      <c r="K959" s="197"/>
      <c r="L959" s="8"/>
      <c r="M959" s="197"/>
      <c r="N959" s="197"/>
      <c r="O959" s="197"/>
      <c r="P959" s="197"/>
      <c r="Q959" s="197"/>
      <c r="R959" s="197"/>
      <c r="S959" s="197"/>
      <c r="T959" s="13"/>
      <c r="U959" s="13"/>
      <c r="V959" s="13"/>
      <c r="W959" s="13"/>
      <c r="X959" s="13"/>
      <c r="Y959" s="13"/>
      <c r="Z959" s="13"/>
    </row>
    <row r="960" spans="1:26" ht="12.75" customHeight="1" x14ac:dyDescent="0.2">
      <c r="A960" s="8"/>
      <c r="B960" s="8"/>
      <c r="C960" s="197"/>
      <c r="D960" s="8"/>
      <c r="E960" s="197"/>
      <c r="F960" s="197"/>
      <c r="G960" s="197"/>
      <c r="H960" s="197"/>
      <c r="I960" s="197"/>
      <c r="J960" s="8"/>
      <c r="K960" s="197"/>
      <c r="L960" s="8"/>
      <c r="M960" s="197"/>
      <c r="N960" s="197"/>
      <c r="O960" s="197"/>
      <c r="P960" s="197"/>
      <c r="Q960" s="197"/>
      <c r="R960" s="197"/>
      <c r="S960" s="197"/>
      <c r="T960" s="13"/>
      <c r="U960" s="13"/>
      <c r="V960" s="13"/>
      <c r="W960" s="13"/>
      <c r="X960" s="13"/>
      <c r="Y960" s="13"/>
      <c r="Z960" s="13"/>
    </row>
    <row r="961" spans="1:26" ht="12.75" customHeight="1" x14ac:dyDescent="0.2">
      <c r="A961" s="8"/>
      <c r="B961" s="8"/>
      <c r="C961" s="197"/>
      <c r="D961" s="8"/>
      <c r="E961" s="197"/>
      <c r="F961" s="197"/>
      <c r="G961" s="197"/>
      <c r="H961" s="197"/>
      <c r="I961" s="197"/>
      <c r="J961" s="8"/>
      <c r="K961" s="197"/>
      <c r="L961" s="8"/>
      <c r="M961" s="197"/>
      <c r="N961" s="197"/>
      <c r="O961" s="197"/>
      <c r="P961" s="197"/>
      <c r="Q961" s="197"/>
      <c r="R961" s="197"/>
      <c r="S961" s="197"/>
      <c r="T961" s="13"/>
      <c r="U961" s="13"/>
      <c r="V961" s="13"/>
      <c r="W961" s="13"/>
      <c r="X961" s="13"/>
      <c r="Y961" s="13"/>
      <c r="Z961" s="13"/>
    </row>
    <row r="962" spans="1:26" ht="12.75" customHeight="1" x14ac:dyDescent="0.2">
      <c r="A962" s="8"/>
      <c r="B962" s="8"/>
      <c r="C962" s="197"/>
      <c r="D962" s="8"/>
      <c r="E962" s="197"/>
      <c r="F962" s="197"/>
      <c r="G962" s="197"/>
      <c r="H962" s="197"/>
      <c r="I962" s="197"/>
      <c r="J962" s="8"/>
      <c r="K962" s="197"/>
      <c r="L962" s="8"/>
      <c r="M962" s="197"/>
      <c r="N962" s="197"/>
      <c r="O962" s="197"/>
      <c r="P962" s="197"/>
      <c r="Q962" s="197"/>
      <c r="R962" s="197"/>
      <c r="S962" s="197"/>
      <c r="T962" s="13"/>
      <c r="U962" s="13"/>
      <c r="V962" s="13"/>
      <c r="W962" s="13"/>
      <c r="X962" s="13"/>
      <c r="Y962" s="13"/>
      <c r="Z962" s="13"/>
    </row>
    <row r="963" spans="1:26" ht="12.75" customHeight="1" x14ac:dyDescent="0.2">
      <c r="A963" s="8"/>
      <c r="B963" s="8"/>
      <c r="C963" s="197"/>
      <c r="D963" s="8"/>
      <c r="E963" s="197"/>
      <c r="F963" s="197"/>
      <c r="G963" s="197"/>
      <c r="H963" s="197"/>
      <c r="I963" s="197"/>
      <c r="J963" s="8"/>
      <c r="K963" s="197"/>
      <c r="L963" s="8"/>
      <c r="M963" s="197"/>
      <c r="N963" s="197"/>
      <c r="O963" s="197"/>
      <c r="P963" s="197"/>
      <c r="Q963" s="197"/>
      <c r="R963" s="197"/>
      <c r="S963" s="197"/>
      <c r="T963" s="13"/>
      <c r="U963" s="13"/>
      <c r="V963" s="13"/>
      <c r="W963" s="13"/>
      <c r="X963" s="13"/>
      <c r="Y963" s="13"/>
      <c r="Z963" s="13"/>
    </row>
    <row r="964" spans="1:26" ht="12.75" customHeight="1" x14ac:dyDescent="0.2">
      <c r="A964" s="8"/>
      <c r="B964" s="8"/>
      <c r="C964" s="197"/>
      <c r="D964" s="8"/>
      <c r="E964" s="197"/>
      <c r="F964" s="197"/>
      <c r="G964" s="197"/>
      <c r="H964" s="197"/>
      <c r="I964" s="197"/>
      <c r="J964" s="8"/>
      <c r="K964" s="197"/>
      <c r="L964" s="8"/>
      <c r="M964" s="197"/>
      <c r="N964" s="197"/>
      <c r="O964" s="197"/>
      <c r="P964" s="197"/>
      <c r="Q964" s="197"/>
      <c r="R964" s="197"/>
      <c r="S964" s="197"/>
      <c r="T964" s="13"/>
      <c r="U964" s="13"/>
      <c r="V964" s="13"/>
      <c r="W964" s="13"/>
      <c r="X964" s="13"/>
      <c r="Y964" s="13"/>
      <c r="Z964" s="13"/>
    </row>
    <row r="965" spans="1:26" ht="12.75" customHeight="1" x14ac:dyDescent="0.2">
      <c r="A965" s="8"/>
      <c r="B965" s="8"/>
      <c r="C965" s="197"/>
      <c r="D965" s="8"/>
      <c r="E965" s="197"/>
      <c r="F965" s="197"/>
      <c r="G965" s="197"/>
      <c r="H965" s="197"/>
      <c r="I965" s="197"/>
      <c r="J965" s="8"/>
      <c r="K965" s="197"/>
      <c r="L965" s="8"/>
      <c r="M965" s="197"/>
      <c r="N965" s="197"/>
      <c r="O965" s="197"/>
      <c r="P965" s="197"/>
      <c r="Q965" s="197"/>
      <c r="R965" s="197"/>
      <c r="S965" s="197"/>
      <c r="T965" s="13"/>
      <c r="U965" s="13"/>
      <c r="V965" s="13"/>
      <c r="W965" s="13"/>
      <c r="X965" s="13"/>
      <c r="Y965" s="13"/>
      <c r="Z965" s="13"/>
    </row>
    <row r="966" spans="1:26" ht="12.75" customHeight="1" x14ac:dyDescent="0.2">
      <c r="A966" s="8"/>
      <c r="B966" s="8"/>
      <c r="C966" s="197"/>
      <c r="D966" s="8"/>
      <c r="E966" s="197"/>
      <c r="F966" s="197"/>
      <c r="G966" s="197"/>
      <c r="H966" s="197"/>
      <c r="I966" s="197"/>
      <c r="J966" s="8"/>
      <c r="K966" s="197"/>
      <c r="L966" s="8"/>
      <c r="M966" s="197"/>
      <c r="N966" s="197"/>
      <c r="O966" s="197"/>
      <c r="P966" s="197"/>
      <c r="Q966" s="197"/>
      <c r="R966" s="197"/>
      <c r="S966" s="197"/>
      <c r="T966" s="13"/>
      <c r="U966" s="13"/>
      <c r="V966" s="13"/>
      <c r="W966" s="13"/>
      <c r="X966" s="13"/>
      <c r="Y966" s="13"/>
      <c r="Z966" s="13"/>
    </row>
    <row r="967" spans="1:26" ht="12.75" customHeight="1" x14ac:dyDescent="0.2">
      <c r="A967" s="8"/>
      <c r="B967" s="8"/>
      <c r="C967" s="197"/>
      <c r="D967" s="8"/>
      <c r="E967" s="197"/>
      <c r="F967" s="197"/>
      <c r="G967" s="197"/>
      <c r="H967" s="197"/>
      <c r="I967" s="197"/>
      <c r="J967" s="8"/>
      <c r="K967" s="197"/>
      <c r="L967" s="8"/>
      <c r="M967" s="197"/>
      <c r="N967" s="197"/>
      <c r="O967" s="197"/>
      <c r="P967" s="197"/>
      <c r="Q967" s="197"/>
      <c r="R967" s="197"/>
      <c r="S967" s="197"/>
      <c r="T967" s="13"/>
      <c r="U967" s="13"/>
      <c r="V967" s="13"/>
      <c r="W967" s="13"/>
      <c r="X967" s="13"/>
      <c r="Y967" s="13"/>
      <c r="Z967" s="13"/>
    </row>
    <row r="968" spans="1:26" ht="12.75" customHeight="1" x14ac:dyDescent="0.2">
      <c r="A968" s="8"/>
      <c r="B968" s="8"/>
      <c r="C968" s="197"/>
      <c r="D968" s="8"/>
      <c r="E968" s="197"/>
      <c r="F968" s="197"/>
      <c r="G968" s="197"/>
      <c r="H968" s="197"/>
      <c r="I968" s="197"/>
      <c r="J968" s="8"/>
      <c r="K968" s="197"/>
      <c r="L968" s="8"/>
      <c r="M968" s="197"/>
      <c r="N968" s="197"/>
      <c r="O968" s="197"/>
      <c r="P968" s="197"/>
      <c r="Q968" s="197"/>
      <c r="R968" s="197"/>
      <c r="S968" s="197"/>
      <c r="T968" s="13"/>
      <c r="U968" s="13"/>
      <c r="V968" s="13"/>
      <c r="W968" s="13"/>
      <c r="X968" s="13"/>
      <c r="Y968" s="13"/>
      <c r="Z968" s="13"/>
    </row>
    <row r="969" spans="1:26" ht="12.75" customHeight="1" x14ac:dyDescent="0.2">
      <c r="A969" s="8"/>
      <c r="B969" s="8"/>
      <c r="C969" s="197"/>
      <c r="D969" s="8"/>
      <c r="E969" s="197"/>
      <c r="F969" s="197"/>
      <c r="G969" s="197"/>
      <c r="H969" s="197"/>
      <c r="I969" s="197"/>
      <c r="J969" s="8"/>
      <c r="K969" s="197"/>
      <c r="L969" s="8"/>
      <c r="M969" s="197"/>
      <c r="N969" s="197"/>
      <c r="O969" s="197"/>
      <c r="P969" s="197"/>
      <c r="Q969" s="197"/>
      <c r="R969" s="197"/>
      <c r="S969" s="197"/>
      <c r="T969" s="13"/>
      <c r="U969" s="13"/>
      <c r="V969" s="13"/>
      <c r="W969" s="13"/>
      <c r="X969" s="13"/>
      <c r="Y969" s="13"/>
      <c r="Z969" s="13"/>
    </row>
    <row r="970" spans="1:26" ht="12.75" customHeight="1" x14ac:dyDescent="0.2">
      <c r="A970" s="8"/>
      <c r="B970" s="8"/>
      <c r="C970" s="197"/>
      <c r="D970" s="8"/>
      <c r="E970" s="197"/>
      <c r="F970" s="197"/>
      <c r="G970" s="197"/>
      <c r="H970" s="197"/>
      <c r="I970" s="197"/>
      <c r="J970" s="8"/>
      <c r="K970" s="197"/>
      <c r="L970" s="8"/>
      <c r="M970" s="197"/>
      <c r="N970" s="197"/>
      <c r="O970" s="197"/>
      <c r="P970" s="197"/>
      <c r="Q970" s="197"/>
      <c r="R970" s="197"/>
      <c r="S970" s="197"/>
      <c r="T970" s="13"/>
      <c r="U970" s="13"/>
      <c r="V970" s="13"/>
      <c r="W970" s="13"/>
      <c r="X970" s="13"/>
      <c r="Y970" s="13"/>
      <c r="Z970" s="13"/>
    </row>
    <row r="971" spans="1:26" ht="12.75" customHeight="1" x14ac:dyDescent="0.2">
      <c r="A971" s="8"/>
      <c r="B971" s="8"/>
      <c r="C971" s="197"/>
      <c r="D971" s="8"/>
      <c r="E971" s="197"/>
      <c r="F971" s="197"/>
      <c r="G971" s="197"/>
      <c r="H971" s="197"/>
      <c r="I971" s="197"/>
      <c r="J971" s="8"/>
      <c r="K971" s="197"/>
      <c r="L971" s="8"/>
      <c r="M971" s="197"/>
      <c r="N971" s="197"/>
      <c r="O971" s="197"/>
      <c r="P971" s="197"/>
      <c r="Q971" s="197"/>
      <c r="R971" s="197"/>
      <c r="S971" s="197"/>
      <c r="T971" s="13"/>
      <c r="U971" s="13"/>
      <c r="V971" s="13"/>
      <c r="W971" s="13"/>
      <c r="X971" s="13"/>
      <c r="Y971" s="13"/>
      <c r="Z971" s="13"/>
    </row>
    <row r="972" spans="1:26" ht="12.75" customHeight="1" x14ac:dyDescent="0.2">
      <c r="A972" s="8"/>
      <c r="B972" s="8"/>
      <c r="C972" s="197"/>
      <c r="D972" s="8"/>
      <c r="E972" s="197"/>
      <c r="F972" s="197"/>
      <c r="G972" s="197"/>
      <c r="H972" s="197"/>
      <c r="I972" s="197"/>
      <c r="J972" s="8"/>
      <c r="K972" s="197"/>
      <c r="L972" s="8"/>
      <c r="M972" s="197"/>
      <c r="N972" s="197"/>
      <c r="O972" s="197"/>
      <c r="P972" s="197"/>
      <c r="Q972" s="197"/>
      <c r="R972" s="197"/>
      <c r="S972" s="197"/>
      <c r="T972" s="13"/>
      <c r="U972" s="13"/>
      <c r="V972" s="13"/>
      <c r="W972" s="13"/>
      <c r="X972" s="13"/>
      <c r="Y972" s="13"/>
      <c r="Z972" s="13"/>
    </row>
    <row r="973" spans="1:26" ht="12.75" customHeight="1" x14ac:dyDescent="0.2">
      <c r="A973" s="8"/>
      <c r="B973" s="8"/>
      <c r="C973" s="197"/>
      <c r="D973" s="8"/>
      <c r="E973" s="197"/>
      <c r="F973" s="197"/>
      <c r="G973" s="197"/>
      <c r="H973" s="197"/>
      <c r="I973" s="197"/>
      <c r="J973" s="8"/>
      <c r="K973" s="197"/>
      <c r="L973" s="8"/>
      <c r="M973" s="197"/>
      <c r="N973" s="197"/>
      <c r="O973" s="197"/>
      <c r="P973" s="197"/>
      <c r="Q973" s="197"/>
      <c r="R973" s="197"/>
      <c r="S973" s="197"/>
      <c r="T973" s="13"/>
      <c r="U973" s="13"/>
      <c r="V973" s="13"/>
      <c r="W973" s="13"/>
      <c r="X973" s="13"/>
      <c r="Y973" s="13"/>
      <c r="Z973" s="13"/>
    </row>
    <row r="974" spans="1:26" ht="12.75" customHeight="1" x14ac:dyDescent="0.2">
      <c r="A974" s="8"/>
      <c r="B974" s="8"/>
      <c r="C974" s="197"/>
      <c r="D974" s="8"/>
      <c r="E974" s="197"/>
      <c r="F974" s="197"/>
      <c r="G974" s="197"/>
      <c r="H974" s="197"/>
      <c r="I974" s="197"/>
      <c r="J974" s="8"/>
      <c r="K974" s="197"/>
      <c r="L974" s="8"/>
      <c r="M974" s="197"/>
      <c r="N974" s="197"/>
      <c r="O974" s="197"/>
      <c r="P974" s="197"/>
      <c r="Q974" s="197"/>
      <c r="R974" s="197"/>
      <c r="S974" s="197"/>
      <c r="T974" s="13"/>
      <c r="U974" s="13"/>
      <c r="V974" s="13"/>
      <c r="W974" s="13"/>
      <c r="X974" s="13"/>
      <c r="Y974" s="13"/>
      <c r="Z974" s="13"/>
    </row>
    <row r="975" spans="1:26" ht="12.75" customHeight="1" x14ac:dyDescent="0.2">
      <c r="A975" s="8"/>
      <c r="B975" s="8"/>
      <c r="C975" s="197"/>
      <c r="D975" s="8"/>
      <c r="E975" s="197"/>
      <c r="F975" s="197"/>
      <c r="G975" s="197"/>
      <c r="H975" s="197"/>
      <c r="I975" s="197"/>
      <c r="J975" s="8"/>
      <c r="K975" s="197"/>
      <c r="L975" s="8"/>
      <c r="M975" s="197"/>
      <c r="N975" s="197"/>
      <c r="O975" s="197"/>
      <c r="P975" s="197"/>
      <c r="Q975" s="197"/>
      <c r="R975" s="197"/>
      <c r="S975" s="197"/>
      <c r="T975" s="13"/>
      <c r="U975" s="13"/>
      <c r="V975" s="13"/>
      <c r="W975" s="13"/>
      <c r="X975" s="13"/>
      <c r="Y975" s="13"/>
      <c r="Z975" s="13"/>
    </row>
    <row r="976" spans="1:26" ht="12.75" customHeight="1" x14ac:dyDescent="0.2">
      <c r="A976" s="8"/>
      <c r="B976" s="8"/>
      <c r="C976" s="197"/>
      <c r="D976" s="8"/>
      <c r="E976" s="197"/>
      <c r="F976" s="197"/>
      <c r="G976" s="197"/>
      <c r="H976" s="197"/>
      <c r="I976" s="197"/>
      <c r="J976" s="8"/>
      <c r="K976" s="197"/>
      <c r="L976" s="8"/>
      <c r="M976" s="197"/>
      <c r="N976" s="197"/>
      <c r="O976" s="197"/>
      <c r="P976" s="197"/>
      <c r="Q976" s="197"/>
      <c r="R976" s="197"/>
      <c r="S976" s="197"/>
      <c r="T976" s="13"/>
      <c r="U976" s="13"/>
      <c r="V976" s="13"/>
      <c r="W976" s="13"/>
      <c r="X976" s="13"/>
      <c r="Y976" s="13"/>
      <c r="Z976" s="13"/>
    </row>
    <row r="977" spans="1:26" ht="12.75" customHeight="1" x14ac:dyDescent="0.2">
      <c r="A977" s="8"/>
      <c r="B977" s="8"/>
      <c r="C977" s="197"/>
      <c r="D977" s="8"/>
      <c r="E977" s="197"/>
      <c r="F977" s="197"/>
      <c r="G977" s="197"/>
      <c r="H977" s="197"/>
      <c r="I977" s="197"/>
      <c r="J977" s="8"/>
      <c r="K977" s="197"/>
      <c r="L977" s="8"/>
      <c r="M977" s="197"/>
      <c r="N977" s="197"/>
      <c r="O977" s="197"/>
      <c r="P977" s="197"/>
      <c r="Q977" s="197"/>
      <c r="R977" s="197"/>
      <c r="S977" s="197"/>
      <c r="T977" s="13"/>
      <c r="U977" s="13"/>
      <c r="V977" s="13"/>
      <c r="W977" s="13"/>
      <c r="X977" s="13"/>
      <c r="Y977" s="13"/>
      <c r="Z977" s="13"/>
    </row>
    <row r="978" spans="1:26" ht="12.75" customHeight="1" x14ac:dyDescent="0.2">
      <c r="A978" s="8"/>
      <c r="B978" s="8"/>
      <c r="C978" s="197"/>
      <c r="D978" s="8"/>
      <c r="E978" s="197"/>
      <c r="F978" s="197"/>
      <c r="G978" s="197"/>
      <c r="H978" s="197"/>
      <c r="I978" s="197"/>
      <c r="J978" s="8"/>
      <c r="K978" s="197"/>
      <c r="L978" s="8"/>
      <c r="M978" s="197"/>
      <c r="N978" s="197"/>
      <c r="O978" s="197"/>
      <c r="P978" s="197"/>
      <c r="Q978" s="197"/>
      <c r="R978" s="197"/>
      <c r="S978" s="197"/>
      <c r="T978" s="13"/>
      <c r="U978" s="13"/>
      <c r="V978" s="13"/>
      <c r="W978" s="13"/>
      <c r="X978" s="13"/>
      <c r="Y978" s="13"/>
      <c r="Z978" s="13"/>
    </row>
    <row r="979" spans="1:26" ht="12.75" customHeight="1" x14ac:dyDescent="0.2">
      <c r="A979" s="8"/>
      <c r="B979" s="8"/>
      <c r="C979" s="197"/>
      <c r="D979" s="8"/>
      <c r="E979" s="197"/>
      <c r="F979" s="197"/>
      <c r="G979" s="197"/>
      <c r="H979" s="197"/>
      <c r="I979" s="197"/>
      <c r="J979" s="8"/>
      <c r="K979" s="197"/>
      <c r="L979" s="8"/>
      <c r="M979" s="197"/>
      <c r="N979" s="197"/>
      <c r="O979" s="197"/>
      <c r="P979" s="197"/>
      <c r="Q979" s="197"/>
      <c r="R979" s="197"/>
      <c r="S979" s="197"/>
      <c r="T979" s="13"/>
      <c r="U979" s="13"/>
      <c r="V979" s="13"/>
      <c r="W979" s="13"/>
      <c r="X979" s="13"/>
      <c r="Y979" s="13"/>
      <c r="Z979" s="13"/>
    </row>
    <row r="980" spans="1:26" ht="12.75" customHeight="1" x14ac:dyDescent="0.2">
      <c r="A980" s="8"/>
      <c r="B980" s="8"/>
      <c r="C980" s="197"/>
      <c r="D980" s="8"/>
      <c r="E980" s="197"/>
      <c r="F980" s="197"/>
      <c r="G980" s="197"/>
      <c r="H980" s="197"/>
      <c r="I980" s="197"/>
      <c r="J980" s="8"/>
      <c r="K980" s="197"/>
      <c r="L980" s="8"/>
      <c r="M980" s="197"/>
      <c r="N980" s="197"/>
      <c r="O980" s="197"/>
      <c r="P980" s="197"/>
      <c r="Q980" s="197"/>
      <c r="R980" s="197"/>
      <c r="S980" s="197"/>
      <c r="T980" s="13"/>
      <c r="U980" s="13"/>
      <c r="V980" s="13"/>
      <c r="W980" s="13"/>
      <c r="X980" s="13"/>
      <c r="Y980" s="13"/>
      <c r="Z980" s="13"/>
    </row>
    <row r="981" spans="1:26" ht="12.75" customHeight="1" x14ac:dyDescent="0.2">
      <c r="A981" s="8"/>
      <c r="B981" s="8"/>
      <c r="C981" s="197"/>
      <c r="D981" s="8"/>
      <c r="E981" s="197"/>
      <c r="F981" s="197"/>
      <c r="G981" s="197"/>
      <c r="H981" s="197"/>
      <c r="I981" s="197"/>
      <c r="J981" s="8"/>
      <c r="K981" s="197"/>
      <c r="L981" s="8"/>
      <c r="M981" s="197"/>
      <c r="N981" s="197"/>
      <c r="O981" s="197"/>
      <c r="P981" s="197"/>
      <c r="Q981" s="197"/>
      <c r="R981" s="197"/>
      <c r="S981" s="197"/>
      <c r="T981" s="13"/>
      <c r="U981" s="13"/>
      <c r="V981" s="13"/>
      <c r="W981" s="13"/>
      <c r="X981" s="13"/>
      <c r="Y981" s="13"/>
      <c r="Z981" s="13"/>
    </row>
    <row r="982" spans="1:26" ht="12.75" customHeight="1" x14ac:dyDescent="0.2">
      <c r="A982" s="8"/>
      <c r="B982" s="8"/>
      <c r="C982" s="197"/>
      <c r="D982" s="8"/>
      <c r="E982" s="197"/>
      <c r="F982" s="197"/>
      <c r="G982" s="197"/>
      <c r="H982" s="197"/>
      <c r="I982" s="197"/>
      <c r="J982" s="8"/>
      <c r="K982" s="197"/>
      <c r="L982" s="8"/>
      <c r="M982" s="197"/>
      <c r="N982" s="197"/>
      <c r="O982" s="197"/>
      <c r="P982" s="197"/>
      <c r="Q982" s="197"/>
      <c r="R982" s="197"/>
      <c r="S982" s="197"/>
      <c r="T982" s="13"/>
      <c r="U982" s="13"/>
      <c r="V982" s="13"/>
      <c r="W982" s="13"/>
      <c r="X982" s="13"/>
      <c r="Y982" s="13"/>
      <c r="Z982" s="13"/>
    </row>
    <row r="983" spans="1:26" ht="12.75" customHeight="1" x14ac:dyDescent="0.2">
      <c r="A983" s="8"/>
      <c r="B983" s="8"/>
      <c r="C983" s="197"/>
      <c r="D983" s="8"/>
      <c r="E983" s="197"/>
      <c r="F983" s="197"/>
      <c r="G983" s="197"/>
      <c r="H983" s="197"/>
      <c r="I983" s="197"/>
      <c r="J983" s="8"/>
      <c r="K983" s="197"/>
      <c r="L983" s="8"/>
      <c r="M983" s="197"/>
      <c r="N983" s="197"/>
      <c r="O983" s="197"/>
      <c r="P983" s="197"/>
      <c r="Q983" s="197"/>
      <c r="R983" s="197"/>
      <c r="S983" s="197"/>
      <c r="T983" s="13"/>
      <c r="U983" s="13"/>
      <c r="V983" s="13"/>
      <c r="W983" s="13"/>
      <c r="X983" s="13"/>
      <c r="Y983" s="13"/>
      <c r="Z983" s="13"/>
    </row>
    <row r="984" spans="1:26" ht="12.75" customHeight="1" x14ac:dyDescent="0.2">
      <c r="A984" s="8"/>
      <c r="B984" s="8"/>
      <c r="C984" s="197"/>
      <c r="D984" s="8"/>
      <c r="E984" s="197"/>
      <c r="F984" s="197"/>
      <c r="G984" s="197"/>
      <c r="H984" s="197"/>
      <c r="I984" s="197"/>
      <c r="J984" s="8"/>
      <c r="K984" s="197"/>
      <c r="L984" s="8"/>
      <c r="M984" s="197"/>
      <c r="N984" s="197"/>
      <c r="O984" s="197"/>
      <c r="P984" s="197"/>
      <c r="Q984" s="197"/>
      <c r="R984" s="197"/>
      <c r="S984" s="197"/>
      <c r="T984" s="13"/>
      <c r="U984" s="13"/>
      <c r="V984" s="13"/>
      <c r="W984" s="13"/>
      <c r="X984" s="13"/>
      <c r="Y984" s="13"/>
      <c r="Z984" s="13"/>
    </row>
    <row r="985" spans="1:26" ht="12.75" customHeight="1" x14ac:dyDescent="0.2">
      <c r="A985" s="8"/>
      <c r="B985" s="8"/>
      <c r="C985" s="197"/>
      <c r="D985" s="8"/>
      <c r="E985" s="197"/>
      <c r="F985" s="197"/>
      <c r="G985" s="197"/>
      <c r="H985" s="197"/>
      <c r="I985" s="197"/>
      <c r="J985" s="8"/>
      <c r="K985" s="197"/>
      <c r="L985" s="8"/>
      <c r="M985" s="197"/>
      <c r="N985" s="197"/>
      <c r="O985" s="197"/>
      <c r="P985" s="197"/>
      <c r="Q985" s="197"/>
      <c r="R985" s="197"/>
      <c r="S985" s="197"/>
      <c r="T985" s="13"/>
      <c r="U985" s="13"/>
      <c r="V985" s="13"/>
      <c r="W985" s="13"/>
      <c r="X985" s="13"/>
      <c r="Y985" s="13"/>
      <c r="Z985" s="13"/>
    </row>
    <row r="986" spans="1:26" ht="12.75" customHeight="1" x14ac:dyDescent="0.2">
      <c r="A986" s="8"/>
      <c r="B986" s="8"/>
      <c r="C986" s="197"/>
      <c r="D986" s="8"/>
      <c r="E986" s="197"/>
      <c r="F986" s="197"/>
      <c r="G986" s="197"/>
      <c r="H986" s="197"/>
      <c r="I986" s="197"/>
      <c r="J986" s="8"/>
      <c r="K986" s="197"/>
      <c r="L986" s="8"/>
      <c r="M986" s="197"/>
      <c r="N986" s="197"/>
      <c r="O986" s="197"/>
      <c r="P986" s="197"/>
      <c r="Q986" s="197"/>
      <c r="R986" s="197"/>
      <c r="S986" s="197"/>
      <c r="T986" s="13"/>
      <c r="U986" s="13"/>
      <c r="V986" s="13"/>
      <c r="W986" s="13"/>
      <c r="X986" s="13"/>
      <c r="Y986" s="13"/>
      <c r="Z986" s="13"/>
    </row>
    <row r="987" spans="1:26" ht="12.75" customHeight="1" x14ac:dyDescent="0.2">
      <c r="A987" s="8"/>
      <c r="B987" s="8"/>
      <c r="C987" s="197"/>
      <c r="D987" s="8"/>
      <c r="E987" s="197"/>
      <c r="F987" s="197"/>
      <c r="G987" s="197"/>
      <c r="H987" s="197"/>
      <c r="I987" s="197"/>
      <c r="J987" s="8"/>
      <c r="K987" s="197"/>
      <c r="L987" s="8"/>
      <c r="M987" s="197"/>
      <c r="N987" s="197"/>
      <c r="O987" s="197"/>
      <c r="P987" s="197"/>
      <c r="Q987" s="197"/>
      <c r="R987" s="197"/>
      <c r="S987" s="197"/>
      <c r="T987" s="13"/>
      <c r="U987" s="13"/>
      <c r="V987" s="13"/>
      <c r="W987" s="13"/>
      <c r="X987" s="13"/>
      <c r="Y987" s="13"/>
      <c r="Z987" s="13"/>
    </row>
    <row r="988" spans="1:26" ht="12.75" customHeight="1" x14ac:dyDescent="0.2">
      <c r="A988" s="8"/>
      <c r="B988" s="8"/>
      <c r="C988" s="197"/>
      <c r="D988" s="8"/>
      <c r="E988" s="197"/>
      <c r="F988" s="197"/>
      <c r="G988" s="197"/>
      <c r="H988" s="197"/>
      <c r="I988" s="197"/>
      <c r="J988" s="8"/>
      <c r="K988" s="197"/>
      <c r="L988" s="8"/>
      <c r="M988" s="197"/>
      <c r="N988" s="197"/>
      <c r="O988" s="197"/>
      <c r="P988" s="197"/>
      <c r="Q988" s="197"/>
      <c r="R988" s="197"/>
      <c r="S988" s="197"/>
      <c r="T988" s="13"/>
      <c r="U988" s="13"/>
      <c r="V988" s="13"/>
      <c r="W988" s="13"/>
      <c r="X988" s="13"/>
      <c r="Y988" s="13"/>
      <c r="Z988" s="13"/>
    </row>
    <row r="989" spans="1:26" ht="12.75" customHeight="1" x14ac:dyDescent="0.2">
      <c r="A989" s="8"/>
      <c r="B989" s="8"/>
      <c r="C989" s="197"/>
      <c r="D989" s="8"/>
      <c r="E989" s="197"/>
      <c r="F989" s="197"/>
      <c r="G989" s="197"/>
      <c r="H989" s="197"/>
      <c r="I989" s="197"/>
      <c r="J989" s="8"/>
      <c r="K989" s="197"/>
      <c r="L989" s="8"/>
      <c r="M989" s="197"/>
      <c r="N989" s="197"/>
      <c r="O989" s="197"/>
      <c r="P989" s="197"/>
      <c r="Q989" s="197"/>
      <c r="R989" s="197"/>
      <c r="S989" s="197"/>
      <c r="T989" s="13"/>
      <c r="U989" s="13"/>
      <c r="V989" s="13"/>
      <c r="W989" s="13"/>
      <c r="X989" s="13"/>
      <c r="Y989" s="13"/>
      <c r="Z989" s="13"/>
    </row>
    <row r="990" spans="1:26" ht="12.75" customHeight="1" x14ac:dyDescent="0.2">
      <c r="A990" s="8"/>
      <c r="B990" s="8"/>
      <c r="C990" s="197"/>
      <c r="D990" s="8"/>
      <c r="E990" s="197"/>
      <c r="F990" s="197"/>
      <c r="G990" s="197"/>
      <c r="H990" s="197"/>
      <c r="I990" s="197"/>
      <c r="J990" s="8"/>
      <c r="K990" s="197"/>
      <c r="L990" s="8"/>
      <c r="M990" s="197"/>
      <c r="N990" s="197"/>
      <c r="O990" s="197"/>
      <c r="P990" s="197"/>
      <c r="Q990" s="197"/>
      <c r="R990" s="197"/>
      <c r="S990" s="197"/>
      <c r="T990" s="13"/>
      <c r="U990" s="13"/>
      <c r="V990" s="13"/>
      <c r="W990" s="13"/>
      <c r="X990" s="13"/>
      <c r="Y990" s="13"/>
      <c r="Z990" s="13"/>
    </row>
    <row r="991" spans="1:26" ht="12.75" customHeight="1" x14ac:dyDescent="0.2">
      <c r="A991" s="8"/>
      <c r="B991" s="8"/>
      <c r="C991" s="197"/>
      <c r="D991" s="8"/>
      <c r="E991" s="197"/>
      <c r="F991" s="197"/>
      <c r="G991" s="197"/>
      <c r="H991" s="197"/>
      <c r="I991" s="197"/>
      <c r="J991" s="8"/>
      <c r="K991" s="197"/>
      <c r="L991" s="8"/>
      <c r="M991" s="197"/>
      <c r="N991" s="197"/>
      <c r="O991" s="197"/>
      <c r="P991" s="197"/>
      <c r="Q991" s="197"/>
      <c r="R991" s="197"/>
      <c r="S991" s="197"/>
      <c r="T991" s="13"/>
      <c r="U991" s="13"/>
      <c r="V991" s="13"/>
      <c r="W991" s="13"/>
      <c r="X991" s="13"/>
      <c r="Y991" s="13"/>
      <c r="Z991" s="13"/>
    </row>
    <row r="992" spans="1:26" ht="12.75" customHeight="1" x14ac:dyDescent="0.2">
      <c r="A992" s="8"/>
      <c r="B992" s="8"/>
      <c r="C992" s="197"/>
      <c r="D992" s="8"/>
      <c r="E992" s="197"/>
      <c r="F992" s="197"/>
      <c r="G992" s="197"/>
      <c r="H992" s="197"/>
      <c r="I992" s="197"/>
      <c r="J992" s="8"/>
      <c r="K992" s="197"/>
      <c r="L992" s="8"/>
      <c r="M992" s="197"/>
      <c r="N992" s="197"/>
      <c r="O992" s="197"/>
      <c r="P992" s="197"/>
      <c r="Q992" s="197"/>
      <c r="R992" s="197"/>
      <c r="S992" s="197"/>
      <c r="T992" s="13"/>
      <c r="U992" s="13"/>
      <c r="V992" s="13"/>
      <c r="W992" s="13"/>
      <c r="X992" s="13"/>
      <c r="Y992" s="13"/>
      <c r="Z992" s="13"/>
    </row>
    <row r="993" spans="1:26" ht="12.75" customHeight="1" x14ac:dyDescent="0.2">
      <c r="A993" s="8"/>
      <c r="B993" s="8"/>
      <c r="C993" s="197"/>
      <c r="D993" s="8"/>
      <c r="E993" s="197"/>
      <c r="F993" s="197"/>
      <c r="G993" s="197"/>
      <c r="H993" s="197"/>
      <c r="I993" s="197"/>
      <c r="J993" s="8"/>
      <c r="K993" s="197"/>
      <c r="L993" s="8"/>
      <c r="M993" s="197"/>
      <c r="N993" s="197"/>
      <c r="O993" s="197"/>
      <c r="P993" s="197"/>
      <c r="Q993" s="197"/>
      <c r="R993" s="197"/>
      <c r="S993" s="197"/>
      <c r="T993" s="13"/>
      <c r="U993" s="13"/>
      <c r="V993" s="13"/>
      <c r="W993" s="13"/>
      <c r="X993" s="13"/>
      <c r="Y993" s="13"/>
      <c r="Z993" s="13"/>
    </row>
    <row r="994" spans="1:26" ht="12.75" customHeight="1" x14ac:dyDescent="0.2">
      <c r="A994" s="8"/>
      <c r="B994" s="8"/>
      <c r="C994" s="197"/>
      <c r="D994" s="8"/>
      <c r="E994" s="197"/>
      <c r="F994" s="197"/>
      <c r="G994" s="197"/>
      <c r="H994" s="197"/>
      <c r="I994" s="197"/>
      <c r="J994" s="8"/>
      <c r="K994" s="197"/>
      <c r="L994" s="8"/>
      <c r="M994" s="197"/>
      <c r="N994" s="197"/>
      <c r="O994" s="197"/>
      <c r="P994" s="197"/>
      <c r="Q994" s="197"/>
      <c r="R994" s="197"/>
      <c r="S994" s="197"/>
      <c r="T994" s="13"/>
      <c r="U994" s="13"/>
      <c r="V994" s="13"/>
      <c r="W994" s="13"/>
      <c r="X994" s="13"/>
      <c r="Y994" s="13"/>
      <c r="Z994" s="13"/>
    </row>
    <row r="995" spans="1:26" ht="12.75" customHeight="1" x14ac:dyDescent="0.2">
      <c r="A995" s="8"/>
      <c r="B995" s="8"/>
      <c r="C995" s="197"/>
      <c r="D995" s="8"/>
      <c r="E995" s="197"/>
      <c r="F995" s="197"/>
      <c r="G995" s="197"/>
      <c r="H995" s="197"/>
      <c r="I995" s="197"/>
      <c r="J995" s="8"/>
      <c r="K995" s="197"/>
      <c r="L995" s="8"/>
      <c r="M995" s="197"/>
      <c r="N995" s="197"/>
      <c r="O995" s="197"/>
      <c r="P995" s="197"/>
      <c r="Q995" s="197"/>
      <c r="R995" s="197"/>
      <c r="S995" s="197"/>
      <c r="T995" s="13"/>
      <c r="U995" s="13"/>
      <c r="V995" s="13"/>
      <c r="W995" s="13"/>
      <c r="X995" s="13"/>
      <c r="Y995" s="13"/>
      <c r="Z995" s="13"/>
    </row>
    <row r="996" spans="1:26" ht="12.75" customHeight="1" x14ac:dyDescent="0.2">
      <c r="A996" s="8"/>
      <c r="B996" s="8"/>
      <c r="C996" s="197"/>
      <c r="D996" s="8"/>
      <c r="E996" s="197"/>
      <c r="F996" s="197"/>
      <c r="G996" s="197"/>
      <c r="H996" s="197"/>
      <c r="I996" s="197"/>
      <c r="J996" s="8"/>
      <c r="K996" s="197"/>
      <c r="L996" s="8"/>
      <c r="M996" s="197"/>
      <c r="N996" s="197"/>
      <c r="O996" s="197"/>
      <c r="P996" s="197"/>
      <c r="Q996" s="197"/>
      <c r="R996" s="197"/>
      <c r="S996" s="197"/>
      <c r="T996" s="13"/>
      <c r="U996" s="13"/>
      <c r="V996" s="13"/>
      <c r="W996" s="13"/>
      <c r="X996" s="13"/>
      <c r="Y996" s="13"/>
      <c r="Z996" s="13"/>
    </row>
    <row r="997" spans="1:26" ht="12.75" customHeight="1" x14ac:dyDescent="0.2">
      <c r="A997" s="8"/>
      <c r="B997" s="8"/>
      <c r="C997" s="197"/>
      <c r="D997" s="8"/>
      <c r="E997" s="197"/>
      <c r="F997" s="197"/>
      <c r="G997" s="197"/>
      <c r="H997" s="197"/>
      <c r="I997" s="197"/>
      <c r="J997" s="8"/>
      <c r="K997" s="197"/>
      <c r="L997" s="8"/>
      <c r="M997" s="197"/>
      <c r="N997" s="197"/>
      <c r="O997" s="197"/>
      <c r="P997" s="197"/>
      <c r="Q997" s="197"/>
      <c r="R997" s="197"/>
      <c r="S997" s="197"/>
      <c r="T997" s="13"/>
      <c r="U997" s="13"/>
      <c r="V997" s="13"/>
      <c r="W997" s="13"/>
      <c r="X997" s="13"/>
      <c r="Y997" s="13"/>
      <c r="Z997" s="13"/>
    </row>
    <row r="998" spans="1:26" ht="12.75" customHeight="1" x14ac:dyDescent="0.2">
      <c r="A998" s="8"/>
      <c r="B998" s="8"/>
      <c r="C998" s="197"/>
      <c r="D998" s="8"/>
      <c r="E998" s="197"/>
      <c r="F998" s="197"/>
      <c r="G998" s="197"/>
      <c r="H998" s="197"/>
      <c r="I998" s="197"/>
      <c r="J998" s="8"/>
      <c r="K998" s="197"/>
      <c r="L998" s="8"/>
      <c r="M998" s="197"/>
      <c r="N998" s="197"/>
      <c r="O998" s="197"/>
      <c r="P998" s="197"/>
      <c r="Q998" s="197"/>
      <c r="R998" s="197"/>
      <c r="S998" s="197"/>
      <c r="T998" s="13"/>
      <c r="U998" s="13"/>
      <c r="V998" s="13"/>
      <c r="W998" s="13"/>
      <c r="X998" s="13"/>
      <c r="Y998" s="13"/>
      <c r="Z998" s="13"/>
    </row>
    <row r="999" spans="1:26" ht="12.75" customHeight="1" x14ac:dyDescent="0.2">
      <c r="A999" s="8"/>
      <c r="B999" s="8"/>
      <c r="C999" s="197"/>
      <c r="D999" s="8"/>
      <c r="E999" s="197"/>
      <c r="F999" s="197"/>
      <c r="G999" s="197"/>
      <c r="H999" s="197"/>
      <c r="I999" s="197"/>
      <c r="J999" s="8"/>
      <c r="K999" s="197"/>
      <c r="L999" s="8"/>
      <c r="M999" s="197"/>
      <c r="N999" s="197"/>
      <c r="O999" s="197"/>
      <c r="P999" s="197"/>
      <c r="Q999" s="197"/>
      <c r="R999" s="197"/>
      <c r="S999" s="197"/>
      <c r="T999" s="13"/>
      <c r="U999" s="13"/>
      <c r="V999" s="13"/>
      <c r="W999" s="13"/>
      <c r="X999" s="13"/>
      <c r="Y999" s="13"/>
      <c r="Z999" s="13"/>
    </row>
    <row r="1000" spans="1:26" ht="12.75" customHeight="1" x14ac:dyDescent="0.2">
      <c r="A1000" s="8"/>
      <c r="B1000" s="8"/>
      <c r="C1000" s="197"/>
      <c r="D1000" s="8"/>
      <c r="E1000" s="197"/>
      <c r="F1000" s="197"/>
      <c r="G1000" s="197"/>
      <c r="H1000" s="197"/>
      <c r="I1000" s="197"/>
      <c r="J1000" s="8"/>
      <c r="K1000" s="197"/>
      <c r="L1000" s="8"/>
      <c r="M1000" s="197"/>
      <c r="N1000" s="197"/>
      <c r="O1000" s="197"/>
      <c r="P1000" s="197"/>
      <c r="Q1000" s="197"/>
      <c r="R1000" s="197"/>
      <c r="S1000" s="197"/>
      <c r="T1000" s="13"/>
      <c r="U1000" s="13"/>
      <c r="V1000" s="13"/>
      <c r="W1000" s="13"/>
      <c r="X1000" s="13"/>
      <c r="Y1000" s="13"/>
      <c r="Z1000" s="13"/>
    </row>
    <row r="1001" spans="1:26" ht="12.75" customHeight="1" x14ac:dyDescent="0.2">
      <c r="A1001" s="8"/>
      <c r="B1001" s="8"/>
      <c r="C1001" s="197"/>
      <c r="D1001" s="8"/>
      <c r="E1001" s="197"/>
      <c r="F1001" s="197"/>
      <c r="G1001" s="197"/>
      <c r="H1001" s="197"/>
      <c r="I1001" s="197"/>
      <c r="J1001" s="8"/>
      <c r="K1001" s="197"/>
      <c r="L1001" s="8"/>
      <c r="M1001" s="197"/>
      <c r="N1001" s="197"/>
      <c r="O1001" s="197"/>
      <c r="P1001" s="197"/>
      <c r="Q1001" s="197"/>
      <c r="R1001" s="197"/>
      <c r="S1001" s="197"/>
      <c r="T1001" s="13"/>
      <c r="U1001" s="13"/>
      <c r="V1001" s="13"/>
      <c r="W1001" s="13"/>
      <c r="X1001" s="13"/>
      <c r="Y1001" s="13"/>
      <c r="Z1001" s="13"/>
    </row>
    <row r="1002" spans="1:26" ht="12.75" customHeight="1" x14ac:dyDescent="0.2">
      <c r="A1002" s="8"/>
      <c r="B1002" s="8"/>
      <c r="C1002" s="197"/>
      <c r="D1002" s="8"/>
      <c r="E1002" s="197"/>
      <c r="F1002" s="197"/>
      <c r="G1002" s="197"/>
      <c r="H1002" s="197"/>
      <c r="I1002" s="197"/>
      <c r="J1002" s="8"/>
      <c r="K1002" s="197"/>
      <c r="L1002" s="8"/>
      <c r="M1002" s="197"/>
      <c r="N1002" s="197"/>
      <c r="O1002" s="197"/>
      <c r="P1002" s="197"/>
      <c r="Q1002" s="197"/>
      <c r="R1002" s="197"/>
      <c r="S1002" s="197"/>
      <c r="T1002" s="13"/>
      <c r="U1002" s="13"/>
      <c r="V1002" s="13"/>
      <c r="W1002" s="13"/>
      <c r="X1002" s="13"/>
      <c r="Y1002" s="13"/>
      <c r="Z1002" s="13"/>
    </row>
    <row r="1003" spans="1:26" ht="12.75" customHeight="1" x14ac:dyDescent="0.2">
      <c r="A1003" s="8"/>
      <c r="B1003" s="8"/>
      <c r="C1003" s="197"/>
      <c r="D1003" s="8"/>
      <c r="E1003" s="197"/>
      <c r="F1003" s="197"/>
      <c r="G1003" s="197"/>
      <c r="H1003" s="197"/>
      <c r="I1003" s="197"/>
      <c r="J1003" s="8"/>
      <c r="K1003" s="197"/>
      <c r="L1003" s="8"/>
      <c r="M1003" s="197"/>
      <c r="N1003" s="197"/>
      <c r="O1003" s="197"/>
      <c r="P1003" s="197"/>
      <c r="Q1003" s="197"/>
      <c r="R1003" s="197"/>
      <c r="S1003" s="197"/>
      <c r="T1003" s="13"/>
      <c r="U1003" s="13"/>
      <c r="V1003" s="13"/>
      <c r="W1003" s="13"/>
      <c r="X1003" s="13"/>
      <c r="Y1003" s="13"/>
      <c r="Z1003" s="13"/>
    </row>
    <row r="1004" spans="1:26" ht="12.75" customHeight="1" x14ac:dyDescent="0.2">
      <c r="A1004" s="8"/>
      <c r="B1004" s="8"/>
      <c r="C1004" s="197"/>
      <c r="D1004" s="8"/>
      <c r="E1004" s="197"/>
      <c r="F1004" s="197"/>
      <c r="G1004" s="197"/>
      <c r="H1004" s="197"/>
      <c r="I1004" s="197"/>
      <c r="J1004" s="8"/>
      <c r="K1004" s="197"/>
      <c r="L1004" s="8"/>
      <c r="M1004" s="197"/>
      <c r="N1004" s="197"/>
      <c r="O1004" s="197"/>
      <c r="P1004" s="197"/>
      <c r="Q1004" s="197"/>
      <c r="R1004" s="197"/>
      <c r="S1004" s="197"/>
      <c r="T1004" s="13"/>
      <c r="U1004" s="13"/>
      <c r="V1004" s="13"/>
      <c r="W1004" s="13"/>
      <c r="X1004" s="13"/>
      <c r="Y1004" s="13"/>
      <c r="Z1004" s="13"/>
    </row>
    <row r="1005" spans="1:26" ht="12.75" customHeight="1" x14ac:dyDescent="0.2">
      <c r="A1005" s="8"/>
      <c r="B1005" s="8"/>
      <c r="C1005" s="197"/>
      <c r="D1005" s="8"/>
      <c r="E1005" s="197"/>
      <c r="F1005" s="197"/>
      <c r="G1005" s="197"/>
      <c r="H1005" s="197"/>
      <c r="I1005" s="197"/>
      <c r="J1005" s="8"/>
      <c r="K1005" s="197"/>
      <c r="L1005" s="8"/>
      <c r="M1005" s="197"/>
      <c r="N1005" s="197"/>
      <c r="O1005" s="197"/>
      <c r="P1005" s="197"/>
      <c r="Q1005" s="197"/>
      <c r="R1005" s="197"/>
      <c r="S1005" s="197"/>
      <c r="T1005" s="13"/>
      <c r="U1005" s="13"/>
      <c r="V1005" s="13"/>
      <c r="W1005" s="13"/>
      <c r="X1005" s="13"/>
      <c r="Y1005" s="13"/>
      <c r="Z1005" s="13"/>
    </row>
    <row r="1006" spans="1:26" ht="12.75" customHeight="1" x14ac:dyDescent="0.2">
      <c r="A1006" s="8"/>
      <c r="B1006" s="8"/>
      <c r="C1006" s="197"/>
      <c r="D1006" s="8"/>
      <c r="E1006" s="197"/>
      <c r="F1006" s="197"/>
      <c r="G1006" s="197"/>
      <c r="H1006" s="197"/>
      <c r="I1006" s="197"/>
      <c r="J1006" s="8"/>
      <c r="K1006" s="197"/>
      <c r="L1006" s="8"/>
      <c r="M1006" s="197"/>
      <c r="N1006" s="197"/>
      <c r="O1006" s="197"/>
      <c r="P1006" s="197"/>
      <c r="Q1006" s="197"/>
      <c r="R1006" s="197"/>
      <c r="S1006" s="197"/>
      <c r="T1006" s="13"/>
      <c r="U1006" s="13"/>
      <c r="V1006" s="13"/>
      <c r="W1006" s="13"/>
      <c r="X1006" s="13"/>
      <c r="Y1006" s="13"/>
      <c r="Z1006" s="13"/>
    </row>
    <row r="1007" spans="1:26" ht="12.75" customHeight="1" x14ac:dyDescent="0.2">
      <c r="A1007" s="8"/>
      <c r="B1007" s="8"/>
      <c r="C1007" s="197"/>
      <c r="D1007" s="8"/>
      <c r="E1007" s="197"/>
      <c r="F1007" s="197"/>
      <c r="G1007" s="197"/>
      <c r="H1007" s="197"/>
      <c r="I1007" s="197"/>
      <c r="J1007" s="8"/>
      <c r="K1007" s="197"/>
      <c r="L1007" s="8"/>
      <c r="M1007" s="197"/>
      <c r="N1007" s="197"/>
      <c r="O1007" s="197"/>
      <c r="P1007" s="197"/>
      <c r="Q1007" s="197"/>
      <c r="R1007" s="197"/>
      <c r="S1007" s="197"/>
      <c r="T1007" s="13"/>
      <c r="U1007" s="13"/>
      <c r="V1007" s="13"/>
      <c r="W1007" s="13"/>
      <c r="X1007" s="13"/>
      <c r="Y1007" s="13"/>
      <c r="Z1007" s="13"/>
    </row>
    <row r="1008" spans="1:26" ht="12.75" customHeight="1" x14ac:dyDescent="0.2">
      <c r="A1008" s="8"/>
      <c r="B1008" s="8"/>
      <c r="C1008" s="197"/>
      <c r="D1008" s="8"/>
      <c r="E1008" s="197"/>
      <c r="F1008" s="197"/>
      <c r="G1008" s="197"/>
      <c r="H1008" s="197"/>
      <c r="I1008" s="197"/>
      <c r="J1008" s="8"/>
      <c r="K1008" s="197"/>
      <c r="L1008" s="8"/>
      <c r="M1008" s="197"/>
      <c r="N1008" s="197"/>
      <c r="O1008" s="197"/>
      <c r="P1008" s="197"/>
      <c r="Q1008" s="197"/>
      <c r="R1008" s="197"/>
      <c r="S1008" s="197"/>
      <c r="T1008" s="13"/>
      <c r="U1008" s="13"/>
      <c r="V1008" s="13"/>
      <c r="W1008" s="13"/>
      <c r="X1008" s="13"/>
      <c r="Y1008" s="13"/>
      <c r="Z1008" s="13"/>
    </row>
    <row r="1009" spans="1:26" ht="12.75" customHeight="1" x14ac:dyDescent="0.2">
      <c r="A1009" s="8"/>
      <c r="B1009" s="8"/>
      <c r="C1009" s="197"/>
      <c r="D1009" s="8"/>
      <c r="E1009" s="197"/>
      <c r="F1009" s="197"/>
      <c r="G1009" s="197"/>
      <c r="H1009" s="197"/>
      <c r="I1009" s="197"/>
      <c r="J1009" s="8"/>
      <c r="K1009" s="197"/>
      <c r="L1009" s="8"/>
      <c r="M1009" s="197"/>
      <c r="N1009" s="197"/>
      <c r="O1009" s="197"/>
      <c r="P1009" s="197"/>
      <c r="Q1009" s="197"/>
      <c r="R1009" s="197"/>
      <c r="S1009" s="197"/>
      <c r="T1009" s="13"/>
      <c r="U1009" s="13"/>
      <c r="V1009" s="13"/>
      <c r="W1009" s="13"/>
      <c r="X1009" s="13"/>
      <c r="Y1009" s="13"/>
      <c r="Z1009" s="13"/>
    </row>
    <row r="1010" spans="1:26" ht="12.75" customHeight="1" x14ac:dyDescent="0.2">
      <c r="A1010" s="8"/>
      <c r="B1010" s="8"/>
      <c r="C1010" s="197"/>
      <c r="D1010" s="8"/>
      <c r="E1010" s="197"/>
      <c r="F1010" s="197"/>
      <c r="G1010" s="197"/>
      <c r="H1010" s="197"/>
      <c r="I1010" s="197"/>
      <c r="J1010" s="8"/>
      <c r="K1010" s="197"/>
      <c r="L1010" s="8"/>
      <c r="M1010" s="197"/>
      <c r="N1010" s="197"/>
      <c r="O1010" s="197"/>
      <c r="P1010" s="197"/>
      <c r="Q1010" s="197"/>
      <c r="R1010" s="197"/>
      <c r="S1010" s="197"/>
      <c r="T1010" s="13"/>
      <c r="U1010" s="13"/>
      <c r="V1010" s="13"/>
      <c r="W1010" s="13"/>
      <c r="X1010" s="13"/>
      <c r="Y1010" s="13"/>
      <c r="Z1010" s="13"/>
    </row>
    <row r="1011" spans="1:26" ht="12.75" customHeight="1" x14ac:dyDescent="0.2">
      <c r="A1011" s="8"/>
      <c r="B1011" s="8"/>
      <c r="C1011" s="197"/>
      <c r="D1011" s="8"/>
      <c r="E1011" s="197"/>
      <c r="F1011" s="197"/>
      <c r="G1011" s="197"/>
      <c r="H1011" s="197"/>
      <c r="I1011" s="197"/>
      <c r="J1011" s="8"/>
      <c r="K1011" s="197"/>
      <c r="L1011" s="8"/>
      <c r="M1011" s="197"/>
      <c r="N1011" s="197"/>
      <c r="O1011" s="197"/>
      <c r="P1011" s="197"/>
      <c r="Q1011" s="197"/>
      <c r="R1011" s="197"/>
      <c r="S1011" s="197"/>
      <c r="T1011" s="13"/>
      <c r="U1011" s="13"/>
      <c r="V1011" s="13"/>
      <c r="W1011" s="13"/>
      <c r="X1011" s="13"/>
      <c r="Y1011" s="13"/>
      <c r="Z1011" s="13"/>
    </row>
    <row r="1012" spans="1:26" ht="12.75" customHeight="1" x14ac:dyDescent="0.2">
      <c r="A1012" s="8"/>
      <c r="B1012" s="8"/>
      <c r="C1012" s="197"/>
      <c r="D1012" s="8"/>
      <c r="E1012" s="197"/>
      <c r="F1012" s="197"/>
      <c r="G1012" s="197"/>
      <c r="H1012" s="197"/>
      <c r="I1012" s="197"/>
      <c r="J1012" s="8"/>
      <c r="K1012" s="197"/>
      <c r="L1012" s="8"/>
      <c r="M1012" s="197"/>
      <c r="N1012" s="197"/>
      <c r="O1012" s="197"/>
      <c r="P1012" s="197"/>
      <c r="Q1012" s="197"/>
      <c r="R1012" s="197"/>
      <c r="S1012" s="197"/>
      <c r="T1012" s="13"/>
      <c r="U1012" s="13"/>
      <c r="V1012" s="13"/>
      <c r="W1012" s="13"/>
      <c r="X1012" s="13"/>
      <c r="Y1012" s="13"/>
      <c r="Z1012" s="13"/>
    </row>
    <row r="1013" spans="1:26" ht="12.75" customHeight="1" x14ac:dyDescent="0.2">
      <c r="A1013" s="8"/>
      <c r="B1013" s="8"/>
      <c r="C1013" s="197"/>
      <c r="D1013" s="8"/>
      <c r="E1013" s="197"/>
      <c r="F1013" s="197"/>
      <c r="G1013" s="197"/>
      <c r="H1013" s="197"/>
      <c r="I1013" s="197"/>
      <c r="J1013" s="8"/>
      <c r="K1013" s="197"/>
      <c r="L1013" s="8"/>
      <c r="M1013" s="197"/>
      <c r="N1013" s="197"/>
      <c r="O1013" s="197"/>
      <c r="P1013" s="197"/>
      <c r="Q1013" s="197"/>
      <c r="R1013" s="197"/>
      <c r="S1013" s="197"/>
      <c r="T1013" s="13"/>
      <c r="U1013" s="13"/>
      <c r="V1013" s="13"/>
      <c r="W1013" s="13"/>
      <c r="X1013" s="13"/>
      <c r="Y1013" s="13"/>
      <c r="Z1013" s="13"/>
    </row>
    <row r="1014" spans="1:26" ht="12.75" customHeight="1" x14ac:dyDescent="0.2">
      <c r="A1014" s="8"/>
      <c r="B1014" s="8"/>
      <c r="C1014" s="197"/>
      <c r="D1014" s="8"/>
      <c r="E1014" s="197"/>
      <c r="F1014" s="197"/>
      <c r="G1014" s="197"/>
      <c r="H1014" s="197"/>
      <c r="I1014" s="197"/>
      <c r="J1014" s="8"/>
      <c r="K1014" s="197"/>
      <c r="L1014" s="8"/>
      <c r="M1014" s="197"/>
      <c r="N1014" s="197"/>
      <c r="O1014" s="197"/>
      <c r="P1014" s="197"/>
      <c r="Q1014" s="197"/>
      <c r="R1014" s="197"/>
      <c r="S1014" s="197"/>
      <c r="T1014" s="13"/>
      <c r="U1014" s="13"/>
      <c r="V1014" s="13"/>
      <c r="W1014" s="13"/>
      <c r="X1014" s="13"/>
      <c r="Y1014" s="13"/>
      <c r="Z1014" s="13"/>
    </row>
    <row r="1015" spans="1:26" ht="12.75" customHeight="1" x14ac:dyDescent="0.2">
      <c r="A1015" s="8"/>
      <c r="B1015" s="8"/>
      <c r="C1015" s="197"/>
      <c r="D1015" s="8"/>
      <c r="E1015" s="197"/>
      <c r="F1015" s="197"/>
      <c r="G1015" s="197"/>
      <c r="H1015" s="197"/>
      <c r="I1015" s="197"/>
      <c r="J1015" s="8"/>
      <c r="K1015" s="197"/>
      <c r="L1015" s="8"/>
      <c r="M1015" s="197"/>
      <c r="N1015" s="197"/>
      <c r="O1015" s="197"/>
      <c r="P1015" s="197"/>
      <c r="Q1015" s="197"/>
      <c r="R1015" s="197"/>
      <c r="S1015" s="197"/>
      <c r="T1015" s="13"/>
      <c r="U1015" s="13"/>
      <c r="V1015" s="13"/>
      <c r="W1015" s="13"/>
      <c r="X1015" s="13"/>
      <c r="Y1015" s="13"/>
      <c r="Z1015" s="13"/>
    </row>
    <row r="1016" spans="1:26" ht="12.75" customHeight="1" x14ac:dyDescent="0.2">
      <c r="A1016" s="8"/>
      <c r="B1016" s="8"/>
      <c r="C1016" s="197"/>
      <c r="D1016" s="8"/>
      <c r="E1016" s="197"/>
      <c r="F1016" s="197"/>
      <c r="G1016" s="197"/>
      <c r="H1016" s="197"/>
      <c r="I1016" s="197"/>
      <c r="J1016" s="8"/>
      <c r="K1016" s="197"/>
      <c r="L1016" s="8"/>
      <c r="M1016" s="197"/>
      <c r="N1016" s="197"/>
      <c r="O1016" s="197"/>
      <c r="P1016" s="197"/>
      <c r="Q1016" s="197"/>
      <c r="R1016" s="197"/>
      <c r="S1016" s="197"/>
      <c r="T1016" s="13"/>
      <c r="U1016" s="13"/>
      <c r="V1016" s="13"/>
      <c r="W1016" s="13"/>
      <c r="X1016" s="13"/>
      <c r="Y1016" s="13"/>
      <c r="Z1016" s="13"/>
    </row>
    <row r="1017" spans="1:26" ht="12.75" customHeight="1" x14ac:dyDescent="0.2">
      <c r="A1017" s="8"/>
      <c r="B1017" s="8"/>
      <c r="C1017" s="197"/>
      <c r="D1017" s="8"/>
      <c r="E1017" s="197"/>
      <c r="F1017" s="197"/>
      <c r="G1017" s="197"/>
      <c r="H1017" s="197"/>
      <c r="I1017" s="197"/>
      <c r="J1017" s="8"/>
      <c r="K1017" s="197"/>
      <c r="L1017" s="8"/>
      <c r="M1017" s="197"/>
      <c r="N1017" s="197"/>
      <c r="O1017" s="197"/>
      <c r="P1017" s="197"/>
      <c r="Q1017" s="197"/>
      <c r="R1017" s="197"/>
      <c r="S1017" s="197"/>
      <c r="T1017" s="13"/>
      <c r="U1017" s="13"/>
      <c r="V1017" s="13"/>
      <c r="W1017" s="13"/>
      <c r="X1017" s="13"/>
      <c r="Y1017" s="13"/>
      <c r="Z1017" s="13"/>
    </row>
    <row r="1018" spans="1:26" ht="12.75" customHeight="1" x14ac:dyDescent="0.2">
      <c r="A1018" s="8"/>
      <c r="B1018" s="8"/>
      <c r="C1018" s="197"/>
      <c r="D1018" s="8"/>
      <c r="E1018" s="197"/>
      <c r="F1018" s="197"/>
      <c r="G1018" s="197"/>
      <c r="H1018" s="197"/>
      <c r="I1018" s="197"/>
      <c r="J1018" s="8"/>
      <c r="K1018" s="197"/>
      <c r="L1018" s="8"/>
      <c r="M1018" s="197"/>
      <c r="N1018" s="197"/>
      <c r="O1018" s="197"/>
      <c r="P1018" s="197"/>
      <c r="Q1018" s="197"/>
      <c r="R1018" s="197"/>
      <c r="S1018" s="197"/>
      <c r="T1018" s="13"/>
      <c r="U1018" s="13"/>
      <c r="V1018" s="13"/>
      <c r="W1018" s="13"/>
      <c r="X1018" s="13"/>
      <c r="Y1018" s="13"/>
      <c r="Z1018" s="13"/>
    </row>
    <row r="1019" spans="1:26" ht="12.75" customHeight="1" x14ac:dyDescent="0.2">
      <c r="A1019" s="8"/>
      <c r="B1019" s="8"/>
      <c r="C1019" s="197"/>
      <c r="D1019" s="8"/>
      <c r="E1019" s="197"/>
      <c r="F1019" s="197"/>
      <c r="G1019" s="197"/>
      <c r="H1019" s="197"/>
      <c r="I1019" s="197"/>
      <c r="J1019" s="8"/>
      <c r="K1019" s="197"/>
      <c r="L1019" s="8"/>
      <c r="M1019" s="197"/>
      <c r="N1019" s="197"/>
      <c r="O1019" s="197"/>
      <c r="P1019" s="197"/>
      <c r="Q1019" s="197"/>
      <c r="R1019" s="197"/>
      <c r="S1019" s="197"/>
      <c r="T1019" s="13"/>
      <c r="U1019" s="13"/>
      <c r="V1019" s="13"/>
      <c r="W1019" s="13"/>
      <c r="X1019" s="13"/>
      <c r="Y1019" s="13"/>
      <c r="Z1019" s="13"/>
    </row>
    <row r="1020" spans="1:26" ht="12.75" customHeight="1" x14ac:dyDescent="0.2">
      <c r="A1020" s="8"/>
      <c r="B1020" s="8"/>
      <c r="C1020" s="197"/>
      <c r="D1020" s="8"/>
      <c r="E1020" s="197"/>
      <c r="F1020" s="197"/>
      <c r="G1020" s="197"/>
      <c r="H1020" s="197"/>
      <c r="I1020" s="197"/>
      <c r="J1020" s="8"/>
      <c r="K1020" s="197"/>
      <c r="L1020" s="8"/>
      <c r="M1020" s="197"/>
      <c r="N1020" s="197"/>
      <c r="O1020" s="197"/>
      <c r="P1020" s="197"/>
      <c r="Q1020" s="197"/>
      <c r="R1020" s="197"/>
      <c r="S1020" s="197"/>
      <c r="T1020" s="13"/>
      <c r="U1020" s="13"/>
      <c r="V1020" s="13"/>
      <c r="W1020" s="13"/>
      <c r="X1020" s="13"/>
      <c r="Y1020" s="13"/>
      <c r="Z1020" s="13"/>
    </row>
    <row r="1021" spans="1:26" ht="12.75" customHeight="1" x14ac:dyDescent="0.2">
      <c r="A1021" s="8"/>
      <c r="B1021" s="8"/>
      <c r="C1021" s="197"/>
      <c r="D1021" s="8"/>
      <c r="E1021" s="197"/>
      <c r="F1021" s="197"/>
      <c r="G1021" s="197"/>
      <c r="H1021" s="197"/>
      <c r="I1021" s="197"/>
      <c r="J1021" s="8"/>
      <c r="K1021" s="197"/>
      <c r="L1021" s="8"/>
      <c r="M1021" s="197"/>
      <c r="N1021" s="197"/>
      <c r="O1021" s="197"/>
      <c r="P1021" s="197"/>
      <c r="Q1021" s="197"/>
      <c r="R1021" s="197"/>
      <c r="S1021" s="197"/>
      <c r="T1021" s="13"/>
      <c r="U1021" s="13"/>
      <c r="V1021" s="13"/>
      <c r="W1021" s="13"/>
      <c r="X1021" s="13"/>
      <c r="Y1021" s="13"/>
      <c r="Z1021" s="13"/>
    </row>
    <row r="1022" spans="1:26" ht="12.75" customHeight="1" x14ac:dyDescent="0.2">
      <c r="A1022" s="8"/>
      <c r="B1022" s="8"/>
      <c r="C1022" s="197"/>
      <c r="D1022" s="8"/>
      <c r="E1022" s="197"/>
      <c r="F1022" s="197"/>
      <c r="G1022" s="197"/>
      <c r="H1022" s="197"/>
      <c r="I1022" s="197"/>
      <c r="J1022" s="8"/>
      <c r="K1022" s="197"/>
      <c r="L1022" s="8"/>
      <c r="M1022" s="197"/>
      <c r="N1022" s="197"/>
      <c r="O1022" s="197"/>
      <c r="P1022" s="197"/>
      <c r="Q1022" s="197"/>
      <c r="R1022" s="197"/>
      <c r="S1022" s="197"/>
      <c r="T1022" s="13"/>
      <c r="U1022" s="13"/>
      <c r="V1022" s="13"/>
      <c r="W1022" s="13"/>
      <c r="X1022" s="13"/>
      <c r="Y1022" s="13"/>
      <c r="Z1022" s="13"/>
    </row>
    <row r="1023" spans="1:26" ht="12.75" customHeight="1" x14ac:dyDescent="0.2">
      <c r="A1023" s="8"/>
      <c r="B1023" s="8"/>
      <c r="C1023" s="197"/>
      <c r="D1023" s="8"/>
      <c r="E1023" s="197"/>
      <c r="F1023" s="197"/>
      <c r="G1023" s="197"/>
      <c r="H1023" s="197"/>
      <c r="I1023" s="197"/>
      <c r="J1023" s="8"/>
      <c r="K1023" s="197"/>
      <c r="L1023" s="8"/>
      <c r="M1023" s="197"/>
      <c r="N1023" s="197"/>
      <c r="O1023" s="197"/>
      <c r="P1023" s="197"/>
      <c r="Q1023" s="197"/>
      <c r="R1023" s="197"/>
      <c r="S1023" s="197"/>
      <c r="T1023" s="13"/>
      <c r="U1023" s="13"/>
      <c r="V1023" s="13"/>
      <c r="W1023" s="13"/>
      <c r="X1023" s="13"/>
      <c r="Y1023" s="13"/>
      <c r="Z1023" s="13"/>
    </row>
    <row r="1024" spans="1:26" ht="12.75" customHeight="1" x14ac:dyDescent="0.2">
      <c r="A1024" s="8"/>
      <c r="B1024" s="8"/>
      <c r="C1024" s="197"/>
      <c r="D1024" s="8"/>
      <c r="E1024" s="197"/>
      <c r="F1024" s="197"/>
      <c r="G1024" s="197"/>
      <c r="H1024" s="197"/>
      <c r="I1024" s="197"/>
      <c r="J1024" s="8"/>
      <c r="K1024" s="197"/>
      <c r="L1024" s="8"/>
      <c r="M1024" s="197"/>
      <c r="N1024" s="197"/>
      <c r="O1024" s="197"/>
      <c r="P1024" s="197"/>
      <c r="Q1024" s="197"/>
      <c r="R1024" s="197"/>
      <c r="S1024" s="197"/>
      <c r="T1024" s="13"/>
      <c r="U1024" s="13"/>
      <c r="V1024" s="13"/>
      <c r="W1024" s="13"/>
      <c r="X1024" s="13"/>
      <c r="Y1024" s="13"/>
      <c r="Z1024" s="13"/>
    </row>
    <row r="1025" spans="1:26" ht="12.75" customHeight="1" x14ac:dyDescent="0.2">
      <c r="A1025" s="8"/>
      <c r="B1025" s="8"/>
      <c r="C1025" s="197"/>
      <c r="D1025" s="8"/>
      <c r="E1025" s="197"/>
      <c r="F1025" s="197"/>
      <c r="G1025" s="197"/>
      <c r="H1025" s="197"/>
      <c r="I1025" s="197"/>
      <c r="J1025" s="8"/>
      <c r="K1025" s="197"/>
      <c r="L1025" s="8"/>
      <c r="M1025" s="197"/>
      <c r="N1025" s="197"/>
      <c r="O1025" s="197"/>
      <c r="P1025" s="197"/>
      <c r="Q1025" s="197"/>
      <c r="R1025" s="197"/>
      <c r="S1025" s="197"/>
      <c r="T1025" s="13"/>
      <c r="U1025" s="13"/>
      <c r="V1025" s="13"/>
      <c r="W1025" s="13"/>
      <c r="X1025" s="13"/>
      <c r="Y1025" s="13"/>
      <c r="Z1025" s="13"/>
    </row>
    <row r="1026" spans="1:26" ht="12.75" customHeight="1" x14ac:dyDescent="0.2">
      <c r="A1026" s="8"/>
      <c r="B1026" s="8"/>
      <c r="C1026" s="197"/>
      <c r="D1026" s="8"/>
      <c r="E1026" s="197"/>
      <c r="F1026" s="197"/>
      <c r="G1026" s="197"/>
      <c r="H1026" s="197"/>
      <c r="I1026" s="197"/>
      <c r="J1026" s="8"/>
      <c r="K1026" s="197"/>
      <c r="L1026" s="8"/>
      <c r="M1026" s="197"/>
      <c r="N1026" s="197"/>
      <c r="O1026" s="197"/>
      <c r="P1026" s="197"/>
      <c r="Q1026" s="197"/>
      <c r="R1026" s="197"/>
      <c r="S1026" s="197"/>
      <c r="T1026" s="13"/>
      <c r="U1026" s="13"/>
      <c r="V1026" s="13"/>
      <c r="W1026" s="13"/>
      <c r="X1026" s="13"/>
      <c r="Y1026" s="13"/>
      <c r="Z1026" s="13"/>
    </row>
    <row r="1027" spans="1:26" ht="12.75" customHeight="1" x14ac:dyDescent="0.2">
      <c r="A1027" s="8"/>
      <c r="B1027" s="8"/>
      <c r="C1027" s="197"/>
      <c r="D1027" s="8"/>
      <c r="E1027" s="197"/>
      <c r="F1027" s="197"/>
      <c r="G1027" s="197"/>
      <c r="H1027" s="197"/>
      <c r="I1027" s="197"/>
      <c r="J1027" s="8"/>
      <c r="K1027" s="197"/>
      <c r="L1027" s="8"/>
      <c r="M1027" s="197"/>
      <c r="N1027" s="197"/>
      <c r="O1027" s="197"/>
      <c r="P1027" s="197"/>
      <c r="Q1027" s="197"/>
      <c r="R1027" s="197"/>
      <c r="S1027" s="197"/>
      <c r="T1027" s="13"/>
      <c r="U1027" s="13"/>
      <c r="V1027" s="13"/>
      <c r="W1027" s="13"/>
      <c r="X1027" s="13"/>
      <c r="Y1027" s="13"/>
      <c r="Z1027" s="13"/>
    </row>
    <row r="1028" spans="1:26" ht="12.75" customHeight="1" x14ac:dyDescent="0.2">
      <c r="A1028" s="8"/>
      <c r="B1028" s="8"/>
      <c r="C1028" s="197"/>
      <c r="D1028" s="8"/>
      <c r="E1028" s="197"/>
      <c r="F1028" s="197"/>
      <c r="G1028" s="197"/>
      <c r="H1028" s="197"/>
      <c r="I1028" s="197"/>
      <c r="J1028" s="8"/>
      <c r="K1028" s="197"/>
      <c r="L1028" s="8"/>
      <c r="M1028" s="197"/>
      <c r="N1028" s="197"/>
      <c r="O1028" s="197"/>
      <c r="P1028" s="197"/>
      <c r="Q1028" s="197"/>
      <c r="R1028" s="197"/>
      <c r="S1028" s="197"/>
      <c r="T1028" s="13"/>
      <c r="U1028" s="13"/>
      <c r="V1028" s="13"/>
      <c r="W1028" s="13"/>
      <c r="X1028" s="13"/>
      <c r="Y1028" s="13"/>
      <c r="Z1028" s="13"/>
    </row>
    <row r="1029" spans="1:26" ht="12.75" customHeight="1" x14ac:dyDescent="0.2">
      <c r="A1029" s="8"/>
      <c r="B1029" s="8"/>
      <c r="C1029" s="197"/>
      <c r="D1029" s="8"/>
      <c r="E1029" s="197"/>
      <c r="F1029" s="197"/>
      <c r="G1029" s="197"/>
      <c r="H1029" s="197"/>
      <c r="I1029" s="197"/>
      <c r="J1029" s="8"/>
      <c r="K1029" s="197"/>
      <c r="L1029" s="8"/>
      <c r="M1029" s="197"/>
      <c r="N1029" s="197"/>
      <c r="O1029" s="197"/>
      <c r="P1029" s="197"/>
      <c r="Q1029" s="197"/>
      <c r="R1029" s="197"/>
      <c r="S1029" s="197"/>
      <c r="T1029" s="13"/>
      <c r="U1029" s="13"/>
      <c r="V1029" s="13"/>
      <c r="W1029" s="13"/>
      <c r="X1029" s="13"/>
      <c r="Y1029" s="13"/>
      <c r="Z1029" s="13"/>
    </row>
    <row r="1030" spans="1:26" ht="12.75" customHeight="1" x14ac:dyDescent="0.2">
      <c r="A1030" s="8"/>
      <c r="B1030" s="8"/>
      <c r="C1030" s="197"/>
      <c r="D1030" s="8"/>
      <c r="E1030" s="197"/>
      <c r="F1030" s="197"/>
      <c r="G1030" s="197"/>
      <c r="H1030" s="197"/>
      <c r="I1030" s="197"/>
      <c r="J1030" s="8"/>
      <c r="K1030" s="197"/>
      <c r="L1030" s="8"/>
      <c r="M1030" s="197"/>
      <c r="N1030" s="197"/>
      <c r="O1030" s="197"/>
      <c r="P1030" s="197"/>
      <c r="Q1030" s="197"/>
      <c r="R1030" s="197"/>
      <c r="S1030" s="197"/>
      <c r="T1030" s="13"/>
      <c r="U1030" s="13"/>
      <c r="V1030" s="13"/>
      <c r="W1030" s="13"/>
      <c r="X1030" s="13"/>
      <c r="Y1030" s="13"/>
      <c r="Z1030" s="13"/>
    </row>
    <row r="1031" spans="1:26" ht="12.75" customHeight="1" x14ac:dyDescent="0.2">
      <c r="A1031" s="8"/>
      <c r="B1031" s="8"/>
      <c r="C1031" s="197"/>
      <c r="D1031" s="8"/>
      <c r="E1031" s="197"/>
      <c r="F1031" s="197"/>
      <c r="G1031" s="197"/>
      <c r="H1031" s="197"/>
      <c r="I1031" s="197"/>
      <c r="J1031" s="8"/>
      <c r="K1031" s="197"/>
      <c r="L1031" s="8"/>
      <c r="M1031" s="197"/>
      <c r="N1031" s="197"/>
      <c r="O1031" s="197"/>
      <c r="P1031" s="197"/>
      <c r="Q1031" s="197"/>
      <c r="R1031" s="197"/>
      <c r="S1031" s="197"/>
      <c r="T1031" s="13"/>
      <c r="U1031" s="13"/>
      <c r="V1031" s="13"/>
      <c r="W1031" s="13"/>
      <c r="X1031" s="13"/>
      <c r="Y1031" s="13"/>
      <c r="Z1031" s="13"/>
    </row>
    <row r="1032" spans="1:26" ht="12.75" customHeight="1" x14ac:dyDescent="0.2">
      <c r="A1032" s="8"/>
      <c r="B1032" s="8"/>
      <c r="C1032" s="197"/>
      <c r="D1032" s="8"/>
      <c r="E1032" s="197"/>
      <c r="F1032" s="197"/>
      <c r="G1032" s="197"/>
      <c r="H1032" s="197"/>
      <c r="I1032" s="197"/>
      <c r="J1032" s="8"/>
      <c r="K1032" s="197"/>
      <c r="L1032" s="8"/>
      <c r="M1032" s="197"/>
      <c r="N1032" s="197"/>
      <c r="O1032" s="197"/>
      <c r="P1032" s="197"/>
      <c r="Q1032" s="197"/>
      <c r="R1032" s="197"/>
      <c r="S1032" s="197"/>
      <c r="T1032" s="13"/>
      <c r="U1032" s="13"/>
      <c r="V1032" s="13"/>
      <c r="W1032" s="13"/>
      <c r="X1032" s="13"/>
      <c r="Y1032" s="13"/>
      <c r="Z1032" s="13"/>
    </row>
    <row r="1033" spans="1:26" ht="12.75" customHeight="1" x14ac:dyDescent="0.2">
      <c r="A1033" s="8"/>
      <c r="B1033" s="8"/>
      <c r="C1033" s="197"/>
      <c r="D1033" s="8"/>
      <c r="E1033" s="197"/>
      <c r="F1033" s="197"/>
      <c r="G1033" s="197"/>
      <c r="H1033" s="197"/>
      <c r="I1033" s="197"/>
      <c r="J1033" s="8"/>
      <c r="K1033" s="197"/>
      <c r="L1033" s="8"/>
      <c r="M1033" s="197"/>
      <c r="N1033" s="197"/>
      <c r="O1033" s="197"/>
      <c r="P1033" s="197"/>
      <c r="Q1033" s="197"/>
      <c r="R1033" s="197"/>
      <c r="S1033" s="197"/>
      <c r="T1033" s="13"/>
      <c r="U1033" s="13"/>
      <c r="V1033" s="13"/>
      <c r="W1033" s="13"/>
      <c r="X1033" s="13"/>
      <c r="Y1033" s="13"/>
      <c r="Z1033" s="13"/>
    </row>
    <row r="1034" spans="1:26" ht="12.75" customHeight="1" x14ac:dyDescent="0.2">
      <c r="A1034" s="8"/>
      <c r="B1034" s="8"/>
      <c r="C1034" s="197"/>
      <c r="D1034" s="8"/>
      <c r="E1034" s="197"/>
      <c r="F1034" s="197"/>
      <c r="G1034" s="197"/>
      <c r="H1034" s="197"/>
      <c r="I1034" s="197"/>
      <c r="J1034" s="8"/>
      <c r="K1034" s="197"/>
      <c r="L1034" s="8"/>
      <c r="M1034" s="197"/>
      <c r="N1034" s="197"/>
      <c r="O1034" s="197"/>
      <c r="P1034" s="197"/>
      <c r="Q1034" s="197"/>
      <c r="R1034" s="197"/>
      <c r="S1034" s="197"/>
      <c r="T1034" s="13"/>
      <c r="U1034" s="13"/>
      <c r="V1034" s="13"/>
      <c r="W1034" s="13"/>
      <c r="X1034" s="13"/>
      <c r="Y1034" s="13"/>
      <c r="Z1034" s="13"/>
    </row>
    <row r="1035" spans="1:26" ht="15" customHeight="1" x14ac:dyDescent="0.2">
      <c r="C1035" s="197"/>
      <c r="E1035" s="197"/>
      <c r="F1035" s="197"/>
      <c r="G1035" s="197"/>
      <c r="H1035" s="197"/>
      <c r="I1035" s="197"/>
      <c r="K1035" s="197"/>
      <c r="M1035" s="197"/>
      <c r="N1035" s="197"/>
      <c r="O1035" s="197"/>
      <c r="P1035" s="197"/>
      <c r="Q1035" s="197"/>
      <c r="R1035" s="197"/>
      <c r="S1035" s="197"/>
      <c r="U1035" s="13"/>
      <c r="V1035" s="13"/>
      <c r="W1035" s="13"/>
      <c r="X1035" s="13"/>
      <c r="Y1035" s="13"/>
    </row>
    <row r="1036" spans="1:26" ht="15" customHeight="1" x14ac:dyDescent="0.2">
      <c r="C1036" s="197"/>
      <c r="E1036" s="197"/>
      <c r="F1036" s="197"/>
      <c r="G1036" s="197"/>
      <c r="H1036" s="197"/>
      <c r="I1036" s="197"/>
      <c r="K1036" s="197"/>
      <c r="M1036" s="197"/>
      <c r="N1036" s="197"/>
      <c r="O1036" s="197"/>
      <c r="P1036" s="197"/>
      <c r="Q1036" s="197"/>
      <c r="R1036" s="197"/>
      <c r="S1036" s="197"/>
      <c r="U1036" s="13"/>
      <c r="V1036" s="13"/>
      <c r="W1036" s="13"/>
      <c r="X1036" s="13"/>
      <c r="Y1036" s="13"/>
    </row>
    <row r="1037" spans="1:26" ht="15" customHeight="1" x14ac:dyDescent="0.2">
      <c r="C1037" s="197"/>
      <c r="E1037" s="197"/>
      <c r="F1037" s="197"/>
      <c r="G1037" s="197"/>
      <c r="H1037" s="197"/>
      <c r="I1037" s="197"/>
      <c r="K1037" s="197"/>
      <c r="M1037" s="197"/>
      <c r="N1037" s="197"/>
      <c r="O1037" s="197"/>
      <c r="P1037" s="197"/>
      <c r="Q1037" s="197"/>
      <c r="R1037" s="197"/>
      <c r="S1037" s="197"/>
      <c r="U1037" s="13"/>
      <c r="V1037" s="13"/>
      <c r="W1037" s="13"/>
      <c r="X1037" s="13"/>
      <c r="Y1037" s="13"/>
    </row>
    <row r="1038" spans="1:26" ht="15" customHeight="1" x14ac:dyDescent="0.2">
      <c r="C1038" s="197"/>
      <c r="E1038" s="197"/>
      <c r="F1038" s="197"/>
      <c r="G1038" s="197"/>
      <c r="H1038" s="197"/>
      <c r="I1038" s="197"/>
      <c r="K1038" s="197"/>
      <c r="M1038" s="197"/>
      <c r="N1038" s="197"/>
      <c r="O1038" s="197"/>
      <c r="P1038" s="197"/>
      <c r="Q1038" s="197"/>
      <c r="R1038" s="197"/>
      <c r="S1038" s="197"/>
      <c r="U1038" s="13"/>
      <c r="V1038" s="13"/>
      <c r="W1038" s="13"/>
      <c r="X1038" s="13"/>
      <c r="Y1038" s="13"/>
    </row>
    <row r="1039" spans="1:26" ht="15" customHeight="1" x14ac:dyDescent="0.2">
      <c r="C1039" s="197"/>
      <c r="E1039" s="197"/>
      <c r="F1039" s="197"/>
      <c r="G1039" s="197"/>
      <c r="H1039" s="197"/>
      <c r="I1039" s="197"/>
      <c r="K1039" s="197"/>
      <c r="M1039" s="197"/>
      <c r="N1039" s="197"/>
      <c r="O1039" s="197"/>
      <c r="P1039" s="197"/>
      <c r="Q1039" s="197"/>
      <c r="R1039" s="197"/>
      <c r="S1039" s="197"/>
      <c r="U1039" s="13"/>
      <c r="V1039" s="13"/>
      <c r="W1039" s="13"/>
      <c r="X1039" s="13"/>
      <c r="Y1039" s="13"/>
    </row>
    <row r="1040" spans="1:26" ht="15" customHeight="1" x14ac:dyDescent="0.2">
      <c r="C1040" s="197"/>
      <c r="E1040" s="197"/>
      <c r="F1040" s="197"/>
      <c r="G1040" s="197"/>
      <c r="H1040" s="197"/>
      <c r="I1040" s="197"/>
      <c r="K1040" s="197"/>
      <c r="M1040" s="197"/>
      <c r="N1040" s="197"/>
      <c r="O1040" s="197"/>
      <c r="P1040" s="197"/>
      <c r="Q1040" s="197"/>
      <c r="R1040" s="197"/>
      <c r="S1040" s="197"/>
      <c r="U1040" s="13"/>
      <c r="V1040" s="13"/>
      <c r="W1040" s="13"/>
      <c r="X1040" s="13"/>
      <c r="Y1040" s="13"/>
    </row>
    <row r="1041" spans="3:25" ht="15" customHeight="1" x14ac:dyDescent="0.2">
      <c r="C1041" s="197"/>
      <c r="E1041" s="197"/>
      <c r="F1041" s="197"/>
      <c r="G1041" s="197"/>
      <c r="H1041" s="197"/>
      <c r="I1041" s="197"/>
      <c r="K1041" s="197"/>
      <c r="M1041" s="197"/>
      <c r="N1041" s="197"/>
      <c r="O1041" s="197"/>
      <c r="P1041" s="197"/>
      <c r="Q1041" s="197"/>
      <c r="R1041" s="197"/>
      <c r="S1041" s="197"/>
      <c r="U1041" s="13"/>
      <c r="V1041" s="13"/>
      <c r="W1041" s="13"/>
      <c r="X1041" s="13"/>
      <c r="Y1041" s="13"/>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N1037"/>
  <sheetViews>
    <sheetView zoomScale="80" zoomScaleNormal="80" workbookViewId="0">
      <pane xSplit="2" ySplit="1" topLeftCell="C30" activePane="bottomRight" state="frozen"/>
      <selection pane="topRight" activeCell="C1" sqref="C1"/>
      <selection pane="bottomLeft" activeCell="A2" sqref="A2"/>
      <selection pane="bottomRight" activeCell="F69" sqref="F69"/>
    </sheetView>
  </sheetViews>
  <sheetFormatPr defaultColWidth="14.42578125" defaultRowHeight="15" customHeight="1" x14ac:dyDescent="0.2"/>
  <cols>
    <col min="1" max="1" width="9.140625" customWidth="1"/>
    <col min="2" max="2" width="33.85546875" customWidth="1"/>
    <col min="3" max="34" width="15.7109375" customWidth="1"/>
  </cols>
  <sheetData>
    <row r="1" spans="1:23" ht="12.75" customHeight="1" x14ac:dyDescent="0.2">
      <c r="B1" s="202" t="s">
        <v>856</v>
      </c>
      <c r="C1" s="202" t="s">
        <v>201</v>
      </c>
      <c r="D1" s="202" t="s">
        <v>205</v>
      </c>
      <c r="E1" s="202" t="s">
        <v>203</v>
      </c>
      <c r="F1" s="202" t="s">
        <v>204</v>
      </c>
      <c r="G1" s="202" t="s">
        <v>202</v>
      </c>
      <c r="H1" s="202" t="s">
        <v>262</v>
      </c>
      <c r="I1" s="202" t="s">
        <v>857</v>
      </c>
      <c r="J1" s="202" t="s">
        <v>263</v>
      </c>
      <c r="K1" s="202" t="s">
        <v>264</v>
      </c>
      <c r="M1" s="272" t="s">
        <v>858</v>
      </c>
      <c r="N1" s="272" t="s">
        <v>859</v>
      </c>
      <c r="O1" s="272" t="s">
        <v>860</v>
      </c>
      <c r="P1" s="272" t="s">
        <v>861</v>
      </c>
      <c r="Q1" s="272" t="s">
        <v>862</v>
      </c>
      <c r="R1" s="14"/>
      <c r="S1" s="272" t="s">
        <v>863</v>
      </c>
      <c r="T1" s="272" t="s">
        <v>864</v>
      </c>
      <c r="U1" s="272" t="s">
        <v>865</v>
      </c>
      <c r="V1" s="272" t="s">
        <v>866</v>
      </c>
      <c r="W1" s="272" t="s">
        <v>867</v>
      </c>
    </row>
    <row r="2" spans="1:23" ht="12.75" customHeight="1" x14ac:dyDescent="0.2">
      <c r="B2" t="s">
        <v>868</v>
      </c>
    </row>
    <row r="3" spans="1:23" ht="12.75" customHeight="1" x14ac:dyDescent="0.2">
      <c r="B3" s="197" t="s">
        <v>245</v>
      </c>
      <c r="C3" s="197">
        <v>0</v>
      </c>
      <c r="D3" s="197">
        <v>0</v>
      </c>
      <c r="E3" s="197">
        <v>0</v>
      </c>
      <c r="F3" s="197">
        <v>0</v>
      </c>
      <c r="G3" s="197">
        <v>0</v>
      </c>
      <c r="H3" s="197">
        <v>0</v>
      </c>
      <c r="I3" s="197">
        <v>0</v>
      </c>
      <c r="J3" s="216">
        <v>0</v>
      </c>
      <c r="K3" s="216">
        <v>2</v>
      </c>
      <c r="M3" s="14">
        <v>0</v>
      </c>
      <c r="N3" s="14">
        <v>0</v>
      </c>
      <c r="O3" s="14">
        <v>0</v>
      </c>
      <c r="P3" s="14">
        <v>0</v>
      </c>
      <c r="Q3" s="14">
        <v>0</v>
      </c>
      <c r="R3" s="14"/>
      <c r="S3" s="14">
        <v>0</v>
      </c>
      <c r="T3" s="14">
        <v>0</v>
      </c>
      <c r="U3" s="14">
        <v>0</v>
      </c>
      <c r="V3" s="14">
        <v>0</v>
      </c>
      <c r="W3" s="14">
        <v>0</v>
      </c>
    </row>
    <row r="4" spans="1:23" ht="12.75" customHeight="1" x14ac:dyDescent="0.2">
      <c r="A4" s="260" t="s">
        <v>869</v>
      </c>
      <c r="B4" s="260" t="s">
        <v>870</v>
      </c>
      <c r="C4" s="197">
        <v>7</v>
      </c>
      <c r="D4" s="197">
        <v>1</v>
      </c>
      <c r="E4" s="197" t="s">
        <v>871</v>
      </c>
      <c r="F4" s="197" t="s">
        <v>253</v>
      </c>
      <c r="G4" s="197" t="s">
        <v>872</v>
      </c>
      <c r="H4" s="215" t="str">
        <f>IF(Roster!$K$25="Español",T4,(IF(Roster!$K$25="Deutsch",U4,(IF(Roster!$K$25="Français",V4,S4)))))</f>
        <v>Claws, Dauntless, Dodge, Frenzy, Jump Up, Loner (4+), No Hands, Sidestep, Stunty, Titchy</v>
      </c>
      <c r="I4" s="215" t="str">
        <f>IF(Roster!$K$25="Español",N4,(IF(Roster!$K$25="Deutsch",O4,(IF(Roster!$K$25="Italiano",Q4,(IF(Roster!$K$25="Français",P4,M4)))))))</f>
        <v>Blind Rage: Akhorne may choose to re-roll the D6 when rolling for the Dauntless skill</v>
      </c>
      <c r="J4" s="216">
        <v>80000</v>
      </c>
      <c r="K4" s="216">
        <v>1</v>
      </c>
      <c r="M4" s="14" t="s">
        <v>873</v>
      </c>
      <c r="N4" s="14" t="s">
        <v>874</v>
      </c>
      <c r="O4" s="14" t="s">
        <v>875</v>
      </c>
      <c r="P4" s="14" t="s">
        <v>876</v>
      </c>
      <c r="Q4" s="14" t="s">
        <v>1588</v>
      </c>
      <c r="R4" s="14"/>
      <c r="S4" s="14" t="s">
        <v>877</v>
      </c>
      <c r="T4" s="14" t="s">
        <v>878</v>
      </c>
      <c r="U4" s="14" t="s">
        <v>879</v>
      </c>
      <c r="V4" s="14" t="s">
        <v>880</v>
      </c>
      <c r="W4" s="14"/>
    </row>
    <row r="5" spans="1:23" ht="12.75" customHeight="1" x14ac:dyDescent="0.2">
      <c r="A5" s="260" t="s">
        <v>881</v>
      </c>
      <c r="B5" s="260" t="s">
        <v>882</v>
      </c>
      <c r="C5" s="197">
        <v>6</v>
      </c>
      <c r="D5" s="197">
        <v>3</v>
      </c>
      <c r="E5" s="197" t="s">
        <v>883</v>
      </c>
      <c r="F5" s="197" t="s">
        <v>253</v>
      </c>
      <c r="G5" s="197" t="s">
        <v>884</v>
      </c>
      <c r="H5" s="215" t="str">
        <f>IF(Roster!$K$25="Español",T5,(IF(Roster!$K$25="Deutsch",U5,(IF(Roster!$K$25="Français",V5,S5)))))</f>
        <v>Chainsaw, Loner (4+), Pro, Secret Weapon, Stand Firm</v>
      </c>
      <c r="I5" s="215" t="str">
        <f>IF(Roster!$K$25="Español",N5,(IF(Roster!$K$25="Deutsch",O5,(IF(Roster!$K$25="Italiano",Q5,(IF(Roster!$K$25="Français",P5,M5)))))))</f>
        <v>Old Pro: Once per game, Helmut may use his Pro skill to re-roll a single dice rolled as part of an Armour roll</v>
      </c>
      <c r="J5" s="216">
        <v>140000</v>
      </c>
      <c r="K5" s="216">
        <v>1</v>
      </c>
      <c r="M5" s="14" t="s">
        <v>885</v>
      </c>
      <c r="N5" s="14" t="s">
        <v>886</v>
      </c>
      <c r="O5" s="14" t="s">
        <v>887</v>
      </c>
      <c r="P5" s="14" t="s">
        <v>888</v>
      </c>
      <c r="Q5" s="14" t="s">
        <v>1589</v>
      </c>
      <c r="R5" s="14"/>
      <c r="S5" s="14" t="s">
        <v>889</v>
      </c>
      <c r="T5" s="14" t="s">
        <v>890</v>
      </c>
      <c r="U5" s="14" t="s">
        <v>891</v>
      </c>
      <c r="V5" s="14" t="s">
        <v>892</v>
      </c>
      <c r="W5" s="14"/>
    </row>
    <row r="6" spans="1:23" ht="12.75" customHeight="1" x14ac:dyDescent="0.2">
      <c r="A6" s="260" t="s">
        <v>893</v>
      </c>
      <c r="B6" s="260" t="s">
        <v>894</v>
      </c>
      <c r="C6" s="197">
        <v>6</v>
      </c>
      <c r="D6" s="197">
        <v>2</v>
      </c>
      <c r="E6" s="197" t="s">
        <v>883</v>
      </c>
      <c r="F6" s="197" t="s">
        <v>883</v>
      </c>
      <c r="G6" s="197" t="s">
        <v>884</v>
      </c>
      <c r="H6" s="215" t="str">
        <f>IF(Roster!$K$25="Español",T6,(IF(Roster!$K$25="Deutsch",U6,(IF(Roster!$K$25="Français",V6,S6)))))</f>
        <v>Bombardier, Disturbing Presence, Dodge, Loner (3+), Side Step, Sneaky Git, Stab, Stunty</v>
      </c>
      <c r="I6" s="215" t="str">
        <f>IF(Roster!$K$25="Español",N6,(IF(Roster!$K$25="Deutsch",O6,(IF(Roster!$K$25="Italiano",Q6,(IF(Roster!$K$25="Français",P6,M6)))))))</f>
        <v>Sneakiest of the Lot: If your team includes the Black Gobbo, you may commit two Foul actions per team turn, provided one of your Foul actions is committed by the Black Gobbo himself</v>
      </c>
      <c r="J6" s="216">
        <v>225000</v>
      </c>
      <c r="K6" s="216">
        <v>1</v>
      </c>
      <c r="M6" s="14" t="s">
        <v>895</v>
      </c>
      <c r="N6" s="14" t="s">
        <v>896</v>
      </c>
      <c r="O6" s="14" t="s">
        <v>897</v>
      </c>
      <c r="P6" s="14" t="s">
        <v>898</v>
      </c>
      <c r="Q6" s="14" t="s">
        <v>1590</v>
      </c>
      <c r="R6" s="14"/>
      <c r="S6" s="14" t="s">
        <v>899</v>
      </c>
      <c r="T6" s="14" t="s">
        <v>1372</v>
      </c>
      <c r="U6" s="14" t="s">
        <v>900</v>
      </c>
      <c r="V6" s="14" t="s">
        <v>901</v>
      </c>
      <c r="W6" s="14"/>
    </row>
    <row r="7" spans="1:23" ht="12.75" customHeight="1" x14ac:dyDescent="0.2">
      <c r="A7" s="260" t="s">
        <v>902</v>
      </c>
      <c r="B7" s="260" t="s">
        <v>903</v>
      </c>
      <c r="C7" s="197">
        <v>5</v>
      </c>
      <c r="D7" s="197">
        <v>5</v>
      </c>
      <c r="E7" s="197" t="s">
        <v>904</v>
      </c>
      <c r="F7" s="197" t="s">
        <v>904</v>
      </c>
      <c r="G7" s="197" t="s">
        <v>905</v>
      </c>
      <c r="H7" s="215" t="str">
        <f>IF(Roster!$K$25="Español",T7,(IF(Roster!$K$25="Deutsch",U7,(IF(Roster!$K$25="Français",V7,S7)))))</f>
        <v>Bone Head, Kick Team-mate, Loner (4+), Mighty Blow (+1), Thick Skull</v>
      </c>
      <c r="I7" s="215" t="str">
        <f>IF(Roster!$K$25="Español",N7,(IF(Roster!$K$25="Deutsch",O7,(IF(Roster!$K$25="Italiano",Q7,(IF(Roster!$K$25="Français",P7,M7)))))))</f>
        <v>Two for One: Grak and Crumbleberry must be hired as a pair and count as two Star Players. However, if either Grak or Crumbleberry is removed from play due to suffering a KO’d or Casualty! result on the Injury table, the other replaces the Loner (4+) trait with the Loner (2+) trait</v>
      </c>
      <c r="J7" s="216">
        <v>250000</v>
      </c>
      <c r="K7" s="216">
        <v>1</v>
      </c>
      <c r="M7" s="14" t="s">
        <v>906</v>
      </c>
      <c r="N7" s="14" t="s">
        <v>907</v>
      </c>
      <c r="O7" s="14" t="s">
        <v>908</v>
      </c>
      <c r="P7" s="14" t="s">
        <v>909</v>
      </c>
      <c r="Q7" s="14" t="s">
        <v>1591</v>
      </c>
      <c r="R7" s="14"/>
      <c r="S7" s="14" t="s">
        <v>910</v>
      </c>
      <c r="T7" s="14" t="s">
        <v>911</v>
      </c>
      <c r="U7" s="14" t="s">
        <v>912</v>
      </c>
      <c r="V7" s="14" t="s">
        <v>913</v>
      </c>
      <c r="W7" s="14"/>
    </row>
    <row r="8" spans="1:23" ht="12.75" customHeight="1" x14ac:dyDescent="0.2">
      <c r="A8" s="260" t="s">
        <v>914</v>
      </c>
      <c r="B8" s="260" t="s">
        <v>915</v>
      </c>
      <c r="C8" s="197">
        <v>5</v>
      </c>
      <c r="D8" s="197">
        <v>2</v>
      </c>
      <c r="E8" s="197" t="s">
        <v>883</v>
      </c>
      <c r="F8" s="197" t="s">
        <v>872</v>
      </c>
      <c r="G8" s="197" t="s">
        <v>916</v>
      </c>
      <c r="H8" s="215" t="str">
        <f>IF(Roster!$K$25="Español",T8,(IF(Roster!$K$25="Deutsch",U8,(IF(Roster!$K$25="Français",V8,S8)))))</f>
        <v>Dodge, Loner (4+), Right Stuff, Stunty, Sure Hands</v>
      </c>
      <c r="I8" s="215" t="str">
        <f>IF(Roster!$K$25="Español",N8,(IF(Roster!$K$25="Deutsch",O8,(IF(Roster!$K$25="Italiano",Q8,(IF(Roster!$K$25="Français",P8,M8)))))))</f>
        <v>Two for One: Grak and Crumbleberry must be hired as a pair and count as two Star Players. However, if either Grak or Crumbleberry is removed from play due to suffering a KO’d or Casualty! result on the Injury table, the other replaces the Loner (4+) trait with the Loner (2+) trait</v>
      </c>
      <c r="J8" s="216">
        <v>0</v>
      </c>
      <c r="K8" s="216">
        <v>1</v>
      </c>
      <c r="M8" s="14" t="s">
        <v>906</v>
      </c>
      <c r="N8" s="14" t="s">
        <v>907</v>
      </c>
      <c r="O8" s="14" t="s">
        <v>908</v>
      </c>
      <c r="P8" s="14" t="s">
        <v>909</v>
      </c>
      <c r="Q8" s="14" t="s">
        <v>1591</v>
      </c>
      <c r="R8" s="14"/>
      <c r="S8" s="14" t="s">
        <v>917</v>
      </c>
      <c r="T8" s="14" t="s">
        <v>918</v>
      </c>
      <c r="U8" s="14" t="s">
        <v>919</v>
      </c>
      <c r="V8" s="14" t="s">
        <v>920</v>
      </c>
      <c r="W8" s="14"/>
    </row>
    <row r="9" spans="1:23" ht="12.75" customHeight="1" x14ac:dyDescent="0.2">
      <c r="A9" s="260" t="s">
        <v>921</v>
      </c>
      <c r="B9" s="260" t="s">
        <v>922</v>
      </c>
      <c r="C9" s="197">
        <v>6</v>
      </c>
      <c r="D9" s="197">
        <v>5</v>
      </c>
      <c r="E9" s="197" t="s">
        <v>883</v>
      </c>
      <c r="F9" s="197" t="s">
        <v>923</v>
      </c>
      <c r="G9" s="197" t="s">
        <v>905</v>
      </c>
      <c r="H9" s="215" t="str">
        <f>IF(Roster!$K$25="Español",T9,(IF(Roster!$K$25="Deutsch",U9,(IF(Roster!$K$25="Français",V9,S9)))))</f>
        <v>Block, Jump Up, Loner (4+), Mighty Blow (+1), Thick Skull</v>
      </c>
      <c r="I9" s="215" t="str">
        <f>IF(Roster!$K$25="Español",N9,(IF(Roster!$K$25="Deutsch",O9,(IF(Roster!$K$25="Italiano",Q9,(IF(Roster!$K$25="Français",P9,M9)))))))</f>
        <v>Crushing Blow: Once per game, when an opposition player is Knocked Down as the result of a Block action performed by Varag, you may apply an additional +1 modifier to the Armour roll. This modifier may be applied after the roll has been made</v>
      </c>
      <c r="J9" s="216">
        <v>280000</v>
      </c>
      <c r="K9" s="216">
        <v>1</v>
      </c>
      <c r="M9" s="14" t="s">
        <v>924</v>
      </c>
      <c r="N9" s="14" t="s">
        <v>925</v>
      </c>
      <c r="O9" s="14" t="s">
        <v>926</v>
      </c>
      <c r="P9" s="14" t="s">
        <v>927</v>
      </c>
      <c r="Q9" s="14" t="s">
        <v>1592</v>
      </c>
      <c r="R9" s="14"/>
      <c r="S9" s="14" t="s">
        <v>928</v>
      </c>
      <c r="T9" s="14" t="s">
        <v>929</v>
      </c>
      <c r="U9" s="14" t="s">
        <v>930</v>
      </c>
      <c r="V9" s="14" t="s">
        <v>931</v>
      </c>
      <c r="W9" s="14"/>
    </row>
    <row r="10" spans="1:23" ht="12.75" customHeight="1" x14ac:dyDescent="0.2">
      <c r="A10" s="260" t="s">
        <v>932</v>
      </c>
      <c r="B10" s="260" t="s">
        <v>933</v>
      </c>
      <c r="C10" s="197">
        <v>6</v>
      </c>
      <c r="D10" s="197">
        <v>6</v>
      </c>
      <c r="E10" s="197" t="s">
        <v>883</v>
      </c>
      <c r="F10" s="197" t="s">
        <v>904</v>
      </c>
      <c r="G10" s="197" t="s">
        <v>934</v>
      </c>
      <c r="H10" s="215" t="str">
        <f>IF(Roster!$K$25="Español",T10,(IF(Roster!$K$25="Deutsch",U10,(IF(Roster!$K$25="Français",V10,S10)))))</f>
        <v>Block, Loner (4+), Mighty Blow (+2), Thick Skull, Throw Team-mate</v>
      </c>
      <c r="I10" s="215" t="str">
        <f>IF(Roster!$K$25="Español",N10,(IF(Roster!$K$25="Deutsch",O10,(IF(Roster!$K$25="Italiano",Q10,(IF(Roster!$K$25="Français",P10,M10)))))))</f>
        <v>The Ballista: Once per game, if Morg fails the Passing Ability test when making a Pass action or a Throw Team-mate action, you may re-roll the D6</v>
      </c>
      <c r="J10" s="216">
        <v>380000</v>
      </c>
      <c r="K10" s="216">
        <v>1</v>
      </c>
      <c r="M10" s="14" t="s">
        <v>935</v>
      </c>
      <c r="N10" s="14" t="s">
        <v>936</v>
      </c>
      <c r="O10" s="14" t="s">
        <v>937</v>
      </c>
      <c r="P10" s="14" t="s">
        <v>938</v>
      </c>
      <c r="Q10" s="14" t="s">
        <v>1593</v>
      </c>
      <c r="R10" s="14"/>
      <c r="S10" s="14" t="s">
        <v>939</v>
      </c>
      <c r="T10" s="14" t="s">
        <v>940</v>
      </c>
      <c r="U10" s="14" t="s">
        <v>941</v>
      </c>
      <c r="V10" s="14" t="s">
        <v>942</v>
      </c>
      <c r="W10" s="14"/>
    </row>
    <row r="11" spans="1:23" ht="12.75" customHeight="1" x14ac:dyDescent="0.2">
      <c r="A11" s="260" t="s">
        <v>943</v>
      </c>
      <c r="B11" s="260" t="s">
        <v>944</v>
      </c>
      <c r="C11" s="197">
        <v>9</v>
      </c>
      <c r="D11" s="197">
        <v>3</v>
      </c>
      <c r="E11" s="197" t="s">
        <v>871</v>
      </c>
      <c r="F11" s="197" t="s">
        <v>883</v>
      </c>
      <c r="G11" s="197" t="s">
        <v>945</v>
      </c>
      <c r="H11" s="215" t="str">
        <f>IF(Roster!$K$25="Español",T11,(IF(Roster!$K$25="Deutsch",U11,(IF(Roster!$K$25="Français",V11,S11)))))</f>
        <v>Dodge, Extra Arms, Loner (4+), Prehensile Tail, Two Heads</v>
      </c>
      <c r="I11" s="215" t="str">
        <f>IF(Roster!$K$25="Español",N11,(IF(Roster!$K$25="Deutsch",O11,(IF(Roster!$K$25="Italiano",Q11,(IF(Roster!$K$25="Français",P11,M11)))))))</f>
        <v>Treacherous: Once per game, if a team-mate in an adjacent square to Hakflem is in possession of the ball when Hakflem is activated, that player may immediately be Knocked Down and Hakflem may take possession of the ball. No Turnover is caused as a result of using this special rule</v>
      </c>
      <c r="J11" s="216">
        <v>210000</v>
      </c>
      <c r="K11" s="216">
        <v>1</v>
      </c>
      <c r="M11" s="14" t="s">
        <v>946</v>
      </c>
      <c r="N11" s="14" t="s">
        <v>947</v>
      </c>
      <c r="O11" s="14" t="s">
        <v>948</v>
      </c>
      <c r="P11" s="14" t="s">
        <v>949</v>
      </c>
      <c r="Q11" s="14" t="s">
        <v>1594</v>
      </c>
      <c r="R11" s="14"/>
      <c r="S11" s="14" t="s">
        <v>950</v>
      </c>
      <c r="T11" s="14" t="s">
        <v>951</v>
      </c>
      <c r="U11" s="14" t="s">
        <v>952</v>
      </c>
      <c r="V11" s="14" t="s">
        <v>953</v>
      </c>
      <c r="W11" s="14"/>
    </row>
    <row r="12" spans="1:23" ht="12.75" customHeight="1" x14ac:dyDescent="0.2">
      <c r="A12" s="260" t="s">
        <v>954</v>
      </c>
      <c r="B12" s="260" t="s">
        <v>955</v>
      </c>
      <c r="C12" s="197">
        <v>5</v>
      </c>
      <c r="D12" s="197">
        <v>4</v>
      </c>
      <c r="E12" s="197" t="s">
        <v>904</v>
      </c>
      <c r="F12" s="197" t="s">
        <v>253</v>
      </c>
      <c r="G12" s="197" t="s">
        <v>884</v>
      </c>
      <c r="H12" s="215" t="str">
        <f>IF(Roster!$K$25="Español",T12,(IF(Roster!$K$25="Deutsch",U12,(IF(Roster!$K$25="Français",V12,S12)))))</f>
        <v>Block, Claw, Grab, Juggernaut, Loner (4+), Stand Firm</v>
      </c>
      <c r="I12" s="215" t="str">
        <f>IF(Roster!$K$25="Español",N12,(IF(Roster!$K$25="Deutsch",O12,(IF(Roster!$K$25="Italiano",Q12,(IF(Roster!$K$25="Français",P12,M12)))))))</f>
        <v>Frenzied Rush: Once per game, when Glart performs a Blitz action, he may gain the Frenzy skill. You must declare this special rule is being used when Glart is activated. Glart may not use the Grab skill during a turn in which he uses this special rule</v>
      </c>
      <c r="J12" s="216">
        <v>195000</v>
      </c>
      <c r="K12" s="216">
        <v>1</v>
      </c>
      <c r="M12" s="14" t="s">
        <v>956</v>
      </c>
      <c r="N12" s="14" t="s">
        <v>957</v>
      </c>
      <c r="O12" s="14" t="s">
        <v>958</v>
      </c>
      <c r="P12" s="14" t="s">
        <v>959</v>
      </c>
      <c r="Q12" s="14" t="s">
        <v>1595</v>
      </c>
      <c r="R12" s="14"/>
      <c r="S12" s="14" t="s">
        <v>960</v>
      </c>
      <c r="T12" s="14" t="s">
        <v>961</v>
      </c>
      <c r="U12" s="14" t="s">
        <v>962</v>
      </c>
      <c r="V12" s="14" t="s">
        <v>963</v>
      </c>
      <c r="W12" s="14"/>
    </row>
    <row r="13" spans="1:23" ht="12.75" customHeight="1" x14ac:dyDescent="0.2">
      <c r="A13" s="260" t="s">
        <v>964</v>
      </c>
      <c r="B13" s="260" t="s">
        <v>965</v>
      </c>
      <c r="C13" s="197">
        <v>6</v>
      </c>
      <c r="D13" s="197">
        <v>3</v>
      </c>
      <c r="E13" s="197" t="s">
        <v>883</v>
      </c>
      <c r="F13" s="197" t="s">
        <v>253</v>
      </c>
      <c r="G13" s="197" t="s">
        <v>945</v>
      </c>
      <c r="H13" s="215" t="str">
        <f>IF(Roster!$K$25="Español",T13,(IF(Roster!$K$25="Deutsch",U13,(IF(Roster!$K$25="Français",V13,S13)))))</f>
        <v>Block, Horns, Juggernaut, Loner (4+), No Hands, Tackle, Thick Skull</v>
      </c>
      <c r="I13" s="215" t="str">
        <f>IF(Roster!$K$25="Español",N13,(IF(Roster!$K$25="Deutsch",O13,(IF(Roster!$K$25="Italiano",Q13,(IF(Roster!$K$25="Français",P13,M13)))))))</f>
        <v>Ram: Once per game, when an opposition player is Knocked Down as the result of a Block action performed by Rumbelow, you may apply an additional +1 modifier to either the Armour roll or Injury roll. This modifier may be applied after the roll has been made.</v>
      </c>
      <c r="J13" s="216">
        <v>170000</v>
      </c>
      <c r="K13" s="216">
        <v>1</v>
      </c>
      <c r="M13" s="14" t="s">
        <v>966</v>
      </c>
      <c r="N13" s="14" t="s">
        <v>967</v>
      </c>
      <c r="O13" s="14" t="s">
        <v>968</v>
      </c>
      <c r="P13" s="14" t="s">
        <v>969</v>
      </c>
      <c r="Q13" s="14" t="s">
        <v>1596</v>
      </c>
      <c r="R13" s="14"/>
      <c r="S13" s="14" t="s">
        <v>970</v>
      </c>
      <c r="T13" s="14" t="s">
        <v>971</v>
      </c>
      <c r="U13" s="14" t="s">
        <v>972</v>
      </c>
      <c r="V13" s="14" t="s">
        <v>973</v>
      </c>
      <c r="W13" s="14"/>
    </row>
    <row r="14" spans="1:23" ht="12.75" customHeight="1" x14ac:dyDescent="0.2">
      <c r="A14" s="260" t="s">
        <v>974</v>
      </c>
      <c r="B14" s="260" t="s">
        <v>975</v>
      </c>
      <c r="C14" s="197">
        <v>5</v>
      </c>
      <c r="D14" s="197">
        <v>4</v>
      </c>
      <c r="E14" s="197" t="s">
        <v>883</v>
      </c>
      <c r="F14" s="197" t="s">
        <v>253</v>
      </c>
      <c r="G14" s="197" t="s">
        <v>884</v>
      </c>
      <c r="H14" s="215" t="str">
        <f>IF(Roster!$K$25="Español",T14,(IF(Roster!$K$25="Deutsch",U14,(IF(Roster!$K$25="Français",V14,S14)))))</f>
        <v>Block, Dauntless, Frenzy, Loner (4+), Multiple Block, Thick Skull</v>
      </c>
      <c r="I14" s="215" t="str">
        <f>IF(Roster!$K$25="Español",N14,(IF(Roster!$K$25="Deutsch",O14,(IF(Roster!$K$25="Italiano",Q14,(IF(Roster!$K$25="Français",P14,M14)))))))</f>
        <v>Slayer: Once per game, when an opposition player with a Strength characteristic of 5 or more is Knocked Down as the result of a Block action performed by Grim, you may apply an additional +1 modifier to either the Armour roll or Injury roll. This modifier may be applied after the roll has been made.</v>
      </c>
      <c r="J14" s="216">
        <v>200000</v>
      </c>
      <c r="K14" s="216">
        <v>1</v>
      </c>
      <c r="M14" s="14" t="s">
        <v>976</v>
      </c>
      <c r="N14" s="14" t="s">
        <v>977</v>
      </c>
      <c r="O14" s="14" t="s">
        <v>978</v>
      </c>
      <c r="P14" s="14" t="s">
        <v>979</v>
      </c>
      <c r="Q14" s="14" t="s">
        <v>1597</v>
      </c>
      <c r="R14" s="14"/>
      <c r="S14" s="14" t="s">
        <v>980</v>
      </c>
      <c r="T14" s="14" t="s">
        <v>981</v>
      </c>
      <c r="U14" s="14" t="s">
        <v>982</v>
      </c>
      <c r="V14" s="14" t="s">
        <v>983</v>
      </c>
      <c r="W14" s="14"/>
    </row>
    <row r="15" spans="1:23" ht="12.75" customHeight="1" x14ac:dyDescent="0.2">
      <c r="A15" s="260" t="s">
        <v>984</v>
      </c>
      <c r="B15" s="260" t="s">
        <v>985</v>
      </c>
      <c r="C15" s="197">
        <v>5</v>
      </c>
      <c r="D15" s="197">
        <v>3</v>
      </c>
      <c r="E15" s="197" t="s">
        <v>883</v>
      </c>
      <c r="F15" s="197" t="s">
        <v>904</v>
      </c>
      <c r="G15" s="197" t="s">
        <v>905</v>
      </c>
      <c r="H15" s="215" t="str">
        <f>IF(Roster!$K$25="Español",T15,(IF(Roster!$K$25="Deutsch",U15,(IF(Roster!$K$25="Français",V15,S15)))))</f>
        <v>Block, Dauntless, Loner (4+), Mighty Blow (+1), Stand Firm, Thick Skull</v>
      </c>
      <c r="I15" s="215" t="str">
        <f>IF(Roster!$K$25="Español",N15,(IF(Roster!$K$25="Deutsch",O15,(IF(Roster!$K$25="Italiano",Q15,(IF(Roster!$K$25="Français",P15,M15)))))))</f>
        <v>Wisdom of the White Dwarf: Once per team turn, when one of Grombrindal’s team-mates that is in an adjacent square is activated, that player gains either the Break Tackle, Dauntless, Mighty Blow (+1) or Sure Feet skill until the end of their activation</v>
      </c>
      <c r="J15" s="216">
        <v>210000</v>
      </c>
      <c r="K15" s="216">
        <v>1</v>
      </c>
      <c r="M15" s="14" t="s">
        <v>986</v>
      </c>
      <c r="N15" s="14" t="s">
        <v>987</v>
      </c>
      <c r="O15" s="14" t="s">
        <v>988</v>
      </c>
      <c r="P15" s="14" t="s">
        <v>989</v>
      </c>
      <c r="Q15" s="14" t="s">
        <v>1598</v>
      </c>
      <c r="R15" s="14"/>
      <c r="S15" s="14" t="s">
        <v>990</v>
      </c>
      <c r="T15" s="14" t="s">
        <v>991</v>
      </c>
      <c r="U15" s="14" t="s">
        <v>992</v>
      </c>
      <c r="V15" s="14" t="s">
        <v>993</v>
      </c>
      <c r="W15" s="14"/>
    </row>
    <row r="16" spans="1:23" ht="12.75" customHeight="1" x14ac:dyDescent="0.2">
      <c r="A16" s="260" t="s">
        <v>994</v>
      </c>
      <c r="B16" s="260" t="s">
        <v>995</v>
      </c>
      <c r="C16" s="197">
        <v>6</v>
      </c>
      <c r="D16" s="197">
        <v>4</v>
      </c>
      <c r="E16" s="197" t="s">
        <v>883</v>
      </c>
      <c r="F16" s="197" t="s">
        <v>904</v>
      </c>
      <c r="G16" s="197" t="s">
        <v>884</v>
      </c>
      <c r="H16" s="215" t="str">
        <f>IF(Roster!$K$25="Español",T16,(IF(Roster!$K$25="Deutsch",U16,(IF(Roster!$K$25="Français",V16,S16)))))</f>
        <v>Block, Dauntless, Dodge, Jump Up, Loner (4+)</v>
      </c>
      <c r="I16" s="215" t="str">
        <f>IF(Roster!$K$25="Español",N16,(IF(Roster!$K$25="Deutsch",O16,(IF(Roster!$K$25="Italiano",Q16,(IF(Roster!$K$25="Français",P16,M16)))))))</f>
        <v>Indomitable: Once per game, when Karla successfully rolls to use her Dauntless skill, she may increase her Strength characteristic to double that of the nominated target of her Block action</v>
      </c>
      <c r="J16" s="216">
        <v>210000</v>
      </c>
      <c r="K16" s="216">
        <v>1</v>
      </c>
      <c r="M16" s="14" t="s">
        <v>996</v>
      </c>
      <c r="N16" s="14" t="s">
        <v>997</v>
      </c>
      <c r="O16" s="14" t="s">
        <v>998</v>
      </c>
      <c r="P16" s="14" t="s">
        <v>999</v>
      </c>
      <c r="Q16" s="14" t="s">
        <v>1599</v>
      </c>
      <c r="R16" s="14"/>
      <c r="S16" s="14" t="s">
        <v>1000</v>
      </c>
      <c r="T16" s="14" t="s">
        <v>1001</v>
      </c>
      <c r="U16" s="14" t="s">
        <v>1002</v>
      </c>
      <c r="V16" s="14" t="s">
        <v>1003</v>
      </c>
      <c r="W16" s="14"/>
    </row>
    <row r="17" spans="1:23" ht="12.75" customHeight="1" x14ac:dyDescent="0.2">
      <c r="A17" s="260" t="s">
        <v>1004</v>
      </c>
      <c r="B17" s="260" t="s">
        <v>1005</v>
      </c>
      <c r="C17" s="197">
        <v>2</v>
      </c>
      <c r="D17" s="197">
        <v>7</v>
      </c>
      <c r="E17" s="197" t="s">
        <v>923</v>
      </c>
      <c r="F17" s="197" t="s">
        <v>904</v>
      </c>
      <c r="G17" s="197" t="s">
        <v>934</v>
      </c>
      <c r="H17" s="215" t="str">
        <f>IF(Roster!$K$25="Español",T17,(IF(Roster!$K$25="Deutsch",U17,(IF(Roster!$K$25="Français",V17,S17)))))</f>
        <v>Block, Loner (4+), Mighty Blow (+2), Stand Firm, Strong Arm, Thick Skull, Throw Team-mate, Timmm-ber!</v>
      </c>
      <c r="I17" s="215" t="str">
        <f>IF(Roster!$K$25="Español",N17,(IF(Roster!$K$25="Deutsch",O17,(IF(Roster!$K$25="Italiano",Q17,(IF(Roster!$K$25="Français",P17,M17)))))))</f>
        <v>Reliable: If Deeproot fumbles a Throw Team-mate action, the player that was to be thrown will bounce as normal but will automatically land safely</v>
      </c>
      <c r="J17" s="216">
        <v>280000</v>
      </c>
      <c r="K17" s="216">
        <v>1</v>
      </c>
      <c r="M17" s="14" t="s">
        <v>1006</v>
      </c>
      <c r="N17" s="14" t="s">
        <v>1007</v>
      </c>
      <c r="O17" s="14" t="s">
        <v>1008</v>
      </c>
      <c r="P17" s="14" t="s">
        <v>1009</v>
      </c>
      <c r="Q17" s="14" t="s">
        <v>1600</v>
      </c>
      <c r="R17" s="14"/>
      <c r="S17" s="14" t="s">
        <v>1010</v>
      </c>
      <c r="T17" s="14" t="s">
        <v>1011</v>
      </c>
      <c r="U17" s="14" t="s">
        <v>1012</v>
      </c>
      <c r="V17" s="14" t="s">
        <v>1013</v>
      </c>
      <c r="W17" s="14"/>
    </row>
    <row r="18" spans="1:23" ht="12.75" customHeight="1" x14ac:dyDescent="0.2">
      <c r="A18" s="260" t="s">
        <v>1014</v>
      </c>
      <c r="B18" s="260" t="s">
        <v>1015</v>
      </c>
      <c r="C18" s="197">
        <v>7</v>
      </c>
      <c r="D18" s="197">
        <v>4</v>
      </c>
      <c r="E18" s="197" t="s">
        <v>871</v>
      </c>
      <c r="F18" s="197" t="s">
        <v>883</v>
      </c>
      <c r="G18" s="197" t="s">
        <v>884</v>
      </c>
      <c r="H18" s="215" t="str">
        <f>IF(Roster!$K$25="Español",T18,(IF(Roster!$K$25="Deutsch",U18,(IF(Roster!$K$25="Français",V18,S18)))))</f>
        <v>Block, Dodge, Fend, Loner (3+), Sprint, Sure Feet</v>
      </c>
      <c r="I18" s="215" t="str">
        <f>IF(Roster!$K$25="Español",N18,(IF(Roster!$K$25="Deutsch",O18,(IF(Roster!$K$25="Italiano",Q18,(IF(Roster!$K$25="Français",P18,M18)))))))</f>
        <v>Consummate Professional: Once per game, Griff may re-roll one dice that was rolled either as a single dice roll, as part of a multiple dice roll or as part of a dice pool (this cannot be a dice that was rolled as part of an Armour, Injury or Casualty roll)</v>
      </c>
      <c r="J18" s="216">
        <v>280000</v>
      </c>
      <c r="K18" s="216">
        <v>1</v>
      </c>
      <c r="M18" s="14" t="s">
        <v>1016</v>
      </c>
      <c r="N18" s="14" t="s">
        <v>1017</v>
      </c>
      <c r="O18" s="14" t="s">
        <v>1018</v>
      </c>
      <c r="P18" s="14" t="s">
        <v>1019</v>
      </c>
      <c r="Q18" s="14" t="s">
        <v>1601</v>
      </c>
      <c r="R18" s="14"/>
      <c r="S18" s="14" t="s">
        <v>1020</v>
      </c>
      <c r="T18" s="14" t="s">
        <v>1021</v>
      </c>
      <c r="U18" s="14" t="s">
        <v>1022</v>
      </c>
      <c r="V18" s="14" t="s">
        <v>1023</v>
      </c>
      <c r="W18" s="14"/>
    </row>
    <row r="19" spans="1:23" ht="12.75" customHeight="1" x14ac:dyDescent="0.2">
      <c r="A19" s="260" t="s">
        <v>1024</v>
      </c>
      <c r="B19" s="260" t="s">
        <v>1025</v>
      </c>
      <c r="C19" s="197">
        <v>4</v>
      </c>
      <c r="D19" s="197">
        <v>5</v>
      </c>
      <c r="E19" s="197" t="s">
        <v>904</v>
      </c>
      <c r="F19" s="197" t="s">
        <v>253</v>
      </c>
      <c r="G19" s="197" t="s">
        <v>905</v>
      </c>
      <c r="H19" s="215" t="str">
        <f>IF(Roster!$K$25="Español",T19,(IF(Roster!$K$25="Deutsch",U19,(IF(Roster!$K$25="Français",V19,S19)))))</f>
        <v>Break Tackle, Loner (4+), Mighty Blow (+1), Regeneration, Stand Firm, Thick Skull</v>
      </c>
      <c r="I19" s="215" t="str">
        <f>IF(Roster!$K$25="Español",N19,(IF(Roster!$K$25="Deutsch",O19,(IF(Roster!$K$25="Italiano",Q19,(IF(Roster!$K$25="Français",P19,M19)))))))</f>
        <v>Brutal Block: Once per game, when Frank 'n' Stein makes an Injury roll against an opponent as a result of a Block action, he may choose to add an additional +1 modifierto the Injury roll. This modifier may be applied after the roll has been made.</v>
      </c>
      <c r="J19" s="216">
        <v>250000</v>
      </c>
      <c r="K19" s="216">
        <v>1</v>
      </c>
      <c r="M19" s="14" t="s">
        <v>1026</v>
      </c>
      <c r="N19" s="14" t="s">
        <v>1602</v>
      </c>
      <c r="O19" s="14" t="s">
        <v>1027</v>
      </c>
      <c r="P19" s="14" t="s">
        <v>1028</v>
      </c>
      <c r="Q19" s="14" t="s">
        <v>1603</v>
      </c>
      <c r="R19" s="14"/>
      <c r="S19" s="14" t="s">
        <v>1029</v>
      </c>
      <c r="T19" s="14" t="s">
        <v>1030</v>
      </c>
      <c r="U19" s="14" t="s">
        <v>1031</v>
      </c>
      <c r="V19" s="14" t="s">
        <v>1032</v>
      </c>
      <c r="W19" s="14"/>
    </row>
    <row r="20" spans="1:23" ht="12.75" customHeight="1" x14ac:dyDescent="0.2">
      <c r="A20" s="260" t="s">
        <v>1033</v>
      </c>
      <c r="B20" s="260" t="s">
        <v>1034</v>
      </c>
      <c r="C20" s="197">
        <v>6</v>
      </c>
      <c r="D20" s="197">
        <v>3</v>
      </c>
      <c r="E20" s="197" t="s">
        <v>904</v>
      </c>
      <c r="F20" s="197" t="s">
        <v>904</v>
      </c>
      <c r="G20" s="197" t="s">
        <v>884</v>
      </c>
      <c r="H20" s="215" t="str">
        <f>IF(Roster!$K$25="Español",T20,(IF(Roster!$K$25="Deutsch",U20,(IF(Roster!$K$25="Français",V20,S20)))))</f>
        <v>Accurate, Loner (4+), Nerves of Steel, Pass, Regeneration, Sure Hands, Thick Skull</v>
      </c>
      <c r="I20" s="215" t="str">
        <f>IF(Roster!$K$25="Español",N20,(IF(Roster!$K$25="Deutsch",O20,(IF(Roster!$K$25="Italiano",Q20,(IF(Roster!$K$25="Français",P20,M20)))))))</f>
        <v>Strong Passing Game: Once per game, after making a Passing Ability test to perform a Pass action, Skrull may choose to modify the dice roll by adding his Strength characteristic to it</v>
      </c>
      <c r="J20" s="216">
        <v>150000</v>
      </c>
      <c r="K20" s="216">
        <v>1</v>
      </c>
      <c r="M20" s="14" t="s">
        <v>1035</v>
      </c>
      <c r="N20" s="14" t="s">
        <v>1036</v>
      </c>
      <c r="O20" s="14" t="s">
        <v>1037</v>
      </c>
      <c r="P20" s="14" t="s">
        <v>1038</v>
      </c>
      <c r="Q20" s="14" t="s">
        <v>1604</v>
      </c>
      <c r="R20" s="14"/>
      <c r="S20" s="14" t="s">
        <v>1039</v>
      </c>
      <c r="T20" s="14" t="s">
        <v>1040</v>
      </c>
      <c r="U20" s="14" t="s">
        <v>1041</v>
      </c>
      <c r="V20" s="14" t="s">
        <v>1042</v>
      </c>
      <c r="W20" s="14"/>
    </row>
    <row r="21" spans="1:23" ht="12.75" customHeight="1" x14ac:dyDescent="0.2">
      <c r="A21" s="260" t="s">
        <v>1043</v>
      </c>
      <c r="B21" s="260" t="s">
        <v>1044</v>
      </c>
      <c r="C21" s="197">
        <v>7</v>
      </c>
      <c r="D21" s="197">
        <v>2</v>
      </c>
      <c r="E21" s="197" t="s">
        <v>871</v>
      </c>
      <c r="F21" s="197" t="s">
        <v>871</v>
      </c>
      <c r="G21" s="197" t="s">
        <v>945</v>
      </c>
      <c r="H21" s="215" t="str">
        <f>IF(Roster!$K$25="Español",T21,(IF(Roster!$K$25="Deutsch",U21,(IF(Roster!$K$25="Français",V21,S21)))))</f>
        <v>Accurate, Dodge, Loner (3+), Pass, Side Step, Sure Hands</v>
      </c>
      <c r="I21" s="215" t="str">
        <f>IF(Roster!$K$25="Español",N21,(IF(Roster!$K$25="Deutsch",O21,(IF(Roster!$K$25="Italiano",Q21,(IF(Roster!$K$25="Français",P21,M21)))))))</f>
        <v>Shot to Nothing: Once per game, when Gloriel performs a Pass action, she may gain the Hail Mary Pass skill. You must declare this special rule is being used when Gloriel is activated</v>
      </c>
      <c r="J21" s="216">
        <v>150000</v>
      </c>
      <c r="K21" s="216">
        <v>1</v>
      </c>
      <c r="M21" s="14" t="s">
        <v>1045</v>
      </c>
      <c r="N21" s="14" t="s">
        <v>1046</v>
      </c>
      <c r="O21" s="14" t="s">
        <v>1047</v>
      </c>
      <c r="P21" s="14" t="s">
        <v>1048</v>
      </c>
      <c r="Q21" s="14" t="s">
        <v>1605</v>
      </c>
      <c r="R21" s="14"/>
      <c r="S21" s="14" t="s">
        <v>1049</v>
      </c>
      <c r="T21" s="14" t="s">
        <v>1050</v>
      </c>
      <c r="U21" s="14" t="s">
        <v>1051</v>
      </c>
      <c r="V21" s="14" t="s">
        <v>1052</v>
      </c>
      <c r="W21" s="14"/>
    </row>
    <row r="22" spans="1:23" ht="12.75" customHeight="1" x14ac:dyDescent="0.2">
      <c r="A22" s="260" t="s">
        <v>1053</v>
      </c>
      <c r="B22" s="260" t="s">
        <v>1054</v>
      </c>
      <c r="C22" s="197">
        <v>5</v>
      </c>
      <c r="D22" s="197">
        <v>4</v>
      </c>
      <c r="E22" s="197" t="s">
        <v>883</v>
      </c>
      <c r="F22" s="197" t="s">
        <v>872</v>
      </c>
      <c r="G22" s="197" t="s">
        <v>884</v>
      </c>
      <c r="H22" s="215" t="str">
        <f>IF(Roster!$K$25="Español",T22,(IF(Roster!$K$25="Deutsch",U22,(IF(Roster!$K$25="Français",V22,S22)))))</f>
        <v>Dauntless, Loner (4+), Side Step, Thick Skull</v>
      </c>
      <c r="I22" s="215" t="str">
        <f>IF(Roster!$K$25="Español",N22,(IF(Roster!$K$25="Deutsch",O22,(IF(Roster!$K$25="Italiano",Q22,(IF(Roster!$K$25="Français",P22,M22)))))))</f>
        <v>Indomitable: Once per game, when Willow successfully rolls to use her Dauntless skill, she may increase her Strength characteristic to double that of the nominated target of her Block action</v>
      </c>
      <c r="J22" s="216">
        <v>150000</v>
      </c>
      <c r="K22" s="216">
        <v>1</v>
      </c>
      <c r="M22" s="14" t="s">
        <v>1055</v>
      </c>
      <c r="N22" s="14" t="s">
        <v>1056</v>
      </c>
      <c r="O22" s="14" t="s">
        <v>1057</v>
      </c>
      <c r="P22" s="14" t="s">
        <v>1058</v>
      </c>
      <c r="Q22" s="14" t="s">
        <v>1606</v>
      </c>
      <c r="R22" s="14"/>
      <c r="S22" s="14" t="s">
        <v>1059</v>
      </c>
      <c r="T22" s="14" t="s">
        <v>1060</v>
      </c>
      <c r="U22" s="14" t="s">
        <v>1061</v>
      </c>
      <c r="V22" s="14" t="s">
        <v>1062</v>
      </c>
      <c r="W22" s="14"/>
    </row>
    <row r="23" spans="1:23" ht="12.75" customHeight="1" x14ac:dyDescent="0.2">
      <c r="A23" s="260" t="s">
        <v>1063</v>
      </c>
      <c r="B23" s="260" t="s">
        <v>1064</v>
      </c>
      <c r="C23" s="197">
        <v>8</v>
      </c>
      <c r="D23" s="197">
        <v>3</v>
      </c>
      <c r="E23" s="197" t="s">
        <v>871</v>
      </c>
      <c r="F23" s="197" t="s">
        <v>923</v>
      </c>
      <c r="G23" s="197" t="s">
        <v>945</v>
      </c>
      <c r="H23" s="215" t="str">
        <f>IF(Roster!$K$25="Español",T23,(IF(Roster!$K$25="Deutsch",U23,(IF(Roster!$K$25="Français",V23,S23)))))</f>
        <v>Catch, Dodge, Hypnotic Gaze, Loner (4+), Nerves of Steel, On the Ball</v>
      </c>
      <c r="I23" s="215" t="str">
        <f>IF(Roster!$K$25="Español",N23,(IF(Roster!$K$25="Deutsch",O23,(IF(Roster!$K$25="Italiano",Q23,(IF(Roster!$K$25="Français",P23,M23)))))))</f>
        <v>Mesmerizing Dance: Once per game, Eldril may re-roll a failed Agility test when attempting to use the Hypnotic Gaze trait</v>
      </c>
      <c r="J23" s="216">
        <v>230000</v>
      </c>
      <c r="K23" s="216">
        <v>1</v>
      </c>
      <c r="M23" s="14" t="s">
        <v>1065</v>
      </c>
      <c r="N23" s="14" t="s">
        <v>1066</v>
      </c>
      <c r="O23" s="14" t="s">
        <v>1067</v>
      </c>
      <c r="P23" s="14" t="s">
        <v>1068</v>
      </c>
      <c r="Q23" s="14" t="s">
        <v>1607</v>
      </c>
      <c r="R23" s="14"/>
      <c r="S23" s="14" t="s">
        <v>1069</v>
      </c>
      <c r="T23" s="14" t="s">
        <v>1070</v>
      </c>
      <c r="U23" s="14" t="s">
        <v>1071</v>
      </c>
      <c r="V23" s="14" t="s">
        <v>1072</v>
      </c>
      <c r="W23" s="14"/>
    </row>
    <row r="24" spans="1:23" ht="12.75" customHeight="1" x14ac:dyDescent="0.2">
      <c r="A24" s="260" t="s">
        <v>1073</v>
      </c>
      <c r="B24" s="260" t="s">
        <v>1074</v>
      </c>
      <c r="C24" s="197">
        <v>5</v>
      </c>
      <c r="D24" s="197">
        <v>5</v>
      </c>
      <c r="E24" s="197" t="s">
        <v>904</v>
      </c>
      <c r="F24" s="197" t="s">
        <v>923</v>
      </c>
      <c r="G24" s="197" t="s">
        <v>905</v>
      </c>
      <c r="H24" s="215" t="str">
        <f>IF(Roster!$K$25="Español",T24,(IF(Roster!$K$25="Deutsch",U24,(IF(Roster!$K$25="Français",V24,S24)))))</f>
        <v>Disturbing Presence, Juggernaut, Loner (4+), Mighty Blow (+1), Prehensile Tail, Regeneration, Sure Feet</v>
      </c>
      <c r="I24" s="215" t="str">
        <f>IF(Roster!$K$25="Español",N24,(IF(Roster!$K$25="Deutsch",O24,(IF(Roster!$K$25="Italiano",Q24,(IF(Roster!$K$25="Français",P24,M24)))))))</f>
        <v>“Excuse Me, Are You a Zoat?”: Once per game, when Zolcath is activated, he may gain the Hypnotic Gaze trait. You must declare this special rule is being used when Zolcath is activated</v>
      </c>
      <c r="J24" s="216">
        <v>230000</v>
      </c>
      <c r="K24" s="216">
        <v>1</v>
      </c>
      <c r="M24" s="14" t="s">
        <v>1075</v>
      </c>
      <c r="N24" s="14" t="s">
        <v>1076</v>
      </c>
      <c r="O24" s="14" t="s">
        <v>1077</v>
      </c>
      <c r="P24" s="14" t="s">
        <v>1078</v>
      </c>
      <c r="Q24" s="14" t="s">
        <v>1608</v>
      </c>
      <c r="R24" s="14"/>
      <c r="S24" s="14" t="s">
        <v>1079</v>
      </c>
      <c r="T24" s="14" t="s">
        <v>1080</v>
      </c>
      <c r="U24" s="14" t="s">
        <v>1081</v>
      </c>
      <c r="V24" s="14" t="s">
        <v>1082</v>
      </c>
      <c r="W24" s="14"/>
    </row>
    <row r="25" spans="1:23" ht="12.75" customHeight="1" x14ac:dyDescent="0.2">
      <c r="A25" s="260" t="s">
        <v>1083</v>
      </c>
      <c r="B25" s="260" t="s">
        <v>1084</v>
      </c>
      <c r="C25" s="197">
        <v>8</v>
      </c>
      <c r="D25" s="197">
        <v>3</v>
      </c>
      <c r="E25" s="197" t="s">
        <v>1085</v>
      </c>
      <c r="F25" s="197" t="s">
        <v>904</v>
      </c>
      <c r="G25" s="197" t="s">
        <v>945</v>
      </c>
      <c r="H25" s="215" t="str">
        <f>IF(Roster!$K$25="Español",T25,(IF(Roster!$K$25="Deutsch",U25,(IF(Roster!$K$25="Français",V25,S25)))))</f>
        <v>Dodge, Frenzy, Jump Up, Juggernaut, Leap, Loner (4+)</v>
      </c>
      <c r="I25" s="215" t="str">
        <f>IF(Roster!$K$25="Español",N25,(IF(Roster!$K$25="Deutsch",O25,(IF(Roster!$K$25="Italiano",Q25,(IF(Roster!$K$25="Français",P25,M25)))))))</f>
        <v>Burst of Speed: Once per game, Roxanna may attempt to Rush three times, rather than the usual two. You may declare you are using this special rule after Roxanna has Rushed twice</v>
      </c>
      <c r="J25" s="216">
        <v>270000</v>
      </c>
      <c r="K25" s="216">
        <v>1</v>
      </c>
      <c r="M25" s="14" t="s">
        <v>1086</v>
      </c>
      <c r="N25" s="14" t="s">
        <v>1087</v>
      </c>
      <c r="O25" s="14" t="s">
        <v>1088</v>
      </c>
      <c r="P25" s="14" t="s">
        <v>1089</v>
      </c>
      <c r="Q25" s="14" t="s">
        <v>1609</v>
      </c>
      <c r="R25" s="14"/>
      <c r="S25" s="14" t="s">
        <v>1090</v>
      </c>
      <c r="T25" s="14" t="s">
        <v>1091</v>
      </c>
      <c r="U25" s="14" t="s">
        <v>1092</v>
      </c>
      <c r="V25" s="14" t="s">
        <v>1093</v>
      </c>
      <c r="W25" s="14"/>
    </row>
    <row r="26" spans="1:23" ht="12.75" customHeight="1" x14ac:dyDescent="0.2">
      <c r="A26" s="260" t="s">
        <v>1094</v>
      </c>
      <c r="B26" s="260" t="s">
        <v>1095</v>
      </c>
      <c r="C26" s="197">
        <v>7</v>
      </c>
      <c r="D26" s="197">
        <v>3</v>
      </c>
      <c r="E26" s="197" t="s">
        <v>871</v>
      </c>
      <c r="F26" s="197" t="s">
        <v>923</v>
      </c>
      <c r="G26" s="197" t="s">
        <v>884</v>
      </c>
      <c r="H26" s="215" t="str">
        <f>IF(Roster!$K$25="Español",T26,(IF(Roster!$K$25="Deutsch",U26,(IF(Roster!$K$25="Français",V26,S26)))))</f>
        <v>Block, Loner (4+), Mighty Blow (+1), Tackle</v>
      </c>
      <c r="I26" s="215" t="str">
        <f>IF(Roster!$K$25="Español",N26,(IF(Roster!$K$25="Deutsch",O26,(IF(Roster!$K$25="Italiano",Q26,(IF(Roster!$K$25="Français",P26,M26)))))))</f>
        <v>Two for One: The Swift Twins must be hired as a pair and count as two Star Players. However, if either Lucien or Valen is removed from play due to suffering a KO’d or Casualty! result on the Injury table, the other replaces the Loner (4+) trait with the Loner (2+) trait</v>
      </c>
      <c r="J26" s="216">
        <v>340000</v>
      </c>
      <c r="K26" s="216">
        <v>1</v>
      </c>
      <c r="M26" s="14" t="s">
        <v>1096</v>
      </c>
      <c r="N26" s="14" t="s">
        <v>1097</v>
      </c>
      <c r="O26" s="14" t="s">
        <v>1098</v>
      </c>
      <c r="P26" s="14" t="s">
        <v>1099</v>
      </c>
      <c r="Q26" s="14" t="s">
        <v>1610</v>
      </c>
      <c r="R26" s="14"/>
      <c r="S26" s="14" t="s">
        <v>1100</v>
      </c>
      <c r="T26" s="14" t="s">
        <v>1101</v>
      </c>
      <c r="U26" s="14" t="s">
        <v>1102</v>
      </c>
      <c r="V26" s="14" t="s">
        <v>1103</v>
      </c>
      <c r="W26" s="14"/>
    </row>
    <row r="27" spans="1:23" ht="12.75" customHeight="1" x14ac:dyDescent="0.2">
      <c r="A27" s="260" t="s">
        <v>1104</v>
      </c>
      <c r="B27" s="260" t="s">
        <v>1105</v>
      </c>
      <c r="C27" s="197">
        <v>7</v>
      </c>
      <c r="D27" s="197">
        <v>3</v>
      </c>
      <c r="E27" s="197" t="s">
        <v>871</v>
      </c>
      <c r="F27" s="197" t="s">
        <v>871</v>
      </c>
      <c r="G27" s="197" t="s">
        <v>945</v>
      </c>
      <c r="H27" s="215" t="str">
        <f>IF(Roster!$K$25="Español",T27,(IF(Roster!$K$25="Deutsch",U27,(IF(Roster!$K$25="Français",V27,S27)))))</f>
        <v>Accurate, Loner (4+), Nerves of Steel, Pass, Safe Pass, Sure Hands</v>
      </c>
      <c r="I27" s="215" t="str">
        <f>IF(Roster!$K$25="Español",N27,(IF(Roster!$K$25="Deutsch",O27,(IF(Roster!$K$25="Italiano",Q27,(IF(Roster!$K$25="Français",P27,M27)))))))</f>
        <v>Two for One: The Swift Twins must be hired as a pair and count as two Star Players. However, if either Lucien or Valen is removed from play due to suffering a KO’d or Casualty! result on the Injury table, the other replaces the Loner (4+) trait with the Loner (2+) trait</v>
      </c>
      <c r="J27" s="216">
        <v>0</v>
      </c>
      <c r="K27" s="216">
        <v>1</v>
      </c>
      <c r="M27" s="14" t="s">
        <v>1096</v>
      </c>
      <c r="N27" s="14" t="s">
        <v>1097</v>
      </c>
      <c r="O27" s="14" t="s">
        <v>1098</v>
      </c>
      <c r="P27" s="14" t="s">
        <v>1099</v>
      </c>
      <c r="Q27" s="14" t="s">
        <v>1610</v>
      </c>
      <c r="R27" s="14"/>
      <c r="S27" s="14" t="s">
        <v>1106</v>
      </c>
      <c r="T27" s="14" t="s">
        <v>1107</v>
      </c>
      <c r="U27" s="14" t="s">
        <v>1108</v>
      </c>
      <c r="V27" s="14" t="s">
        <v>1109</v>
      </c>
      <c r="W27" s="14"/>
    </row>
    <row r="28" spans="1:23" ht="12.75" customHeight="1" x14ac:dyDescent="0.2">
      <c r="A28" s="260" t="s">
        <v>1110</v>
      </c>
      <c r="B28" s="260" t="s">
        <v>1111</v>
      </c>
      <c r="C28" s="197">
        <v>5</v>
      </c>
      <c r="D28" s="197">
        <v>5</v>
      </c>
      <c r="E28" s="197" t="s">
        <v>883</v>
      </c>
      <c r="F28" s="197" t="s">
        <v>923</v>
      </c>
      <c r="G28" s="197" t="s">
        <v>905</v>
      </c>
      <c r="H28" s="215" t="str">
        <f>IF(Roster!$K$25="Español",T28,(IF(Roster!$K$25="Deutsch",U28,(IF(Roster!$K$25="Français",V28,S28)))))</f>
        <v>Block, Dirty Player (+2), Loner (4+), Mighty Blow (+1), Sneaky Git</v>
      </c>
      <c r="I28" s="215" t="str">
        <f>IF(Roster!$K$25="Español",N28,(IF(Roster!$K$25="Deutsch",O28,(IF(Roster!$K$25="Italiano",Q28,(IF(Roster!$K$25="Français",P28,M28)))))))</f>
        <v>Lord of Chaos: A team that includes Lord Borak gains an extra Team re-roll for the first half of the game. If this Team re-roll is not used during the first half, it may be carried over into the second half. However, if Lord Borak is removed from play before this re-roll is used, it is lost</v>
      </c>
      <c r="J28" s="216">
        <v>260000</v>
      </c>
      <c r="K28" s="216">
        <v>1</v>
      </c>
      <c r="M28" s="14" t="s">
        <v>1112</v>
      </c>
      <c r="N28" s="14" t="s">
        <v>1113</v>
      </c>
      <c r="O28" s="14" t="s">
        <v>1114</v>
      </c>
      <c r="P28" s="14" t="s">
        <v>1115</v>
      </c>
      <c r="Q28" s="14" t="s">
        <v>1611</v>
      </c>
      <c r="R28" s="14"/>
      <c r="S28" s="14" t="s">
        <v>1116</v>
      </c>
      <c r="T28" s="14" t="s">
        <v>1117</v>
      </c>
      <c r="U28" s="14" t="s">
        <v>1118</v>
      </c>
      <c r="V28" s="14" t="s">
        <v>1119</v>
      </c>
      <c r="W28" s="14"/>
    </row>
    <row r="29" spans="1:23" ht="12.75" customHeight="1" x14ac:dyDescent="0.2">
      <c r="A29" s="247" t="s">
        <v>1120</v>
      </c>
      <c r="B29" s="260" t="s">
        <v>1121</v>
      </c>
      <c r="C29" s="197">
        <v>5</v>
      </c>
      <c r="D29" s="197">
        <v>3</v>
      </c>
      <c r="E29" s="197" t="s">
        <v>904</v>
      </c>
      <c r="F29" s="197" t="s">
        <v>253</v>
      </c>
      <c r="G29" s="197" t="s">
        <v>884</v>
      </c>
      <c r="H29" s="215" t="str">
        <f>IF(Roster!$K$25="Español",T29,(IF(Roster!$K$25="Deutsch",U29,(IF(Roster!$K$25="Français",V29,S29)))))</f>
        <v>Chainsaw, Loner (4+), Regeneration, Secret Weapon, Stand Firm, Thick Skull</v>
      </c>
      <c r="I29" s="215" t="str">
        <f>IF(Roster!$K$25="Español",N29,(IF(Roster!$K$25="Deutsch",O29,(IF(Roster!$K$25="Italiano",Q29,(IF(Roster!$K$25="Français",P29,M29)))))))</f>
        <v>Ghostly Flames: Once por half, when Bryce makes the Chainsaw Attack Special action as part of a Blitz action, he may add +4 to the Armour roll against the opponent rather than +3</v>
      </c>
      <c r="J29" s="216">
        <v>130000</v>
      </c>
      <c r="K29" s="216">
        <v>1</v>
      </c>
      <c r="M29" s="14" t="s">
        <v>1122</v>
      </c>
      <c r="N29" s="14" t="s">
        <v>1123</v>
      </c>
      <c r="O29" s="14" t="s">
        <v>1124</v>
      </c>
      <c r="P29" s="14" t="s">
        <v>1125</v>
      </c>
      <c r="Q29" s="14" t="s">
        <v>1612</v>
      </c>
      <c r="R29" s="14"/>
      <c r="S29" s="14" t="s">
        <v>1126</v>
      </c>
      <c r="T29" s="14" t="s">
        <v>1127</v>
      </c>
      <c r="U29" s="14" t="s">
        <v>1128</v>
      </c>
      <c r="V29" s="14" t="s">
        <v>1129</v>
      </c>
      <c r="W29" s="14"/>
    </row>
    <row r="30" spans="1:23" ht="12.75" customHeight="1" x14ac:dyDescent="0.2">
      <c r="A30" s="260" t="s">
        <v>1130</v>
      </c>
      <c r="B30" s="260" t="s">
        <v>1131</v>
      </c>
      <c r="C30" s="197">
        <v>8</v>
      </c>
      <c r="D30" s="197">
        <v>4</v>
      </c>
      <c r="E30" s="197" t="s">
        <v>883</v>
      </c>
      <c r="F30" s="197" t="s">
        <v>904</v>
      </c>
      <c r="G30" s="197" t="s">
        <v>884</v>
      </c>
      <c r="H30" s="215" t="str">
        <f>IF(Roster!$K$25="Español",T30,(IF(Roster!$K$25="Deutsch",U30,(IF(Roster!$K$25="Français",V30,S30)))))</f>
        <v>Catch, Claws, Frenzy, Loner (4+), Regeneration, Wrestle</v>
      </c>
      <c r="I30" s="215" t="str">
        <f>IF(Roster!$K$25="Español",N30,(IF(Roster!$K$25="Deutsch",O30,(IF(Roster!$K$25="Italiano",Q30,(IF(Roster!$K$25="Français",P30,M30)))))))</f>
        <v>Savage Mauling: Once per game, when Wilhelm makes an Injury roll against an opposing player, he may choose to re-roll the result</v>
      </c>
      <c r="J30" s="216">
        <v>220000</v>
      </c>
      <c r="K30" s="216">
        <v>1</v>
      </c>
      <c r="M30" s="14" t="s">
        <v>1132</v>
      </c>
      <c r="N30" s="14" t="s">
        <v>1133</v>
      </c>
      <c r="O30" s="14" t="s">
        <v>1134</v>
      </c>
      <c r="P30" s="14" t="s">
        <v>1135</v>
      </c>
      <c r="Q30" s="14" t="s">
        <v>1613</v>
      </c>
      <c r="R30" s="14"/>
      <c r="S30" s="14" t="s">
        <v>1136</v>
      </c>
      <c r="T30" s="14" t="s">
        <v>1137</v>
      </c>
      <c r="U30" s="14" t="s">
        <v>1138</v>
      </c>
      <c r="V30" s="14" t="s">
        <v>1139</v>
      </c>
      <c r="W30" s="14"/>
    </row>
    <row r="31" spans="1:23" ht="12.75" customHeight="1" x14ac:dyDescent="0.2">
      <c r="A31" s="260" t="s">
        <v>1140</v>
      </c>
      <c r="B31" s="260" t="s">
        <v>1141</v>
      </c>
      <c r="C31" s="197">
        <v>7</v>
      </c>
      <c r="D31" s="197">
        <v>3</v>
      </c>
      <c r="E31" s="197" t="s">
        <v>871</v>
      </c>
      <c r="F31" s="197" t="s">
        <v>253</v>
      </c>
      <c r="G31" s="197" t="s">
        <v>884</v>
      </c>
      <c r="H31" s="215" t="str">
        <f>IF(Roster!$K$25="Español",T31,(IF(Roster!$K$25="Deutsch",U31,(IF(Roster!$K$25="Français",V31,S31)))))</f>
        <v>Disturbing Presence, Dodge, Foul Appearance, Jump Up, Loner (4+), No Hands, Regeneration, Shadowing, Side Step</v>
      </c>
      <c r="I31" s="215" t="str">
        <f>IF(Roster!$K$25="Español",N31,(IF(Roster!$K$25="Deutsch",O31,(IF(Roster!$K$25="Italiano",Q31,(IF(Roster!$K$25="Français",P31,M31)))))))</f>
        <v>Incorporeal: Once per game, after making an Agility test to dodge, Gretchen may choose to modify the dice roll by adding her Strength characteristic to it</v>
      </c>
      <c r="J31" s="216">
        <v>260000</v>
      </c>
      <c r="K31" s="216">
        <v>1</v>
      </c>
      <c r="M31" s="14" t="s">
        <v>1142</v>
      </c>
      <c r="N31" s="14" t="s">
        <v>1143</v>
      </c>
      <c r="O31" s="14" t="s">
        <v>1144</v>
      </c>
      <c r="P31" s="14" t="s">
        <v>1145</v>
      </c>
      <c r="Q31" s="14" t="s">
        <v>1614</v>
      </c>
      <c r="R31" s="14"/>
      <c r="S31" s="14" t="s">
        <v>1146</v>
      </c>
      <c r="T31" s="14" t="s">
        <v>1147</v>
      </c>
      <c r="U31" s="14" t="s">
        <v>1148</v>
      </c>
      <c r="V31" s="14" t="s">
        <v>1149</v>
      </c>
      <c r="W31" s="14"/>
    </row>
    <row r="32" spans="1:23" ht="12.75" customHeight="1" x14ac:dyDescent="0.2">
      <c r="A32" s="260" t="s">
        <v>1150</v>
      </c>
      <c r="B32" s="260" t="s">
        <v>1151</v>
      </c>
      <c r="C32" s="197">
        <v>4</v>
      </c>
      <c r="D32" s="197">
        <v>5</v>
      </c>
      <c r="E32" s="197" t="s">
        <v>904</v>
      </c>
      <c r="F32" s="197" t="s">
        <v>872</v>
      </c>
      <c r="G32" s="197" t="s">
        <v>905</v>
      </c>
      <c r="H32" s="215" t="str">
        <f>IF(Roster!$K$25="Español",T32,(IF(Roster!$K$25="Deutsch",U32,(IF(Roster!$K$25="Français",V32,S32)))))</f>
        <v>Block, Loner (4+), Mighty Blow (+1)</v>
      </c>
      <c r="I32" s="215" t="str">
        <f>IF(Roster!$K$25="Español",N32,(IF(Roster!$K$25="Deutsch",O32,(IF(Roster!$K$25="Italiano",Q32,(IF(Roster!$K$25="Français",P32,M32)))))))</f>
        <v>Crushing Blow: Once per game, when an opposition player is Knocked Down as the result of a Block action performed by Zug, you may apply an additional +1 modifier to the Armour roll. This modifier may be applied after the roll has been made</v>
      </c>
      <c r="J32" s="216">
        <v>220000</v>
      </c>
      <c r="K32" s="216">
        <v>1</v>
      </c>
      <c r="M32" s="14" t="s">
        <v>1152</v>
      </c>
      <c r="N32" s="14" t="s">
        <v>1153</v>
      </c>
      <c r="O32" s="14" t="s">
        <v>1154</v>
      </c>
      <c r="P32" s="14" t="s">
        <v>1155</v>
      </c>
      <c r="Q32" s="14" t="s">
        <v>1615</v>
      </c>
      <c r="R32" s="14"/>
      <c r="S32" s="14" t="s">
        <v>1156</v>
      </c>
      <c r="T32" s="14" t="s">
        <v>1157</v>
      </c>
      <c r="U32" s="14" t="s">
        <v>1158</v>
      </c>
      <c r="V32" s="14" t="s">
        <v>1159</v>
      </c>
      <c r="W32" s="14"/>
    </row>
    <row r="33" spans="1:34" ht="12.75" customHeight="1" x14ac:dyDescent="0.2">
      <c r="A33" s="260" t="s">
        <v>1160</v>
      </c>
      <c r="B33" s="260" t="s">
        <v>1161</v>
      </c>
      <c r="C33" s="260">
        <v>6</v>
      </c>
      <c r="D33" s="260">
        <v>6</v>
      </c>
      <c r="E33" s="260" t="s">
        <v>904</v>
      </c>
      <c r="F33" s="260" t="s">
        <v>253</v>
      </c>
      <c r="G33" s="260" t="s">
        <v>884</v>
      </c>
      <c r="H33" s="215" t="str">
        <f>IF(Roster!$K$25="Español",T33,(IF(Roster!$K$25="Deutsch",U33,(IF(Roster!$K$25="Français",V33,S33)))))</f>
        <v>Fenzy, Horns, Loner (4+), Mighty Blow (+1), Thick Skull, Unchannelled Fury</v>
      </c>
      <c r="I33" s="215" t="str">
        <f>IF(Roster!$K$25="Español",N33,(IF(Roster!$K$25="Deutsch",O33,(IF(Roster!$K$25="Italiano",Q33,(IF(Roster!$K$25="Français",P33,M33)))))))</f>
        <v>Gored by the Bull: Once per game, when Grashnak performs a Blitz action, Grashnak may roll one additional Block dice against the opposition player, regardless of the opposition player's Strenght, to a maximum of three Block dice. If Grashnak performs a second Block actuion due to the Frenzy skill, this second Black action will also benefit from this rule.</v>
      </c>
      <c r="J33" s="227">
        <v>240000</v>
      </c>
      <c r="K33" s="260">
        <v>1</v>
      </c>
      <c r="L33" s="261"/>
      <c r="M33" s="262" t="s">
        <v>1162</v>
      </c>
      <c r="N33" s="262" t="s">
        <v>1163</v>
      </c>
      <c r="O33" s="14" t="s">
        <v>1164</v>
      </c>
      <c r="P33" s="14" t="s">
        <v>1165</v>
      </c>
      <c r="Q33" s="14" t="s">
        <v>1616</v>
      </c>
      <c r="R33" s="14"/>
      <c r="S33" s="14" t="s">
        <v>1166</v>
      </c>
      <c r="T33" s="14" t="s">
        <v>1167</v>
      </c>
      <c r="U33" s="14" t="s">
        <v>1168</v>
      </c>
      <c r="V33" s="14" t="s">
        <v>1169</v>
      </c>
      <c r="W33" s="14"/>
      <c r="AA33" s="197"/>
      <c r="AB33" s="197"/>
      <c r="AC33" s="197"/>
      <c r="AD33" s="197"/>
      <c r="AE33" s="197"/>
      <c r="AF33" s="197"/>
      <c r="AG33" s="197"/>
      <c r="AH33" s="197"/>
    </row>
    <row r="34" spans="1:34" ht="12.75" customHeight="1" x14ac:dyDescent="0.2">
      <c r="A34" s="260" t="s">
        <v>1170</v>
      </c>
      <c r="B34" s="260" t="s">
        <v>1171</v>
      </c>
      <c r="C34" s="260">
        <v>5</v>
      </c>
      <c r="D34" s="260">
        <v>5</v>
      </c>
      <c r="E34" s="260" t="s">
        <v>904</v>
      </c>
      <c r="F34" s="260" t="s">
        <v>253</v>
      </c>
      <c r="G34" s="260" t="s">
        <v>905</v>
      </c>
      <c r="H34" s="215" t="str">
        <f>IF(Roster!$K$25="Español",T34,(IF(Roster!$K$25="Deutsch",U34,(IF(Roster!$K$25="Français",V34,S34)))))</f>
        <v>Claws, Frenzy, Loner (4+), Mighty Blow (+1), Prehensile Tail, Thick Skull, Unchannelled Fury</v>
      </c>
      <c r="I34" s="215" t="str">
        <f>IF(Roster!$K$25="Español",N34,(IF(Roster!$K$25="Deutsch",O34,(IF(Roster!$K$25="Italiano",Q34,(IF(Roster!$K$25="Français",P34,M34)))))))</f>
        <v>Fury of the Blood God: Once per game, if Scyla rolls a 1 for his Unchannelled Fury roll after declaring a Block action, instead of applying the usual efects of Unchannelled Fury, Scyla may perform two Block actions instead.</v>
      </c>
      <c r="J34" s="227">
        <v>200000</v>
      </c>
      <c r="K34" s="260">
        <v>1</v>
      </c>
      <c r="L34" s="261"/>
      <c r="M34" s="262" t="s">
        <v>1172</v>
      </c>
      <c r="N34" s="262" t="s">
        <v>1173</v>
      </c>
      <c r="O34" s="14" t="s">
        <v>1174</v>
      </c>
      <c r="P34" s="14" t="s">
        <v>1175</v>
      </c>
      <c r="Q34" s="14" t="s">
        <v>1617</v>
      </c>
      <c r="R34" s="14"/>
      <c r="S34" s="14" t="s">
        <v>1176</v>
      </c>
      <c r="T34" s="14" t="s">
        <v>1177</v>
      </c>
      <c r="U34" s="14" t="s">
        <v>1178</v>
      </c>
      <c r="V34" s="14" t="s">
        <v>1179</v>
      </c>
      <c r="W34" s="14"/>
      <c r="AA34" s="197"/>
      <c r="AB34" s="197"/>
      <c r="AC34" s="197"/>
      <c r="AD34" s="197"/>
      <c r="AE34" s="197"/>
      <c r="AF34" s="197"/>
      <c r="AG34" s="197"/>
      <c r="AH34" s="197"/>
    </row>
    <row r="35" spans="1:34" ht="12.75" customHeight="1" x14ac:dyDescent="0.2">
      <c r="A35" s="260" t="s">
        <v>1180</v>
      </c>
      <c r="B35" s="260" t="s">
        <v>1181</v>
      </c>
      <c r="C35" s="260">
        <v>5</v>
      </c>
      <c r="D35" s="260">
        <v>4</v>
      </c>
      <c r="E35" s="260" t="s">
        <v>904</v>
      </c>
      <c r="F35" s="260" t="s">
        <v>253</v>
      </c>
      <c r="G35" s="260" t="s">
        <v>884</v>
      </c>
      <c r="H35" s="215" t="str">
        <f>IF(Roster!$K$25="Español",T35,(IF(Roster!$K$25="Deutsch",U35,(IF(Roster!$K$25="Français",V35,S35)))))</f>
        <v>Chainsaw, Loner (4+), Secret Weapon</v>
      </c>
      <c r="I35" s="215" t="str">
        <f>IF(Roster!$K$25="Español",N35,(IF(Roster!$K$25="Deutsch",O35,(IF(Roster!$K$25="Italiano",Q35,(IF(Roster!$K$25="Français",P35,M35)))))))</f>
        <v>Maximum Carnage: Once per game, after Max performs a Chainsaw Attack Special action he may immediately perform another Chainsaw Attack Special action that targets a different opposition player.</v>
      </c>
      <c r="J35" s="227">
        <v>130000</v>
      </c>
      <c r="K35" s="260">
        <v>1</v>
      </c>
      <c r="L35" s="261"/>
      <c r="M35" s="262" t="s">
        <v>1182</v>
      </c>
      <c r="N35" s="262" t="s">
        <v>1183</v>
      </c>
      <c r="O35" s="14" t="s">
        <v>1184</v>
      </c>
      <c r="P35" s="14" t="s">
        <v>1185</v>
      </c>
      <c r="Q35" s="14" t="s">
        <v>1618</v>
      </c>
      <c r="R35" s="14"/>
      <c r="S35" s="14" t="s">
        <v>1186</v>
      </c>
      <c r="T35" s="14" t="s">
        <v>1187</v>
      </c>
      <c r="U35" s="14" t="s">
        <v>1188</v>
      </c>
      <c r="V35" s="14" t="s">
        <v>1189</v>
      </c>
      <c r="W35" s="14"/>
      <c r="AA35" s="197"/>
      <c r="AB35" s="197"/>
      <c r="AC35" s="197"/>
      <c r="AD35" s="197"/>
      <c r="AE35" s="197"/>
      <c r="AF35" s="197"/>
      <c r="AG35" s="197"/>
      <c r="AH35" s="197"/>
    </row>
    <row r="36" spans="1:34" ht="12.75" customHeight="1" x14ac:dyDescent="0.2">
      <c r="A36" s="8" t="s">
        <v>1328</v>
      </c>
      <c r="B36" s="8" t="s">
        <v>1335</v>
      </c>
      <c r="C36" s="8">
        <v>5</v>
      </c>
      <c r="D36" s="8">
        <v>7</v>
      </c>
      <c r="E36" s="8" t="s">
        <v>904</v>
      </c>
      <c r="F36" s="8" t="s">
        <v>253</v>
      </c>
      <c r="G36" s="8" t="s">
        <v>905</v>
      </c>
      <c r="H36" s="215" t="str">
        <f>IF(Roster!$K$25="Español",T36,(IF(Roster!$K$25="Deutsch",U36,(IF(Roster!$K$25="Français",V36,S36)))))</f>
        <v>Ball &amp; Chain, Loner (4+), Mighty Blow (+1), No Hands, Prehensile Tail, Secret Weapon</v>
      </c>
      <c r="I36" s="215" t="str">
        <f>IF(Roster!$K$25="Español",N36,(IF(Roster!$K$25="Deutsch",O36,(IF(Roster!$K$25="Italiano",Q36,(IF(Roster!$K$25="Français",P36,M36)))))))</f>
        <v>I'll Be Back: The first time in a game that Kreek is sent off due to his secret weapon, he is not sent off and instead may continue as part of the game.</v>
      </c>
      <c r="J36" s="7">
        <v>170000</v>
      </c>
      <c r="K36" s="8">
        <v>1</v>
      </c>
      <c r="L36" s="8"/>
      <c r="M36" s="230" t="s">
        <v>1331</v>
      </c>
      <c r="N36" t="s">
        <v>1334</v>
      </c>
      <c r="O36" t="s">
        <v>1332</v>
      </c>
      <c r="P36" t="s">
        <v>1333</v>
      </c>
      <c r="Q36" s="14" t="s">
        <v>1619</v>
      </c>
      <c r="R36" s="14"/>
      <c r="S36" s="14" t="s">
        <v>1329</v>
      </c>
      <c r="T36" s="14" t="s">
        <v>1330</v>
      </c>
      <c r="U36" s="14" t="s">
        <v>1620</v>
      </c>
      <c r="V36" s="14" t="s">
        <v>1621</v>
      </c>
      <c r="W36" s="8"/>
      <c r="X36" s="8"/>
      <c r="Y36" s="8"/>
      <c r="Z36" s="8"/>
      <c r="AA36" s="8"/>
      <c r="AB36" s="8"/>
      <c r="AC36" s="8"/>
      <c r="AD36" s="8"/>
      <c r="AE36" s="8"/>
      <c r="AF36" s="8"/>
      <c r="AG36" s="8"/>
      <c r="AH36" s="8"/>
    </row>
    <row r="37" spans="1:34" ht="12.75" customHeight="1" x14ac:dyDescent="0.2">
      <c r="A37" s="8" t="s">
        <v>1336</v>
      </c>
      <c r="B37" s="8" t="s">
        <v>1337</v>
      </c>
      <c r="C37" s="8">
        <v>6</v>
      </c>
      <c r="D37" s="8">
        <v>3</v>
      </c>
      <c r="E37" s="8" t="s">
        <v>904</v>
      </c>
      <c r="F37" s="8" t="s">
        <v>883</v>
      </c>
      <c r="G37" s="8" t="s">
        <v>884</v>
      </c>
      <c r="H37" s="215" t="str">
        <f>IF(Roster!$K$25="Español",T37,(IF(Roster!$K$25="Deutsch",U37,(IF(Roster!$K$25="Français",V37,S37)))))</f>
        <v>Hail Mary Pass, Loner (4+), Pass, Secret Weapon, Cannoneer, Sure Hands, Thick Skull</v>
      </c>
      <c r="I37" s="215" t="str">
        <f>IF(Roster!$K$25="Español",N37,(IF(Roster!$K$25="Deutsch",O37,(IF(Roster!$K$25="Italiano",Q37,(IF(Roster!$K$25="Français",P37,M37)))))))</f>
        <v>Blast it!: Once per game, when Barik makes a Hail Mary Pass, he may re-roll any scatter results for determining where the ball lands, and any friendly player attempting to catch the ball gains an additional +1 modifier to the roll.</v>
      </c>
      <c r="J37" s="7">
        <v>80000</v>
      </c>
      <c r="K37" s="8">
        <v>1</v>
      </c>
      <c r="L37" s="8"/>
      <c r="M37" s="14" t="s">
        <v>1338</v>
      </c>
      <c r="N37" s="14" t="s">
        <v>1341</v>
      </c>
      <c r="O37" s="14" t="s">
        <v>1342</v>
      </c>
      <c r="P37" s="14" t="s">
        <v>1343</v>
      </c>
      <c r="Q37" s="14" t="s">
        <v>1622</v>
      </c>
      <c r="R37" s="14"/>
      <c r="S37" s="230" t="s">
        <v>1682</v>
      </c>
      <c r="T37" s="230" t="s">
        <v>1683</v>
      </c>
      <c r="U37" s="230" t="s">
        <v>1685</v>
      </c>
      <c r="V37" s="230" t="s">
        <v>1684</v>
      </c>
      <c r="W37" s="9"/>
      <c r="X37" s="9"/>
      <c r="Y37" s="8"/>
      <c r="Z37" s="8"/>
      <c r="AA37" s="8"/>
      <c r="AB37" s="8"/>
      <c r="AC37" s="8"/>
      <c r="AD37" s="8"/>
      <c r="AE37" s="8"/>
      <c r="AF37" s="8"/>
      <c r="AG37" s="8"/>
      <c r="AH37" s="8"/>
    </row>
    <row r="38" spans="1:34" ht="12.75" customHeight="1" x14ac:dyDescent="0.2">
      <c r="A38" s="260" t="s">
        <v>1350</v>
      </c>
      <c r="B38" s="260" t="s">
        <v>1351</v>
      </c>
      <c r="C38" s="260">
        <v>4</v>
      </c>
      <c r="D38" s="260">
        <v>7</v>
      </c>
      <c r="E38" s="260" t="s">
        <v>883</v>
      </c>
      <c r="F38" s="260" t="s">
        <v>253</v>
      </c>
      <c r="G38" s="260" t="s">
        <v>945</v>
      </c>
      <c r="H38" s="215" t="str">
        <f>IF(Roster!$K$25="Español",T38,(IF(Roster!$K$25="Deutsch",U38,(IF(Roster!$K$25="Français",V38,S38)))))</f>
        <v>Ball &amp; Chain, Mighty Blow (+1), Loner (4+), No Hands, Secret Weapon, Stunty</v>
      </c>
      <c r="I38" s="215" t="str">
        <f>IF(Roster!$K$25="Español",N38,(IF(Roster!$K$25="Deutsch",O38,(IF(Roster!$K$25="Italiano",Q38,(IF(Roster!$K$25="Français",P38,M38)))))))</f>
        <v>Whirling Dervish: Once per activation, Fungus may re-roll the D6 when determining which direction he moves in.</v>
      </c>
      <c r="J38" s="227">
        <v>80000</v>
      </c>
      <c r="K38" s="260">
        <v>1</v>
      </c>
      <c r="L38" s="261"/>
      <c r="M38" s="262" t="s">
        <v>1352</v>
      </c>
      <c r="N38" t="s">
        <v>1353</v>
      </c>
      <c r="O38" s="14" t="s">
        <v>1354</v>
      </c>
      <c r="P38" s="14" t="s">
        <v>1355</v>
      </c>
      <c r="Q38" s="14" t="s">
        <v>1356</v>
      </c>
      <c r="R38" s="14"/>
      <c r="S38" s="14" t="s">
        <v>1357</v>
      </c>
      <c r="T38" s="14" t="s">
        <v>1358</v>
      </c>
      <c r="U38" s="14" t="s">
        <v>1359</v>
      </c>
      <c r="V38" s="14" t="s">
        <v>1360</v>
      </c>
      <c r="W38" s="14"/>
      <c r="AA38" s="197"/>
      <c r="AB38" s="197"/>
      <c r="AC38" s="197"/>
      <c r="AD38" s="197"/>
      <c r="AE38" s="197"/>
      <c r="AF38" s="197"/>
      <c r="AG38" s="197"/>
      <c r="AH38" s="197"/>
    </row>
    <row r="39" spans="1:34" ht="12.75" customHeight="1" x14ac:dyDescent="0.2">
      <c r="A39" s="260" t="s">
        <v>1361</v>
      </c>
      <c r="B39" s="260" t="s">
        <v>1362</v>
      </c>
      <c r="C39" s="260">
        <v>6</v>
      </c>
      <c r="D39" s="260">
        <v>2</v>
      </c>
      <c r="E39" s="260" t="s">
        <v>883</v>
      </c>
      <c r="F39" s="260" t="s">
        <v>883</v>
      </c>
      <c r="G39" s="260" t="s">
        <v>945</v>
      </c>
      <c r="H39" s="215" t="str">
        <f>IF(Roster!$K$25="Español",T39,(IF(Roster!$K$25="Deutsch",U39,(IF(Roster!$K$25="Français",V39,S39)))))</f>
        <v>Accurate, Bombardier, Dodge, Loner (4+), Right Stuff, Secret Weapon, Stunty</v>
      </c>
      <c r="I39" s="215" t="str">
        <f>IF(Roster!$K$25="Español",N39,(IF(Roster!$K$25="Deutsch",O39,(IF(Roster!$K$25="Italiano",Q39,(IF(Roster!$K$25="Français",P39,M39)))))))</f>
        <v>Kaboom!: Once per game, if an opposition player catches a Bomb thrown by Bomber, you can choose to have it explode immediately rather than rolling to see if the player can throw it again.</v>
      </c>
      <c r="J39" s="227">
        <v>50000</v>
      </c>
      <c r="K39" s="260">
        <v>1</v>
      </c>
      <c r="L39" s="261"/>
      <c r="M39" s="262" t="s">
        <v>1363</v>
      </c>
      <c r="N39" s="262" t="s">
        <v>1364</v>
      </c>
      <c r="O39" s="14" t="s">
        <v>1365</v>
      </c>
      <c r="P39" s="14" t="s">
        <v>1366</v>
      </c>
      <c r="Q39" s="14" t="s">
        <v>1367</v>
      </c>
      <c r="R39" s="14"/>
      <c r="S39" s="14" t="s">
        <v>1368</v>
      </c>
      <c r="T39" s="14" t="s">
        <v>1369</v>
      </c>
      <c r="U39" s="14" t="s">
        <v>1370</v>
      </c>
      <c r="V39" s="14" t="s">
        <v>1371</v>
      </c>
      <c r="W39" s="14"/>
      <c r="AA39" s="197"/>
      <c r="AB39" s="197"/>
      <c r="AC39" s="197"/>
      <c r="AD39" s="197"/>
      <c r="AE39" s="197"/>
      <c r="AF39" s="197"/>
      <c r="AG39" s="197"/>
      <c r="AH39" s="197"/>
    </row>
    <row r="40" spans="1:34" ht="12.75" customHeight="1" x14ac:dyDescent="0.2">
      <c r="A40" s="260" t="s">
        <v>1394</v>
      </c>
      <c r="B40" s="260" t="s">
        <v>1397</v>
      </c>
      <c r="C40" s="260">
        <v>6</v>
      </c>
      <c r="D40" s="260">
        <v>4</v>
      </c>
      <c r="E40" s="260" t="s">
        <v>883</v>
      </c>
      <c r="F40" s="260" t="s">
        <v>904</v>
      </c>
      <c r="G40" s="260" t="s">
        <v>884</v>
      </c>
      <c r="H40" s="215" t="str">
        <f>IF(Roster!$K$25="Español",T40,(IF(Roster!$K$25="Deutsch",U40,(IF(Roster!$K$25="Français",V40,S40)))))</f>
        <v>Block, Guard, Loner (3+), Tackle</v>
      </c>
      <c r="I40" s="215" t="str">
        <f>IF(Roster!$K$25="Español",N40,(IF(Roster!$K$25="Deutsch",O40,(IF(Roster!$K$25="Italiano",Q40,(IF(Roster!$K$25="Français",P40,M40)))))))</f>
        <v>Raiding Party: Once per drive, whenever Ivar begins his activation, he may choose one Open player on his team within five squares. The chosen player may immediately move one square, ignoring Tackle Zones, though they must end this move Marking an opposition player.</v>
      </c>
      <c r="J40" s="227">
        <v>245000</v>
      </c>
      <c r="K40" s="260">
        <v>1</v>
      </c>
      <c r="L40" s="261"/>
      <c r="M40" s="262" t="s">
        <v>1398</v>
      </c>
      <c r="N40" s="262" t="s">
        <v>1399</v>
      </c>
      <c r="O40" s="14" t="s">
        <v>1400</v>
      </c>
      <c r="P40" s="14" t="s">
        <v>1401</v>
      </c>
      <c r="Q40" s="14" t="s">
        <v>1402</v>
      </c>
      <c r="R40" s="14"/>
      <c r="S40" s="14" t="s">
        <v>1403</v>
      </c>
      <c r="T40" s="14" t="s">
        <v>1404</v>
      </c>
      <c r="U40" s="14" t="s">
        <v>1406</v>
      </c>
      <c r="V40" s="14" t="s">
        <v>1405</v>
      </c>
      <c r="W40" s="14"/>
      <c r="AA40" s="197"/>
      <c r="AB40" s="197"/>
      <c r="AC40" s="197"/>
      <c r="AD40" s="197"/>
      <c r="AE40" s="197"/>
      <c r="AF40" s="197"/>
      <c r="AG40" s="197"/>
      <c r="AH40" s="197"/>
    </row>
    <row r="41" spans="1:34" ht="12.75" customHeight="1" x14ac:dyDescent="0.2">
      <c r="A41" s="260" t="s">
        <v>1395</v>
      </c>
      <c r="B41" s="260" t="s">
        <v>1407</v>
      </c>
      <c r="C41" s="260">
        <v>5</v>
      </c>
      <c r="D41" s="260">
        <v>5</v>
      </c>
      <c r="E41" s="260" t="s">
        <v>904</v>
      </c>
      <c r="F41" s="260" t="s">
        <v>253</v>
      </c>
      <c r="G41" s="260" t="s">
        <v>884</v>
      </c>
      <c r="H41" s="215" t="str">
        <f>IF(Roster!$K$25="Español",T41,(IF(Roster!$K$25="Deutsch",U41,(IF(Roster!$K$25="Français",V41,S41)))))</f>
        <v>Claws, Disturbing Presence, Juggernaut, Loner (4+), Mighty Blow (+1)</v>
      </c>
      <c r="I41" s="215" t="str">
        <f>IF(Roster!$K$25="Español",N41,(IF(Roster!$K$25="Deutsch",O41,(IF(Roster!$K$25="Italiano",Q41,(IF(Roster!$K$25="Français",P41,M41)))))))</f>
        <v>Pump Up the Crowd: Once per game, when Skrorg causes an opposition player to be removed as a Casualty as the result of a Block action, Skrorg's controlling coach gains one team re-roll. If this re-roll has not been used by the end of the drive, it is lost.</v>
      </c>
      <c r="J41" s="227">
        <v>250000</v>
      </c>
      <c r="K41" s="260">
        <v>1</v>
      </c>
      <c r="L41" s="261"/>
      <c r="M41" s="262" t="s">
        <v>1408</v>
      </c>
      <c r="N41" s="262" t="s">
        <v>1412</v>
      </c>
      <c r="O41" s="14" t="s">
        <v>1411</v>
      </c>
      <c r="P41" s="14" t="s">
        <v>1410</v>
      </c>
      <c r="Q41" s="14" t="s">
        <v>1409</v>
      </c>
      <c r="R41" s="14"/>
      <c r="S41" s="14" t="s">
        <v>1423</v>
      </c>
      <c r="T41" s="14" t="s">
        <v>1424</v>
      </c>
      <c r="U41" s="14" t="s">
        <v>1425</v>
      </c>
      <c r="V41" s="14" t="s">
        <v>1426</v>
      </c>
      <c r="W41" s="14"/>
      <c r="AA41" s="197"/>
      <c r="AB41" s="197"/>
      <c r="AC41" s="197"/>
      <c r="AD41" s="197"/>
      <c r="AE41" s="197"/>
      <c r="AF41" s="197"/>
      <c r="AG41" s="197"/>
      <c r="AH41" s="197"/>
    </row>
    <row r="42" spans="1:34" ht="12.75" customHeight="1" x14ac:dyDescent="0.2">
      <c r="A42" s="260" t="s">
        <v>1396</v>
      </c>
      <c r="B42" s="260" t="s">
        <v>1413</v>
      </c>
      <c r="C42" s="260">
        <v>6</v>
      </c>
      <c r="D42" s="260">
        <v>3</v>
      </c>
      <c r="E42" s="260" t="s">
        <v>904</v>
      </c>
      <c r="F42" s="260" t="s">
        <v>883</v>
      </c>
      <c r="G42" s="260" t="s">
        <v>945</v>
      </c>
      <c r="H42" s="215" t="str">
        <f>IF(Roster!$K$25="Español",T42,(IF(Roster!$K$25="Deutsch",U42,(IF(Roster!$K$25="Français",V42,S42)))))</f>
        <v>Block, Drunkard, Loner (3+), Thick Skull</v>
      </c>
      <c r="I42" s="215" t="str">
        <f>IF(Roster!$K$25="Español",N42,(IF(Roster!$K$25="Deutsch",O42,(IF(Roster!$K$25="Italiano",Q42,(IF(Roster!$K$25="Français",P42,M42)))))))</f>
        <v>Beer Barrel Bash!: Once per drive, at the start of his activation, Thorsson may perform a Throw Keg Special action. When he does, select an opposition player within three squares of Thorsson and roll a D6. On a 3+, the player is immediately Knocked Down. However, on a 1, Thorsson is Knocked Down instead.</v>
      </c>
      <c r="J42" s="227">
        <v>170000</v>
      </c>
      <c r="K42" s="260">
        <v>1</v>
      </c>
      <c r="L42" s="261"/>
      <c r="M42" s="262" t="s">
        <v>1414</v>
      </c>
      <c r="N42" s="262" t="s">
        <v>1415</v>
      </c>
      <c r="O42" s="14" t="s">
        <v>1416</v>
      </c>
      <c r="P42" s="14" t="s">
        <v>1417</v>
      </c>
      <c r="Q42" s="14" t="s">
        <v>1418</v>
      </c>
      <c r="R42" s="14"/>
      <c r="S42" s="14" t="s">
        <v>1419</v>
      </c>
      <c r="T42" s="13" t="s">
        <v>1420</v>
      </c>
      <c r="U42" s="13" t="s">
        <v>1421</v>
      </c>
      <c r="V42" s="13" t="s">
        <v>1422</v>
      </c>
      <c r="W42" s="14"/>
      <c r="AA42" s="197"/>
      <c r="AB42" s="197"/>
      <c r="AC42" s="197"/>
      <c r="AD42" s="197"/>
      <c r="AE42" s="197"/>
      <c r="AF42" s="197"/>
      <c r="AG42" s="197"/>
      <c r="AH42" s="197"/>
    </row>
    <row r="43" spans="1:34" ht="12.75" customHeight="1" x14ac:dyDescent="0.2">
      <c r="A43" s="260" t="s">
        <v>1450</v>
      </c>
      <c r="B43" s="260" t="s">
        <v>1453</v>
      </c>
      <c r="C43" s="260">
        <v>6</v>
      </c>
      <c r="D43" s="260">
        <v>3</v>
      </c>
      <c r="E43" s="260" t="s">
        <v>883</v>
      </c>
      <c r="F43" s="260" t="s">
        <v>904</v>
      </c>
      <c r="G43" s="260" t="s">
        <v>945</v>
      </c>
      <c r="H43" s="215" t="str">
        <f>IF(Roster!$K$25="Español",T43,(IF(Roster!$K$25="Deutsch",U43,(IF(Roster!$K$25="Français",V43,S43)))))</f>
        <v>Disturbing Presence, Dodge, Guard, Loner (4+), Sidestep</v>
      </c>
      <c r="I43" s="215" t="str">
        <f>IF(Roster!$K$25="Español",N43,(IF(Roster!$K$25="Deutsch",O43,(IF(Roster!$K$25="Italiano",Q43,(IF(Roster!$K$25="Français",P43,M43)))))))</f>
        <v>Baleful Hex: Once per game, at the beggining of Estelle's activation, choose an opposition player within five squares and roll a D6. On 2+ the chosen player loses their Tackle Zones and cannot be activated until the end of the opposition's next team turn.</v>
      </c>
      <c r="J43" s="227">
        <v>190000</v>
      </c>
      <c r="K43" s="260">
        <v>1</v>
      </c>
      <c r="L43" s="261"/>
      <c r="M43" s="262" t="s">
        <v>1454</v>
      </c>
      <c r="N43" s="262" t="s">
        <v>1455</v>
      </c>
      <c r="O43" s="14" t="s">
        <v>1456</v>
      </c>
      <c r="P43" s="14" t="s">
        <v>1457</v>
      </c>
      <c r="Q43" s="14" t="s">
        <v>1458</v>
      </c>
      <c r="R43" s="14"/>
      <c r="S43" s="14" t="s">
        <v>1459</v>
      </c>
      <c r="T43" s="13" t="s">
        <v>1460</v>
      </c>
      <c r="U43" s="13" t="s">
        <v>1461</v>
      </c>
      <c r="V43" s="13" t="s">
        <v>1462</v>
      </c>
      <c r="W43" s="14"/>
      <c r="AA43" s="197"/>
      <c r="AB43" s="197"/>
      <c r="AC43" s="197"/>
      <c r="AD43" s="197"/>
      <c r="AE43" s="197"/>
      <c r="AF43" s="197"/>
      <c r="AG43" s="197"/>
      <c r="AH43" s="197"/>
    </row>
    <row r="44" spans="1:34" ht="12.75" customHeight="1" x14ac:dyDescent="0.2">
      <c r="A44" s="260" t="s">
        <v>1451</v>
      </c>
      <c r="B44" s="260" t="s">
        <v>1463</v>
      </c>
      <c r="C44" s="260">
        <v>6</v>
      </c>
      <c r="D44" s="260">
        <v>6</v>
      </c>
      <c r="E44" s="260" t="s">
        <v>923</v>
      </c>
      <c r="F44" s="260" t="s">
        <v>253</v>
      </c>
      <c r="G44" s="260" t="s">
        <v>905</v>
      </c>
      <c r="H44" s="215" t="str">
        <f>IF(Roster!$K$25="Español",T44,(IF(Roster!$K$25="Deutsch",U44,(IF(Roster!$K$25="Français",V44,S44)))))</f>
        <v>Animal Savagery, Frenzy, Loner (4+), Migthy Blow (+1), Prehensile Tail, Stand Firm, Thick Skull</v>
      </c>
      <c r="I44" s="215" t="str">
        <f>IF(Roster!$K$25="Español",N44,(IF(Roster!$K$25="Deutsch",O44,(IF(Roster!$K$25="Italiano",Q44,(IF(Roster!$K$25="Français",P44,M44)))))))</f>
        <v>Primal Savagery: Once por game, when Glotl fails an Animal Savagery roll, it may lash out at an opposition player rather than a team-mate.</v>
      </c>
      <c r="J44" s="227">
        <v>270000</v>
      </c>
      <c r="K44" s="260">
        <v>1</v>
      </c>
      <c r="L44" s="261"/>
      <c r="M44" s="262" t="s">
        <v>1470</v>
      </c>
      <c r="N44" s="262" t="s">
        <v>1475</v>
      </c>
      <c r="O44" s="14" t="s">
        <v>1472</v>
      </c>
      <c r="P44" s="14" t="s">
        <v>1471</v>
      </c>
      <c r="Q44" s="14" t="s">
        <v>1473</v>
      </c>
      <c r="R44" s="14"/>
      <c r="S44" s="14" t="s">
        <v>1474</v>
      </c>
      <c r="T44" s="13" t="s">
        <v>1476</v>
      </c>
      <c r="U44" s="13" t="s">
        <v>1477</v>
      </c>
      <c r="V44" s="13" t="s">
        <v>1478</v>
      </c>
      <c r="W44" s="14"/>
      <c r="AA44" s="197"/>
      <c r="AB44" s="197"/>
      <c r="AC44" s="197"/>
      <c r="AD44" s="197"/>
      <c r="AE44" s="197"/>
      <c r="AF44" s="197"/>
      <c r="AG44" s="197"/>
      <c r="AH44" s="197"/>
    </row>
    <row r="45" spans="1:34" ht="12.75" customHeight="1" x14ac:dyDescent="0.2">
      <c r="A45" s="260" t="s">
        <v>1452</v>
      </c>
      <c r="B45" s="260" t="s">
        <v>1464</v>
      </c>
      <c r="C45" s="260">
        <v>6</v>
      </c>
      <c r="D45" s="260">
        <v>3</v>
      </c>
      <c r="E45" s="260" t="s">
        <v>883</v>
      </c>
      <c r="F45" s="260" t="s">
        <v>904</v>
      </c>
      <c r="G45" s="260" t="s">
        <v>884</v>
      </c>
      <c r="H45" s="215" t="str">
        <f>IF(Roster!$K$25="Español",T45,(IF(Roster!$K$25="Deutsch",U45,(IF(Roster!$K$25="Français",V45,S45)))))</f>
        <v>Dodge, Hypnotic Gaze, Loner (4+); Prehensile Tale, Safe Pair of Hands, Sidestep</v>
      </c>
      <c r="I45" s="215" t="str">
        <f>IF(Roster!$K$25="Español",N45,(IF(Roster!$K$25="Deutsch",O45,(IF(Roster!$K$25="Italiano",Q45,(IF(Roster!$K$25="Français",P45,M45)))))))</f>
        <v>Look Into My Eyes: Once per game, if Boa starts his activation Marking an opposition player with the ball, he may roll a D6. on a 1, nothing happens. On a 2+, the opposition player loses possesion of the ball, Boa immediately gains possesion of the ball, and Boa's activation immediately ends.</v>
      </c>
      <c r="J45" s="227">
        <v>200000</v>
      </c>
      <c r="K45" s="260">
        <v>1</v>
      </c>
      <c r="L45" s="261"/>
      <c r="M45" s="262" t="s">
        <v>1465</v>
      </c>
      <c r="N45" s="262" t="s">
        <v>1468</v>
      </c>
      <c r="O45" s="14" t="s">
        <v>1467</v>
      </c>
      <c r="P45" s="14" t="s">
        <v>1469</v>
      </c>
      <c r="Q45" s="14" t="s">
        <v>1466</v>
      </c>
      <c r="R45" s="14"/>
      <c r="S45" s="14" t="s">
        <v>1479</v>
      </c>
      <c r="T45" s="13" t="s">
        <v>1480</v>
      </c>
      <c r="U45" s="13" t="s">
        <v>1481</v>
      </c>
      <c r="V45" s="13" t="s">
        <v>1482</v>
      </c>
      <c r="W45" s="14"/>
      <c r="AA45" s="197"/>
      <c r="AB45" s="197"/>
      <c r="AC45" s="197"/>
      <c r="AD45" s="197"/>
      <c r="AE45" s="197"/>
      <c r="AF45" s="197"/>
      <c r="AG45" s="197"/>
      <c r="AH45" s="197"/>
    </row>
    <row r="46" spans="1:34" ht="12.75" customHeight="1" x14ac:dyDescent="0.2">
      <c r="A46" s="260" t="s">
        <v>1494</v>
      </c>
      <c r="B46" s="260" t="s">
        <v>1502</v>
      </c>
      <c r="C46" s="260">
        <v>5</v>
      </c>
      <c r="D46" s="260">
        <v>3</v>
      </c>
      <c r="E46" s="260" t="s">
        <v>883</v>
      </c>
      <c r="F46" s="260" t="s">
        <v>904</v>
      </c>
      <c r="G46" s="260" t="s">
        <v>916</v>
      </c>
      <c r="H46" s="215" t="str">
        <f>IF(Roster!$K$25="Español",T46,(IF(Roster!$K$25="Deutsch",U46,(IF(Roster!$K$25="Français",V46,S46)))))</f>
        <v>Block, Dodge, Loner (3+), Nerves of Steel, Right Stuff, Stunty</v>
      </c>
      <c r="I46" s="215" t="str">
        <f>IF(Roster!$K$25="Español",N46,(IF(Roster!$K$25="Deutsch",O46,(IF(Roster!$K$25="Italiano",Q46,(IF(Roster!$K$25="Français",P46,M46)))))))</f>
        <v>Halfling Luck: Once per game, Puggy may re-roll one dice that was rolled either as a single dice, as part of a multiple dice roll, or as part of a dice pool (this cannot be a dice that was rolled as part of an Armour, Injury or Casualty roll).</v>
      </c>
      <c r="J46" s="227">
        <v>120000</v>
      </c>
      <c r="K46" s="260">
        <v>1</v>
      </c>
      <c r="L46" s="261"/>
      <c r="M46" s="262" t="s">
        <v>1503</v>
      </c>
      <c r="N46" s="262" t="s">
        <v>1529</v>
      </c>
      <c r="O46" s="14" t="s">
        <v>1530</v>
      </c>
      <c r="P46" s="14" t="s">
        <v>1531</v>
      </c>
      <c r="Q46" s="14" t="s">
        <v>1532</v>
      </c>
      <c r="R46" s="14"/>
      <c r="S46" s="14" t="s">
        <v>1504</v>
      </c>
      <c r="T46" s="14" t="s">
        <v>1561</v>
      </c>
      <c r="U46" s="13" t="s">
        <v>1570</v>
      </c>
      <c r="V46" s="13" t="s">
        <v>1579</v>
      </c>
      <c r="W46" s="14"/>
      <c r="AA46" s="197"/>
      <c r="AB46" s="197"/>
      <c r="AC46" s="197"/>
      <c r="AD46" s="197"/>
      <c r="AE46" s="197"/>
      <c r="AF46" s="197"/>
      <c r="AG46" s="197"/>
      <c r="AH46" s="197"/>
    </row>
    <row r="47" spans="1:34" ht="12.75" customHeight="1" x14ac:dyDescent="0.2">
      <c r="A47" s="260" t="s">
        <v>1495</v>
      </c>
      <c r="B47" s="260" t="s">
        <v>1505</v>
      </c>
      <c r="C47" s="260">
        <v>5</v>
      </c>
      <c r="D47" s="260">
        <v>2</v>
      </c>
      <c r="E47" s="260" t="s">
        <v>883</v>
      </c>
      <c r="F47" s="260" t="s">
        <v>883</v>
      </c>
      <c r="G47" s="260" t="s">
        <v>916</v>
      </c>
      <c r="H47" s="215" t="str">
        <f>IF(Roster!$K$25="Español",T47,(IF(Roster!$K$25="Deutsch",U47,(IF(Roster!$K$25="Français",V47,S47)))))</f>
        <v>Accurate, Bombardier, Dodge, Loner (4+), Secret Weapon, Stunty</v>
      </c>
      <c r="I47" s="215" t="str">
        <f>IF(Roster!$K$25="Español",N47,(IF(Roster!$K$25="Deutsch",O47,(IF(Roster!$K$25="Italiano",Q47,(IF(Roster!$K$25="Français",P47,M47)))))))</f>
        <v>All You Can Eat: Once per game, Cindy may perform two Throw Bomb Special actions rather than one; though she must commit to doing so before making the first action. If she does, immediately after performing the second Throw Bomb Special action roll a D6. On a 1-3 Cindy is immediately Sent Off.</v>
      </c>
      <c r="J47" s="227">
        <v>50000</v>
      </c>
      <c r="K47" s="260">
        <v>1</v>
      </c>
      <c r="L47" s="261"/>
      <c r="M47" s="262" t="s">
        <v>1506</v>
      </c>
      <c r="N47" s="262" t="s">
        <v>1533</v>
      </c>
      <c r="O47" s="14" t="s">
        <v>1534</v>
      </c>
      <c r="P47" s="14" t="s">
        <v>1535</v>
      </c>
      <c r="Q47" s="14" t="s">
        <v>1536</v>
      </c>
      <c r="R47" s="14"/>
      <c r="S47" s="14" t="s">
        <v>1507</v>
      </c>
      <c r="T47" s="14" t="s">
        <v>1562</v>
      </c>
      <c r="U47" s="13" t="s">
        <v>1571</v>
      </c>
      <c r="V47" s="13" t="s">
        <v>1580</v>
      </c>
      <c r="W47" s="14"/>
      <c r="AA47" s="197"/>
      <c r="AB47" s="197"/>
      <c r="AC47" s="197"/>
      <c r="AD47" s="197"/>
      <c r="AE47" s="197"/>
      <c r="AF47" s="197"/>
      <c r="AG47" s="197"/>
      <c r="AH47" s="197"/>
    </row>
    <row r="48" spans="1:34" ht="12.75" customHeight="1" x14ac:dyDescent="0.2">
      <c r="A48" s="260" t="s">
        <v>1496</v>
      </c>
      <c r="B48" s="260" t="s">
        <v>1508</v>
      </c>
      <c r="C48" s="260">
        <v>8</v>
      </c>
      <c r="D48" s="260">
        <v>2</v>
      </c>
      <c r="E48" s="260" t="s">
        <v>883</v>
      </c>
      <c r="F48" s="260">
        <v>4</v>
      </c>
      <c r="G48" s="260" t="s">
        <v>945</v>
      </c>
      <c r="H48" s="215" t="str">
        <f>IF(Roster!$K$25="Español",T48,(IF(Roster!$K$25="Deutsch",U48,(IF(Roster!$K$25="Français",V48,S48)))))</f>
        <v>Dirty Player (+1), Dodge, Loner (4+), Sidestep, Sneaky Git, Stunty</v>
      </c>
      <c r="I48" s="215" t="str">
        <f>IF(Roster!$K$25="Español",N48,(IF(Roster!$K$25="Deutsch",O48,(IF(Roster!$K$25="Italiano",Q48,(IF(Roster!$K$25="Français",P48,M48)))))))</f>
        <v>A Sneaky Pair: Dribl &amp; Drull must be hired as a pair and count as two Star Players. Additionally, whenever Dribl or Drull perform either a Stab or Foul action against an opposition player marked by both Dribl &amp; Drull, they may apply a +1 modifier to the Injury roll.</v>
      </c>
      <c r="J48" s="227">
        <v>190000</v>
      </c>
      <c r="K48" s="260">
        <v>1</v>
      </c>
      <c r="L48" s="261"/>
      <c r="M48" s="262" t="s">
        <v>1510</v>
      </c>
      <c r="N48" s="262" t="s">
        <v>1537</v>
      </c>
      <c r="O48" s="14" t="s">
        <v>1538</v>
      </c>
      <c r="P48" s="14" t="s">
        <v>1539</v>
      </c>
      <c r="Q48" s="14" t="s">
        <v>1540</v>
      </c>
      <c r="R48" s="14"/>
      <c r="S48" s="14" t="s">
        <v>1511</v>
      </c>
      <c r="T48" s="14" t="s">
        <v>1563</v>
      </c>
      <c r="U48" s="13" t="s">
        <v>1572</v>
      </c>
      <c r="V48" s="13" t="s">
        <v>1581</v>
      </c>
      <c r="W48" s="14"/>
      <c r="AA48" s="197"/>
      <c r="AB48" s="197"/>
      <c r="AC48" s="197"/>
      <c r="AD48" s="197"/>
      <c r="AE48" s="197"/>
      <c r="AF48" s="197"/>
      <c r="AG48" s="197"/>
      <c r="AH48" s="197"/>
    </row>
    <row r="49" spans="1:34" ht="12.75" customHeight="1" x14ac:dyDescent="0.2">
      <c r="A49" s="260" t="s">
        <v>1497</v>
      </c>
      <c r="B49" s="260" t="s">
        <v>1509</v>
      </c>
      <c r="C49" s="260">
        <v>8</v>
      </c>
      <c r="D49" s="260">
        <v>2</v>
      </c>
      <c r="E49" s="260" t="s">
        <v>883</v>
      </c>
      <c r="F49" s="260" t="s">
        <v>904</v>
      </c>
      <c r="G49" s="260" t="s">
        <v>945</v>
      </c>
      <c r="H49" s="215" t="str">
        <f>IF(Roster!$K$25="Español",T49,(IF(Roster!$K$25="Deutsch",U49,(IF(Roster!$K$25="Français",V49,S49)))))</f>
        <v>Dodge, Loner (4+), Sidestep, Stab, Stunty</v>
      </c>
      <c r="I49" s="215" t="str">
        <f>IF(Roster!$K$25="Español",N49,(IF(Roster!$K$25="Deutsch",O49,(IF(Roster!$K$25="Italiano",Q49,(IF(Roster!$K$25="Français",P49,M49)))))))</f>
        <v>A Sneaky Pair: Dribl &amp; Drull must be hired as a pair and count as two Star Players. Additionally, whenever Dribl or Drull perform either a Stab or Foul action against an opposition player marked by both Dribl &amp; Drull, they may apply a +1 modifier to the Injury roll.</v>
      </c>
      <c r="J49" s="227">
        <v>0</v>
      </c>
      <c r="K49" s="260">
        <v>1</v>
      </c>
      <c r="L49" s="261"/>
      <c r="M49" s="262" t="s">
        <v>1510</v>
      </c>
      <c r="N49" s="262" t="s">
        <v>1537</v>
      </c>
      <c r="O49" s="14" t="s">
        <v>1538</v>
      </c>
      <c r="P49" s="14" t="s">
        <v>1539</v>
      </c>
      <c r="Q49" s="14" t="s">
        <v>1540</v>
      </c>
      <c r="R49" s="14"/>
      <c r="S49" s="14" t="s">
        <v>1512</v>
      </c>
      <c r="T49" s="14" t="s">
        <v>1564</v>
      </c>
      <c r="U49" s="13" t="s">
        <v>1573</v>
      </c>
      <c r="V49" s="13" t="s">
        <v>1582</v>
      </c>
      <c r="W49" s="14"/>
      <c r="AA49" s="197"/>
      <c r="AB49" s="197"/>
      <c r="AC49" s="197"/>
      <c r="AD49" s="197"/>
      <c r="AE49" s="197"/>
      <c r="AF49" s="197"/>
      <c r="AG49" s="197"/>
      <c r="AH49" s="197"/>
    </row>
    <row r="50" spans="1:34" ht="12.75" customHeight="1" x14ac:dyDescent="0.2">
      <c r="A50" s="260" t="s">
        <v>1498</v>
      </c>
      <c r="B50" s="260" t="s">
        <v>1513</v>
      </c>
      <c r="C50" s="260">
        <v>4</v>
      </c>
      <c r="D50" s="260">
        <v>5</v>
      </c>
      <c r="E50" s="260" t="s">
        <v>904</v>
      </c>
      <c r="F50" s="260" t="s">
        <v>872</v>
      </c>
      <c r="G50" s="260" t="s">
        <v>905</v>
      </c>
      <c r="H50" s="215" t="str">
        <f>IF(Roster!$K$25="Español",T50,(IF(Roster!$K$25="Deutsch",U50,(IF(Roster!$K$25="Français",V50,S50)))))</f>
        <v>Dirty Player (+1), Disturbing Presence, Foul Apperance, Loner (4+)</v>
      </c>
      <c r="I50" s="215" t="str">
        <f>IF(Roster!$K$25="Español",N50,(IF(Roster!$K$25="Deutsch",O50,(IF(Roster!$K$25="Italiano",Q50,(IF(Roster!$K$25="Français",P50,M50)))))))</f>
        <v>Putrid Regurgitation: Once per game, Bilerot may use the Projectile Vomit Special action. This may still be used even if Bilerot has already perform a Block action this turn.</v>
      </c>
      <c r="J50" s="227">
        <v>180000</v>
      </c>
      <c r="K50" s="260">
        <v>1</v>
      </c>
      <c r="L50" s="261"/>
      <c r="M50" s="262" t="s">
        <v>1514</v>
      </c>
      <c r="N50" s="262" t="s">
        <v>1541</v>
      </c>
      <c r="O50" s="14" t="s">
        <v>1542</v>
      </c>
      <c r="P50" s="14" t="s">
        <v>1543</v>
      </c>
      <c r="Q50" s="14" t="s">
        <v>1544</v>
      </c>
      <c r="R50" s="14"/>
      <c r="S50" s="14" t="s">
        <v>1515</v>
      </c>
      <c r="T50" s="14" t="s">
        <v>1565</v>
      </c>
      <c r="U50" s="13" t="s">
        <v>1574</v>
      </c>
      <c r="V50" s="13" t="s">
        <v>1583</v>
      </c>
      <c r="W50" s="14"/>
      <c r="AA50" s="197"/>
      <c r="AB50" s="197"/>
      <c r="AC50" s="197"/>
      <c r="AD50" s="197"/>
      <c r="AE50" s="197"/>
      <c r="AF50" s="197"/>
      <c r="AG50" s="197"/>
      <c r="AH50" s="197"/>
    </row>
    <row r="51" spans="1:34" ht="12.75" customHeight="1" x14ac:dyDescent="0.2">
      <c r="A51" s="260" t="s">
        <v>1499</v>
      </c>
      <c r="B51" s="260" t="s">
        <v>1516</v>
      </c>
      <c r="C51" s="260">
        <v>4</v>
      </c>
      <c r="D51" s="260">
        <v>6</v>
      </c>
      <c r="E51" s="260" t="s">
        <v>923</v>
      </c>
      <c r="F51" s="260" t="s">
        <v>904</v>
      </c>
      <c r="G51" s="260" t="s">
        <v>905</v>
      </c>
      <c r="H51" s="215" t="str">
        <f>IF(Roster!$K$25="Español",T51,(IF(Roster!$K$25="Deutsch",U51,(IF(Roster!$K$25="Français",V51,S51)))))</f>
        <v>Grab, Loner (4+), Mighty Blow (+1), Regeneration, Throw Team-mate</v>
      </c>
      <c r="I51" s="215" t="str">
        <f>IF(Roster!$K$25="Español",N51,(IF(Roster!$K$25="Deutsch",O51,(IF(Roster!$K$25="Italiano",Q51,(IF(Roster!$K$25="Français",P51,M51)))))))</f>
        <v>Thinking Man's Troll: Once per half, Ripper may re-roll one dice that was rolled either as a single dice, as part o a multiple dice roll, or as part of a dice pool (this cannot be a dice that was rolled as part of an Armour, Injury or Casualty roll).</v>
      </c>
      <c r="J51" s="227">
        <v>250000</v>
      </c>
      <c r="K51" s="260">
        <v>1</v>
      </c>
      <c r="L51" s="261"/>
      <c r="M51" s="262" t="s">
        <v>1517</v>
      </c>
      <c r="N51" s="262" t="s">
        <v>1545</v>
      </c>
      <c r="O51" s="14" t="s">
        <v>1546</v>
      </c>
      <c r="P51" s="14" t="s">
        <v>1547</v>
      </c>
      <c r="Q51" s="14" t="s">
        <v>1548</v>
      </c>
      <c r="R51" s="14"/>
      <c r="S51" s="14" t="s">
        <v>1518</v>
      </c>
      <c r="T51" s="14" t="s">
        <v>1566</v>
      </c>
      <c r="U51" s="13" t="s">
        <v>1575</v>
      </c>
      <c r="V51" s="13" t="s">
        <v>1584</v>
      </c>
      <c r="W51" s="14"/>
      <c r="AA51" s="197"/>
      <c r="AB51" s="197"/>
      <c r="AC51" s="197"/>
      <c r="AD51" s="197"/>
      <c r="AE51" s="197"/>
      <c r="AF51" s="197"/>
      <c r="AG51" s="197"/>
      <c r="AH51" s="197"/>
    </row>
    <row r="52" spans="1:34" ht="12.75" customHeight="1" x14ac:dyDescent="0.2">
      <c r="A52" s="260" t="s">
        <v>1500</v>
      </c>
      <c r="B52" s="260" t="s">
        <v>1519</v>
      </c>
      <c r="C52" s="260">
        <v>6</v>
      </c>
      <c r="D52" s="260">
        <v>2</v>
      </c>
      <c r="E52" s="260" t="s">
        <v>883</v>
      </c>
      <c r="F52" s="260" t="s">
        <v>253</v>
      </c>
      <c r="G52" s="260" t="s">
        <v>945</v>
      </c>
      <c r="H52" s="215" t="str">
        <f>IF(Roster!$K$25="Español",T52,(IF(Roster!$K$25="Deutsch",U52,(IF(Roster!$K$25="Français",V52,S52)))))</f>
        <v>Block, Chainsaw, Dodge, Loner (4+), Secret Weapon, Stunty</v>
      </c>
      <c r="I52" s="215" t="str">
        <f>IF(Roster!$K$25="Español",N52,(IF(Roster!$K$25="Deutsch",O52,(IF(Roster!$K$25="Italiano",Q52,(IF(Roster!$K$25="Français",P52,M52)))))))</f>
        <v>Kick'em while they're down!: Once per game, Nobbla may use the Chainsaw Attack Special action against a Prone or Stunned opposition player. This does not count as a Foul action and so Nobbla cannot be Sent-off when using this ability.</v>
      </c>
      <c r="J52" s="227">
        <v>120000</v>
      </c>
      <c r="K52" s="260">
        <v>1</v>
      </c>
      <c r="L52" s="261"/>
      <c r="M52" s="262" t="s">
        <v>1520</v>
      </c>
      <c r="N52" s="262" t="s">
        <v>1549</v>
      </c>
      <c r="O52" s="14" t="s">
        <v>1550</v>
      </c>
      <c r="P52" s="14" t="s">
        <v>1551</v>
      </c>
      <c r="Q52" s="14" t="s">
        <v>1552</v>
      </c>
      <c r="R52" s="14"/>
      <c r="S52" s="14" t="s">
        <v>1521</v>
      </c>
      <c r="T52" s="14" t="s">
        <v>1567</v>
      </c>
      <c r="U52" s="13" t="s">
        <v>1576</v>
      </c>
      <c r="V52" s="13" t="s">
        <v>1585</v>
      </c>
      <c r="W52" s="14"/>
      <c r="AA52" s="197"/>
      <c r="AB52" s="197"/>
      <c r="AC52" s="197"/>
      <c r="AD52" s="197"/>
      <c r="AE52" s="197"/>
      <c r="AF52" s="197"/>
      <c r="AG52" s="197"/>
      <c r="AH52" s="197"/>
    </row>
    <row r="53" spans="1:34" ht="12.75" customHeight="1" x14ac:dyDescent="0.2">
      <c r="A53" s="260" t="s">
        <v>1501</v>
      </c>
      <c r="B53" s="260" t="s">
        <v>1522</v>
      </c>
      <c r="C53" s="260">
        <v>7</v>
      </c>
      <c r="D53" s="260">
        <v>2</v>
      </c>
      <c r="E53" s="260" t="s">
        <v>883</v>
      </c>
      <c r="F53" s="260" t="s">
        <v>923</v>
      </c>
      <c r="G53" s="260" t="s">
        <v>945</v>
      </c>
      <c r="H53" s="215" t="str">
        <f>IF(Roster!$K$25="Español",T53,(IF(Roster!$K$25="Deutsch",U53,(IF(Roster!$K$25="Français",V53,S53)))))</f>
        <v>Dirty Player (+1), Dodge, Loner (4+), Pogo Stick, Righy Stuff, Sprint, Stunty, Sure Feet</v>
      </c>
      <c r="I53" s="215" t="str">
        <f>IF(Roster!$K$25="Español",N53,(IF(Roster!$K$25="Deutsch",O53,(IF(Roster!$K$25="Italiano",Q53,(IF(Roster!$K$25="Français",P53,M53)))))))</f>
        <v>Yoink!: Once per game, when Scrappa attenpts to interfere with a Pass action, he may roll a D6. On a 2+, Scrappa does not need to roll to interfere with the Pass action, instead he automatically makes an interception and gains control of the ball.</v>
      </c>
      <c r="J53" s="227">
        <v>130000</v>
      </c>
      <c r="K53" s="260">
        <v>1</v>
      </c>
      <c r="L53" s="261"/>
      <c r="M53" s="262" t="s">
        <v>1523</v>
      </c>
      <c r="N53" s="262" t="s">
        <v>1553</v>
      </c>
      <c r="O53" s="14" t="s">
        <v>1554</v>
      </c>
      <c r="P53" s="14" t="s">
        <v>1555</v>
      </c>
      <c r="Q53" s="14" t="s">
        <v>1556</v>
      </c>
      <c r="R53" s="14"/>
      <c r="S53" s="14" t="s">
        <v>1524</v>
      </c>
      <c r="T53" s="14" t="s">
        <v>1568</v>
      </c>
      <c r="U53" s="13" t="s">
        <v>1577</v>
      </c>
      <c r="V53" s="13" t="s">
        <v>1586</v>
      </c>
      <c r="W53" s="14"/>
      <c r="AA53" s="197"/>
      <c r="AB53" s="197"/>
      <c r="AC53" s="197"/>
      <c r="AD53" s="197"/>
      <c r="AE53" s="197"/>
      <c r="AF53" s="197"/>
      <c r="AG53" s="197"/>
      <c r="AH53" s="197"/>
    </row>
    <row r="54" spans="1:34" ht="12.75" customHeight="1" x14ac:dyDescent="0.2">
      <c r="A54" s="260" t="s">
        <v>1525</v>
      </c>
      <c r="B54" s="260" t="s">
        <v>1526</v>
      </c>
      <c r="C54" s="260">
        <v>6</v>
      </c>
      <c r="D54" s="260">
        <v>3</v>
      </c>
      <c r="E54" s="260" t="s">
        <v>904</v>
      </c>
      <c r="F54" s="260" t="s">
        <v>904</v>
      </c>
      <c r="G54" s="260" t="s">
        <v>884</v>
      </c>
      <c r="H54" s="215" t="str">
        <f>IF(Roster!$K$25="Español",T54,(IF(Roster!$K$25="Deutsch",U54,(IF(Roster!$K$25="Français",V54,S54)))))</f>
        <v>Loner (4+), Prehensile Tall, Tackle, Tentacles, Two Heads, Wrestle</v>
      </c>
      <c r="I54" s="215" t="str">
        <f>IF(Roster!$K$25="Español",N54,(IF(Roster!$K$25="Deutsch",O54,(IF(Roster!$K$25="Italiano",Q54,(IF(Roster!$K$25="Français",P54,M54)))))))</f>
        <v>Watch Out!: The first time each half that Withegrasp is the target of an opposition player's Block action, he counts as having the Dodge skill.</v>
      </c>
      <c r="J54" s="227">
        <v>170000</v>
      </c>
      <c r="K54" s="260">
        <v>1</v>
      </c>
      <c r="L54" s="261"/>
      <c r="M54" s="262" t="s">
        <v>1527</v>
      </c>
      <c r="N54" s="262" t="s">
        <v>1557</v>
      </c>
      <c r="O54" s="14" t="s">
        <v>1558</v>
      </c>
      <c r="P54" s="14" t="s">
        <v>1559</v>
      </c>
      <c r="Q54" s="14" t="s">
        <v>1560</v>
      </c>
      <c r="R54" s="14"/>
      <c r="S54" s="14" t="s">
        <v>1528</v>
      </c>
      <c r="T54" s="14" t="s">
        <v>1569</v>
      </c>
      <c r="U54" s="13" t="s">
        <v>1578</v>
      </c>
      <c r="V54" s="13" t="s">
        <v>1587</v>
      </c>
      <c r="W54" s="14"/>
      <c r="AA54" s="197"/>
      <c r="AB54" s="197"/>
      <c r="AC54" s="197"/>
      <c r="AD54" s="197"/>
      <c r="AE54" s="197"/>
      <c r="AF54" s="197"/>
      <c r="AG54" s="197"/>
      <c r="AH54" s="197"/>
    </row>
    <row r="55" spans="1:34" ht="12.75" customHeight="1" x14ac:dyDescent="0.2">
      <c r="A55" s="260" t="s">
        <v>1623</v>
      </c>
      <c r="B55" s="260" t="s">
        <v>1624</v>
      </c>
      <c r="C55" s="260">
        <v>6</v>
      </c>
      <c r="D55" s="260">
        <v>5</v>
      </c>
      <c r="E55" s="260" t="s">
        <v>871</v>
      </c>
      <c r="F55" s="260" t="s">
        <v>883</v>
      </c>
      <c r="G55" s="260" t="s">
        <v>905</v>
      </c>
      <c r="H55" s="215" t="str">
        <f>IF(Roster!$K$25="Español",T55,(IF(Roster!$K$25="Deutsch",U55,(IF(Roster!$K$25="Français",V55,S55)))))</f>
        <v>Block, Hypnotic Gaze, Loner (4+), Regeneration, Sidestep</v>
      </c>
      <c r="I55" s="215" t="str">
        <f>IF(Roster!$K$25="Español",N55,(IF(Roster!$K$25="Deutsch",O55,(IF(Roster!$K$25="Italiano",Q55,(IF(Roster!$K$25="Français",P55,M55)))))))</f>
        <v>Star of the Show: Once per game, when Count Luthor scores a touchdown his controlling coach may gain one team re-roll. If this re-roll has not been used by the end of the drive, it is lost.</v>
      </c>
      <c r="J55" s="227">
        <v>340000</v>
      </c>
      <c r="K55" s="260">
        <v>1</v>
      </c>
      <c r="L55" s="261"/>
      <c r="M55" s="262" t="s">
        <v>1625</v>
      </c>
      <c r="N55" s="262" t="s">
        <v>1626</v>
      </c>
      <c r="O55" s="14" t="s">
        <v>1627</v>
      </c>
      <c r="P55" s="14" t="s">
        <v>1628</v>
      </c>
      <c r="Q55" s="14" t="s">
        <v>1629</v>
      </c>
      <c r="R55" s="14"/>
      <c r="S55" s="14" t="s">
        <v>1630</v>
      </c>
      <c r="T55" s="14" t="s">
        <v>1631</v>
      </c>
      <c r="U55" s="14" t="s">
        <v>1632</v>
      </c>
      <c r="V55" s="14" t="s">
        <v>1633</v>
      </c>
      <c r="W55" s="14"/>
      <c r="AA55" s="197"/>
      <c r="AB55" s="197"/>
      <c r="AC55" s="197"/>
      <c r="AD55" s="197"/>
      <c r="AE55" s="197"/>
      <c r="AF55" s="197"/>
      <c r="AG55" s="197"/>
      <c r="AH55" s="197"/>
    </row>
    <row r="56" spans="1:34" ht="12.75" customHeight="1" x14ac:dyDescent="0.2">
      <c r="A56" s="260" t="s">
        <v>1634</v>
      </c>
      <c r="B56" s="273" t="s">
        <v>1635</v>
      </c>
      <c r="C56" s="260">
        <v>7</v>
      </c>
      <c r="D56" s="260">
        <v>4</v>
      </c>
      <c r="E56" s="260" t="s">
        <v>871</v>
      </c>
      <c r="F56" s="260" t="s">
        <v>904</v>
      </c>
      <c r="G56" s="260" t="s">
        <v>884</v>
      </c>
      <c r="H56" s="215" t="str">
        <f>IF(Roster!$K$25="Español",T56,(IF(Roster!$K$25="Deutsch",U56,(IF(Roster!$K$25="Français",V56,S56)))))</f>
        <v>Bloodlust (2+), Dodge, Hypnotic Gaze, Jump Up, Loner (4+), Regeneration</v>
      </c>
      <c r="I56" s="215" t="str">
        <f>IF(Roster!$K$25="Español",N56,(IF(Roster!$K$25="Deutsch",O56,(IF(Roster!$K$25="Italiano",Q56,(IF(Roster!$K$25="Français",P56,M56)))))))</f>
        <v>Tasty Morse!: Once per game, when Karina fails a Bloodlust roll, she may choose to bite an opposition player with a ST a 3 or lower as if they were a Thrall Lineman team-mate. Karina may not bite Star Player with this special rule.</v>
      </c>
      <c r="J56" s="227">
        <v>230000</v>
      </c>
      <c r="K56" s="260">
        <v>1</v>
      </c>
      <c r="L56" s="261"/>
      <c r="M56" s="262" t="s">
        <v>1636</v>
      </c>
      <c r="N56" s="262" t="s">
        <v>1637</v>
      </c>
      <c r="O56" s="14" t="s">
        <v>1638</v>
      </c>
      <c r="P56" s="14" t="s">
        <v>1639</v>
      </c>
      <c r="Q56" s="14" t="s">
        <v>1640</v>
      </c>
      <c r="R56" s="14"/>
      <c r="S56" s="14" t="s">
        <v>1641</v>
      </c>
      <c r="T56" s="14" t="s">
        <v>1642</v>
      </c>
      <c r="U56" s="13" t="s">
        <v>1643</v>
      </c>
      <c r="V56" s="13" t="s">
        <v>1644</v>
      </c>
      <c r="W56" s="14"/>
      <c r="AA56" s="197"/>
      <c r="AB56" s="197"/>
      <c r="AC56" s="197"/>
      <c r="AD56" s="197"/>
      <c r="AE56" s="197"/>
      <c r="AF56" s="197"/>
      <c r="AG56" s="197"/>
      <c r="AH56" s="197"/>
    </row>
    <row r="57" spans="1:34" ht="12.75" customHeight="1" x14ac:dyDescent="0.2">
      <c r="A57" s="260" t="s">
        <v>1645</v>
      </c>
      <c r="B57" s="260" t="s">
        <v>1646</v>
      </c>
      <c r="C57" s="260">
        <v>6</v>
      </c>
      <c r="D57" s="260">
        <v>4</v>
      </c>
      <c r="E57" s="260" t="s">
        <v>904</v>
      </c>
      <c r="F57" s="260" t="s">
        <v>923</v>
      </c>
      <c r="G57" s="260" t="s">
        <v>884</v>
      </c>
      <c r="H57" s="215" t="str">
        <f>IF(Roster!$K$25="Español",T57,(IF(Roster!$K$25="Deutsch",U57,(IF(Roster!$K$25="Français",V57,S57)))))</f>
        <v>Block, Disturbing Presence, Juggernaut, Loner (4+), Regeneration, Strip Ball, Tackle</v>
      </c>
      <c r="I57" s="215" t="str">
        <f>IF(Roster!$K$25="Español",N57,(IF(Roster!$K$25="Deutsch",O57,(IF(Roster!$K$25="Italiano",Q57,(IF(Roster!$K$25="Français",P57,M57)))))))</f>
        <v>Dwarven Scourge: Once per game, when an opposition player is Knocked Down as a result of a Block action performed by Ivan, you may apply an additional +1 modifier to the Armour roll or Injury roll. If this is against a Dwarfen player from any team, this may instead be a +2 modifier.</v>
      </c>
      <c r="J57" s="227">
        <v>190000</v>
      </c>
      <c r="K57" s="260">
        <v>1</v>
      </c>
      <c r="L57" s="261"/>
      <c r="M57" s="262" t="s">
        <v>1647</v>
      </c>
      <c r="N57" s="262" t="s">
        <v>1648</v>
      </c>
      <c r="O57" s="14" t="s">
        <v>1649</v>
      </c>
      <c r="P57" s="14" t="s">
        <v>1650</v>
      </c>
      <c r="Q57" s="14" t="s">
        <v>1651</v>
      </c>
      <c r="R57" s="14"/>
      <c r="S57" s="14" t="s">
        <v>1652</v>
      </c>
      <c r="T57" s="14" t="s">
        <v>1653</v>
      </c>
      <c r="U57" s="13" t="s">
        <v>1654</v>
      </c>
      <c r="V57" s="13" t="s">
        <v>1655</v>
      </c>
      <c r="W57" s="14"/>
      <c r="AA57" s="197"/>
      <c r="AB57" s="197"/>
      <c r="AC57" s="197"/>
      <c r="AD57" s="197"/>
      <c r="AE57" s="197"/>
      <c r="AF57" s="197"/>
      <c r="AG57" s="197"/>
      <c r="AH57" s="197"/>
    </row>
    <row r="58" spans="1:34" ht="12.75" customHeight="1" x14ac:dyDescent="0.2">
      <c r="A58" s="260" t="s">
        <v>1686</v>
      </c>
      <c r="B58" s="260" t="s">
        <v>1687</v>
      </c>
      <c r="C58" s="260">
        <v>9</v>
      </c>
      <c r="D58" s="260">
        <v>2</v>
      </c>
      <c r="E58" s="260" t="s">
        <v>871</v>
      </c>
      <c r="F58" s="260" t="s">
        <v>904</v>
      </c>
      <c r="G58" s="260" t="s">
        <v>945</v>
      </c>
      <c r="H58" s="215" t="str">
        <f>IF(Roster!$K$25="Español",T58,(IF(Roster!$K$25="Deutsch",U58,(IF(Roster!$K$25="Français",V58,S58)))))</f>
        <v>Dodge, Loner (4+), Prehensile Tail, Shadowing, Stab</v>
      </c>
      <c r="I58" s="215" t="str">
        <f>IF(Roster!$K$25="Español",N58,(IF(Roster!$K$25="Deutsch",O58,(IF(Roster!$K$25="Italiano",Q58,(IF(Roster!$K$25="Français",P58,M58)))))))</f>
        <v>Master Assasin: Once per game, when Skitter succesfully breaks an opposition player's armour as a result of a Stab Special action, he may choose to re-roll the Injury roll.</v>
      </c>
      <c r="J58" s="227">
        <v>150000</v>
      </c>
      <c r="K58" s="260">
        <v>1</v>
      </c>
      <c r="L58" s="261"/>
      <c r="M58" s="262" t="s">
        <v>1688</v>
      </c>
      <c r="N58" s="262" t="s">
        <v>1691</v>
      </c>
      <c r="O58" s="14" t="s">
        <v>1692</v>
      </c>
      <c r="P58" s="14" t="s">
        <v>1693</v>
      </c>
      <c r="Q58" s="14" t="s">
        <v>1694</v>
      </c>
      <c r="R58" s="14"/>
      <c r="S58" s="14" t="s">
        <v>1689</v>
      </c>
      <c r="T58" s="14" t="s">
        <v>1690</v>
      </c>
      <c r="U58" s="13" t="s">
        <v>1695</v>
      </c>
      <c r="V58" s="13" t="s">
        <v>1696</v>
      </c>
      <c r="W58" s="14"/>
      <c r="AA58" s="197"/>
      <c r="AB58" s="197"/>
      <c r="AC58" s="197"/>
      <c r="AD58" s="197"/>
      <c r="AE58" s="197"/>
      <c r="AF58" s="197"/>
      <c r="AG58" s="197"/>
      <c r="AH58" s="197"/>
    </row>
    <row r="59" spans="1:34" ht="12.75" customHeight="1" x14ac:dyDescent="0.2">
      <c r="A59" s="260" t="s">
        <v>1721</v>
      </c>
      <c r="B59" s="260" t="s">
        <v>1723</v>
      </c>
      <c r="C59" s="260">
        <v>6</v>
      </c>
      <c r="D59" s="260">
        <v>2</v>
      </c>
      <c r="E59" s="260" t="s">
        <v>883</v>
      </c>
      <c r="F59" s="260" t="s">
        <v>904</v>
      </c>
      <c r="G59" s="260" t="s">
        <v>916</v>
      </c>
      <c r="H59" s="215" t="str">
        <f>IF(Roster!$K$25="Español",T59,(IF(Roster!$K$25="Deutsch",U59,(IF(Roster!$K$25="Français",V59,S59)))))</f>
        <v>Catch, Diving Catch, Jump Up, Loner (4+), On the Ball, Sidestep, Stunty, Wrestle</v>
      </c>
      <c r="I59" s="215" t="str">
        <f>IF(Roster!$K$25="Español",N59,(IF(Roster!$K$25="Deutsch",O59,(IF(Roster!$K$25="Italiano",Q59,(IF(Roster!$K$25="Français",P59,M59)))))))</f>
        <v>Catch of the Day: Once per half, if Rodney is Standing and begins his activation within 3 squares of a ball which is on the ground he may roll a D6. on a 1-2, nothing happens. On a 3+, Rodney inmmediately gains possession of the ball.</v>
      </c>
      <c r="J59" s="227">
        <v>70000</v>
      </c>
      <c r="K59" s="260">
        <v>1</v>
      </c>
      <c r="L59" s="261"/>
      <c r="M59" s="262" t="s">
        <v>1724</v>
      </c>
      <c r="N59" s="262" t="s">
        <v>1733</v>
      </c>
      <c r="O59" s="14" t="s">
        <v>1734</v>
      </c>
      <c r="P59" s="14" t="s">
        <v>1735</v>
      </c>
      <c r="Q59" s="14" t="s">
        <v>1736</v>
      </c>
      <c r="R59" s="14"/>
      <c r="S59" s="14" t="s">
        <v>1725</v>
      </c>
      <c r="T59" s="14" t="s">
        <v>1738</v>
      </c>
      <c r="U59" s="13" t="s">
        <v>1739</v>
      </c>
      <c r="V59" s="13" t="s">
        <v>1740</v>
      </c>
      <c r="AA59" s="197"/>
      <c r="AB59" s="197"/>
      <c r="AC59" s="197"/>
      <c r="AD59" s="197"/>
      <c r="AE59" s="197"/>
      <c r="AF59" s="197"/>
      <c r="AG59" s="197"/>
      <c r="AH59" s="197"/>
    </row>
    <row r="60" spans="1:34" ht="12.75" customHeight="1" x14ac:dyDescent="0.2">
      <c r="A60" s="260" t="s">
        <v>1722</v>
      </c>
      <c r="B60" s="260" t="s">
        <v>1726</v>
      </c>
      <c r="C60" s="260">
        <v>6</v>
      </c>
      <c r="D60" s="260">
        <v>3</v>
      </c>
      <c r="E60" s="260" t="s">
        <v>883</v>
      </c>
      <c r="F60" s="260" t="s">
        <v>904</v>
      </c>
      <c r="G60" s="260" t="s">
        <v>945</v>
      </c>
      <c r="H60" s="215" t="str">
        <f>IF(Roster!$K$25="Español",T60,(IF(Roster!$K$25="Deutsch",U60,(IF(Roster!$K$25="Français",V60,S60)))))</f>
        <v>Dodge, Dump-off, Guard, Horns, Jump Up, Leap, Loner (4+)</v>
      </c>
      <c r="I60" s="215" t="str">
        <f>IF(Roster!$K$25="Español",N60,(IF(Roster!$K$25="Deutsch",O60,(IF(Roster!$K$25="Italiano",Q60,(IF(Roster!$K$25="Français",P60,M60)))))))</f>
        <v>Bounding Leap: Once per game, after declaring that she will Leap but before rolling any dice, Rowana may choose to use this special rule. If she does, Rowana suffers no negative modifiers for the Agility test to Leap and may choose to re-roll the result.</v>
      </c>
      <c r="J60" s="227">
        <v>160000</v>
      </c>
      <c r="K60" s="260">
        <v>1</v>
      </c>
      <c r="L60" s="261"/>
      <c r="M60" s="262" t="s">
        <v>1727</v>
      </c>
      <c r="N60" s="262" t="s">
        <v>1729</v>
      </c>
      <c r="O60" s="14" t="s">
        <v>1730</v>
      </c>
      <c r="P60" s="14" t="s">
        <v>1731</v>
      </c>
      <c r="Q60" s="14" t="s">
        <v>1732</v>
      </c>
      <c r="R60" s="14"/>
      <c r="S60" s="14" t="s">
        <v>1728</v>
      </c>
      <c r="T60" s="14" t="s">
        <v>1737</v>
      </c>
      <c r="U60" s="13" t="s">
        <v>1741</v>
      </c>
      <c r="V60" s="13" t="s">
        <v>1742</v>
      </c>
      <c r="W60" s="14"/>
      <c r="AA60" s="197"/>
      <c r="AB60" s="197"/>
      <c r="AC60" s="197"/>
      <c r="AD60" s="197"/>
      <c r="AE60" s="197"/>
      <c r="AF60" s="197"/>
      <c r="AG60" s="197"/>
      <c r="AH60" s="197"/>
    </row>
    <row r="61" spans="1:34" ht="12.75" customHeight="1" x14ac:dyDescent="0.2">
      <c r="A61" s="260" t="s">
        <v>1788</v>
      </c>
      <c r="B61" s="260" t="s">
        <v>1789</v>
      </c>
      <c r="C61" s="260">
        <v>6</v>
      </c>
      <c r="D61" s="260">
        <v>6</v>
      </c>
      <c r="E61" s="260" t="s">
        <v>883</v>
      </c>
      <c r="F61" s="260" t="s">
        <v>904</v>
      </c>
      <c r="G61" s="260" t="s">
        <v>905</v>
      </c>
      <c r="H61" s="215" t="str">
        <f>IF(Roster!$K$25="Español",T61,(IF(Roster!$K$25="Deutsch",U61,(IF(Roster!$K$25="Français",V61,S61)))))</f>
        <v>Block, Break Tackle, Defensive, Juggernaut, Loner (4+), Sprint, Sure Feet, Thick Skull</v>
      </c>
      <c r="I61" s="215" t="str">
        <f>IF(Roster!$K$25="Español",N61,(IF(Roster!$K$25="Deutsch",O61,(IF(Roster!$K$25="Italiano",Q61,(IF(Roster!$K$25="Français",P61,M61)))))))</f>
        <v>Unstoppable Momentum: Whenever H'Thark performs a Blitz action, he may re-roll a single block dice.</v>
      </c>
      <c r="J61" s="227">
        <v>300000</v>
      </c>
      <c r="K61" s="260">
        <v>1</v>
      </c>
      <c r="L61" s="261"/>
      <c r="M61" s="262" t="s">
        <v>1791</v>
      </c>
      <c r="N61" s="262" t="s">
        <v>1792</v>
      </c>
      <c r="O61" s="14" t="s">
        <v>1793</v>
      </c>
      <c r="P61" s="14" t="s">
        <v>1794</v>
      </c>
      <c r="Q61" s="14" t="s">
        <v>1795</v>
      </c>
      <c r="R61" s="14"/>
      <c r="S61" s="14" t="s">
        <v>1790</v>
      </c>
      <c r="T61" s="14" t="s">
        <v>1796</v>
      </c>
      <c r="U61" s="13" t="s">
        <v>1797</v>
      </c>
      <c r="V61" s="13" t="s">
        <v>1798</v>
      </c>
      <c r="W61" s="14" t="s">
        <v>1790</v>
      </c>
      <c r="AA61" s="197"/>
      <c r="AB61" s="197"/>
      <c r="AC61" s="197"/>
      <c r="AD61" s="197"/>
      <c r="AE61" s="197"/>
      <c r="AF61" s="197"/>
      <c r="AG61" s="197"/>
      <c r="AH61" s="197"/>
    </row>
    <row r="62" spans="1:34" ht="12.75" customHeight="1" x14ac:dyDescent="0.2">
      <c r="A62" s="260" t="s">
        <v>1799</v>
      </c>
      <c r="B62" s="260" t="s">
        <v>1800</v>
      </c>
      <c r="C62" s="260">
        <v>7</v>
      </c>
      <c r="D62" s="260">
        <v>3</v>
      </c>
      <c r="E62" s="260" t="s">
        <v>883</v>
      </c>
      <c r="F62" s="260" t="s">
        <v>923</v>
      </c>
      <c r="G62" s="260" t="s">
        <v>945</v>
      </c>
      <c r="H62" s="215" t="str">
        <f>IF(Roster!$K$25="Español",T62,(IF(Roster!$K$25="Deutsch",U62,(IF(Roster!$K$25="Français",V62,S62)))))</f>
        <v>Loner (4+), Shadowing, Sidestep, Sneaky Git, Stab</v>
      </c>
      <c r="I62" s="215" t="str">
        <f>IF(Roster!$K$25="Español",N62,(IF(Roster!$K$25="Deutsch",O62,(IF(Roster!$K$25="Italiano",Q62,(IF(Roster!$K$25="Français",P62,M62)))))))</f>
        <v>Toxin Connoisseur: Once per game, when Rashnak successfully breaks an opposition player's armour as a result of a Stab Special action, you may apply an additional +1 modifier to the Injury roll. This modifier may be applied after the roll has been made.</v>
      </c>
      <c r="J62" s="227">
        <v>130000</v>
      </c>
      <c r="K62" s="260">
        <v>1</v>
      </c>
      <c r="L62" s="261"/>
      <c r="M62" s="262" t="s">
        <v>1802</v>
      </c>
      <c r="N62" s="262" t="s">
        <v>1803</v>
      </c>
      <c r="O62" s="14" t="s">
        <v>1804</v>
      </c>
      <c r="P62" s="14" t="s">
        <v>1805</v>
      </c>
      <c r="Q62" s="14" t="s">
        <v>1806</v>
      </c>
      <c r="R62" s="14"/>
      <c r="S62" s="14" t="s">
        <v>1801</v>
      </c>
      <c r="T62" s="14" t="s">
        <v>1807</v>
      </c>
      <c r="U62" s="13" t="s">
        <v>1808</v>
      </c>
      <c r="V62" s="13" t="s">
        <v>1809</v>
      </c>
      <c r="W62" s="14" t="s">
        <v>1801</v>
      </c>
      <c r="AA62" s="197"/>
      <c r="AB62" s="197"/>
      <c r="AC62" s="197"/>
      <c r="AD62" s="197"/>
      <c r="AE62" s="197"/>
      <c r="AF62" s="197"/>
      <c r="AG62" s="197"/>
      <c r="AH62" s="197"/>
    </row>
    <row r="63" spans="1:34" ht="12.75" customHeight="1" x14ac:dyDescent="0.2">
      <c r="A63" s="260" t="s">
        <v>1810</v>
      </c>
      <c r="B63" s="260" t="s">
        <v>1811</v>
      </c>
      <c r="C63" s="260">
        <v>4</v>
      </c>
      <c r="D63" s="260">
        <v>4</v>
      </c>
      <c r="E63" s="260" t="s">
        <v>904</v>
      </c>
      <c r="F63" s="260" t="s">
        <v>883</v>
      </c>
      <c r="G63" s="260" t="s">
        <v>905</v>
      </c>
      <c r="H63" s="215" t="str">
        <f>IF(Roster!$K$25="Español",T63,(IF(Roster!$K$25="Deutsch",U63,(IF(Roster!$K$25="Français",V63,S63)))))</f>
        <v>Cannoneer, Hail Mary Pass, Loner (4+), Nerves of Steel, Secret Weapon, Sure Hands, Thick Skull</v>
      </c>
      <c r="I63" s="215" t="str">
        <f>IF(Roster!$K$25="Español",N63,(IF(Roster!$K$25="Deutsch",O63,(IF(Roster!$K$25="Italiano",Q63,(IF(Roster!$K$25="Français",P63,M63)))))))</f>
        <v>Then I Started Blastin'!: Once per half, at the start of his activation, Zzharg may perform a Blunderbuss Blast Special action. When he does, select a Standing opposition player within 3 squares of Zzharg and roll a D6. On a 3+, the selected player is hit; immediately make an unmodified Armour roll, and subsquent Injury roll if necessary, against the selected player. On a 2, the opposing coach selects a player (from either team, but not Zzharg) within 3 squares of the original selected player to be hit instead. On a 1, Zzharg is hit instead. If the armour of the player hit is not broken, nothing happens.</v>
      </c>
      <c r="J63" s="227">
        <v>130000</v>
      </c>
      <c r="K63" s="260">
        <v>1</v>
      </c>
      <c r="L63" s="261"/>
      <c r="M63" s="262" t="s">
        <v>1813</v>
      </c>
      <c r="N63" s="262" t="s">
        <v>1814</v>
      </c>
      <c r="O63" s="14" t="s">
        <v>1815</v>
      </c>
      <c r="P63" s="14" t="s">
        <v>1816</v>
      </c>
      <c r="Q63" s="14" t="s">
        <v>1817</v>
      </c>
      <c r="R63" s="14"/>
      <c r="S63" s="14" t="s">
        <v>1812</v>
      </c>
      <c r="T63" s="14" t="s">
        <v>1818</v>
      </c>
      <c r="U63" s="13" t="s">
        <v>1819</v>
      </c>
      <c r="V63" s="13" t="s">
        <v>1820</v>
      </c>
      <c r="W63" s="14" t="s">
        <v>1812</v>
      </c>
      <c r="AA63" s="197"/>
      <c r="AB63" s="197"/>
      <c r="AC63" s="197"/>
      <c r="AD63" s="197"/>
      <c r="AE63" s="197"/>
      <c r="AF63" s="197"/>
      <c r="AG63" s="197"/>
      <c r="AH63" s="197"/>
    </row>
    <row r="64" spans="1:34" ht="12.75" customHeight="1" x14ac:dyDescent="0.2">
      <c r="A64" s="8" t="s">
        <v>1488</v>
      </c>
      <c r="B64" s="8" t="s">
        <v>1489</v>
      </c>
      <c r="C64" s="8">
        <v>6</v>
      </c>
      <c r="D64" s="8">
        <v>7</v>
      </c>
      <c r="E64" s="8" t="s">
        <v>923</v>
      </c>
      <c r="F64" s="8" t="s">
        <v>923</v>
      </c>
      <c r="G64" s="8" t="s">
        <v>934</v>
      </c>
      <c r="H64" s="215" t="str">
        <f>IF(Roster!$K$25="Español",T64,(IF(Roster!$K$25="Deutsch",U64,(IF(Roster!$K$25="Français",V64,S64)))))</f>
        <v>Always Hungry, Bone Head, Break Tackle, Juggernaut, Loner (4+), Mighty Blow (+2), Multiple Block, Stand Firm, Throw Team-Mate</v>
      </c>
      <c r="I64" s="215" t="str">
        <f>IF(Roster!$K$25="Español",N64,(IF(Roster!$K$25="Deutsch",O64,(IF(Roster!$K$25="Italiano",Q64,(IF(Roster!$K$25="Français",P64,M64)))))))</f>
        <v xml:space="preserve"> </v>
      </c>
      <c r="J64" s="8">
        <v>350000</v>
      </c>
      <c r="K64" s="8">
        <v>1</v>
      </c>
      <c r="L64" s="8"/>
      <c r="M64" s="8" t="str">
        <f>" "</f>
        <v xml:space="preserve"> </v>
      </c>
      <c r="N64" s="8" t="str">
        <f t="shared" ref="N64:Q64" si="0">" "</f>
        <v xml:space="preserve"> </v>
      </c>
      <c r="O64" s="8" t="str">
        <f t="shared" si="0"/>
        <v xml:space="preserve"> </v>
      </c>
      <c r="P64" s="8" t="str">
        <f t="shared" si="0"/>
        <v xml:space="preserve"> </v>
      </c>
      <c r="Q64" s="8" t="str">
        <f t="shared" si="0"/>
        <v xml:space="preserve"> </v>
      </c>
      <c r="R64" s="14"/>
      <c r="S64" s="14" t="s">
        <v>1491</v>
      </c>
      <c r="T64" t="s">
        <v>1490</v>
      </c>
      <c r="U64" t="s">
        <v>1492</v>
      </c>
      <c r="V64" t="s">
        <v>1493</v>
      </c>
      <c r="Z64" s="8"/>
      <c r="AA64" s="8"/>
      <c r="AB64" s="8"/>
      <c r="AC64" s="8"/>
      <c r="AD64" s="8"/>
      <c r="AE64" s="8"/>
      <c r="AF64" s="8"/>
      <c r="AG64" s="8"/>
      <c r="AH64" s="8"/>
    </row>
    <row r="65" spans="1:66" ht="12.75" customHeight="1" x14ac:dyDescent="0.2">
      <c r="A65" s="8" t="s">
        <v>1325</v>
      </c>
      <c r="B65" s="197" t="str">
        <f>IF(Mercenaries!A3="","",Mercenaries!A3)</f>
        <v/>
      </c>
      <c r="C65" s="197" t="str">
        <f>IF(Mercenaries!C3="","",Mercenaries!C3)</f>
        <v/>
      </c>
      <c r="D65" s="197" t="str">
        <f>IF(Mercenaries!D3="","",Mercenaries!D3)</f>
        <v/>
      </c>
      <c r="E65" s="197" t="str">
        <f>IF(Mercenaries!E3="","",Mercenaries!E3)</f>
        <v/>
      </c>
      <c r="F65" s="197" t="str">
        <f>IF(Mercenaries!F3="","",Mercenaries!F3)</f>
        <v/>
      </c>
      <c r="G65" s="197" t="str">
        <f>IF(Mercenaries!G3="","",Mercenaries!G3)</f>
        <v/>
      </c>
      <c r="H65" s="197" t="str">
        <f>IF(Mercenaries!H3="","",Mercenaries!H3)</f>
        <v/>
      </c>
      <c r="J65" s="197">
        <f>IF(Mercenaries!S3="","",Mercenaries!S3)</f>
        <v>0</v>
      </c>
      <c r="K65" s="7">
        <v>1</v>
      </c>
      <c r="L65" s="8"/>
      <c r="M65" s="8"/>
      <c r="N65" s="8"/>
      <c r="O65" s="8"/>
      <c r="P65" s="8"/>
      <c r="Q65" s="8"/>
      <c r="R65" s="14"/>
      <c r="S65" s="14"/>
      <c r="T65" s="14"/>
      <c r="U65" s="14"/>
      <c r="V65" s="14"/>
      <c r="W65" s="8"/>
      <c r="X65" s="8"/>
      <c r="Y65" s="8"/>
      <c r="Z65" s="8"/>
      <c r="AA65" s="8"/>
      <c r="AB65" s="8"/>
      <c r="AC65" s="8"/>
      <c r="AD65" s="8"/>
      <c r="AE65" s="8"/>
      <c r="AF65" s="8"/>
      <c r="AG65" s="8"/>
      <c r="AH65" s="8"/>
    </row>
    <row r="66" spans="1:66" ht="12.75" customHeight="1" x14ac:dyDescent="0.2">
      <c r="A66" s="8" t="s">
        <v>1326</v>
      </c>
      <c r="B66" s="197" t="str">
        <f>IF(Mercenaries!A16="","",Mercenaries!A16)</f>
        <v/>
      </c>
      <c r="C66" s="197" t="str">
        <f>IF(Mercenaries!C16="","",Mercenaries!C16)</f>
        <v/>
      </c>
      <c r="D66" s="197" t="str">
        <f>IF(Mercenaries!D16="","",Mercenaries!D16)</f>
        <v/>
      </c>
      <c r="E66" s="197" t="str">
        <f>IF(Mercenaries!E16="","",Mercenaries!E16)</f>
        <v/>
      </c>
      <c r="F66" s="197" t="str">
        <f>IF(Mercenaries!F16="","",Mercenaries!F16)</f>
        <v/>
      </c>
      <c r="G66" s="197" t="str">
        <f>IF(Mercenaries!G16="","",Mercenaries!G16)</f>
        <v/>
      </c>
      <c r="H66" s="197" t="str">
        <f>IF(Mercenaries!H16="","",Mercenaries!H16)</f>
        <v/>
      </c>
      <c r="J66" s="197">
        <f>IF(Mercenaries!S16="","",Mercenaries!S16)</f>
        <v>0</v>
      </c>
      <c r="K66" s="7">
        <v>1</v>
      </c>
      <c r="L66" s="8"/>
      <c r="M66" s="8"/>
      <c r="N66" s="8"/>
      <c r="O66" s="8"/>
      <c r="P66" s="8"/>
      <c r="Q66" s="8"/>
      <c r="R66" s="14"/>
      <c r="S66" s="13"/>
      <c r="T66" s="14"/>
      <c r="U66" s="13"/>
      <c r="V66" s="13"/>
      <c r="W66" s="13"/>
      <c r="X66" s="8"/>
      <c r="Y66" s="8"/>
      <c r="Z66" s="8"/>
      <c r="AA66" s="8"/>
      <c r="AB66" s="8"/>
      <c r="AC66" s="8"/>
      <c r="AD66" s="8"/>
      <c r="AE66" s="8"/>
      <c r="AF66" s="8"/>
      <c r="AG66" s="8"/>
      <c r="AH66" s="8"/>
    </row>
    <row r="67" spans="1:66" ht="12.75" customHeight="1" x14ac:dyDescent="0.2">
      <c r="A67" s="8" t="s">
        <v>1327</v>
      </c>
      <c r="B67" s="197" t="str">
        <f>IF(Mercenaries!A29="","",Mercenaries!A29)</f>
        <v/>
      </c>
      <c r="C67" s="197" t="str">
        <f>IF(Mercenaries!C29="","",Mercenaries!C29)</f>
        <v/>
      </c>
      <c r="D67" s="197" t="str">
        <f>IF(Mercenaries!D29="","",Mercenaries!D29)</f>
        <v/>
      </c>
      <c r="E67" s="197" t="str">
        <f>IF(Mercenaries!E29="","",Mercenaries!E29)</f>
        <v/>
      </c>
      <c r="F67" s="197" t="str">
        <f>IF(Mercenaries!F29="","",Mercenaries!F29)</f>
        <v/>
      </c>
      <c r="G67" s="197" t="str">
        <f>IF(Mercenaries!G29="","",Mercenaries!G29)</f>
        <v/>
      </c>
      <c r="H67" s="197" t="str">
        <f>IF(Mercenaries!H29="","",Mercenaries!H29)</f>
        <v/>
      </c>
      <c r="J67" s="197">
        <f>IF(Mercenaries!S29="","",Mercenaries!S29)</f>
        <v>0</v>
      </c>
      <c r="K67" s="7">
        <v>1</v>
      </c>
      <c r="L67" s="8"/>
      <c r="M67" s="8"/>
      <c r="N67" s="8"/>
      <c r="O67" s="8"/>
      <c r="P67" s="8"/>
      <c r="Q67" s="8"/>
      <c r="R67" s="8"/>
      <c r="S67" s="13"/>
      <c r="T67" s="13"/>
      <c r="U67" s="13"/>
      <c r="V67" s="13"/>
      <c r="W67" s="13"/>
      <c r="X67" s="8"/>
      <c r="Y67" s="8"/>
      <c r="Z67" s="8"/>
      <c r="AA67" s="8"/>
      <c r="AB67" s="8"/>
      <c r="AC67" s="8"/>
      <c r="AD67" s="8"/>
      <c r="AE67" s="8"/>
      <c r="AF67" s="8"/>
      <c r="AG67" s="8"/>
      <c r="AH67" s="8"/>
    </row>
    <row r="68" spans="1:66" ht="12.75" customHeight="1" x14ac:dyDescent="0.2">
      <c r="B68" s="19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row>
    <row r="69" spans="1:66" ht="12.75" customHeight="1" x14ac:dyDescent="0.2">
      <c r="B69" s="197"/>
      <c r="C69" s="260" t="str">
        <f t="shared" ref="C69:E69" si="1">IF(C70=1,C71,"")</f>
        <v>ABV</v>
      </c>
      <c r="D69" s="260" t="str">
        <f t="shared" si="1"/>
        <v>ABM</v>
      </c>
      <c r="E69" s="260" t="str">
        <f t="shared" si="1"/>
        <v/>
      </c>
      <c r="F69" s="260" t="str">
        <f>IF(F70=1,F71,"")</f>
        <v>AAA</v>
      </c>
      <c r="G69" s="260" t="str">
        <f>IF(G70=1,G71,"")</f>
        <v>ABL</v>
      </c>
      <c r="H69" s="260" t="str">
        <f t="shared" ref="H69:BN69" si="2">IF(H70=1,H71,"")</f>
        <v>ABK</v>
      </c>
      <c r="I69" s="260" t="str">
        <f t="shared" si="2"/>
        <v>ACB</v>
      </c>
      <c r="J69" s="260" t="str">
        <f t="shared" si="2"/>
        <v>ABT</v>
      </c>
      <c r="K69" s="260" t="str">
        <f t="shared" si="2"/>
        <v>ACC</v>
      </c>
      <c r="L69" s="260" t="str">
        <f t="shared" si="2"/>
        <v/>
      </c>
      <c r="M69" s="260" t="str">
        <f t="shared" si="2"/>
        <v>ACL</v>
      </c>
      <c r="N69" s="260" t="str">
        <f t="shared" si="2"/>
        <v>ACM</v>
      </c>
      <c r="O69" s="260" t="str">
        <f t="shared" si="2"/>
        <v/>
      </c>
      <c r="P69" s="260" t="str">
        <f t="shared" si="2"/>
        <v>AAB</v>
      </c>
      <c r="Q69" s="260" t="str">
        <f t="shared" si="2"/>
        <v/>
      </c>
      <c r="R69" s="260" t="str">
        <f t="shared" si="2"/>
        <v/>
      </c>
      <c r="S69" s="260" t="str">
        <f t="shared" si="2"/>
        <v/>
      </c>
      <c r="T69" s="260" t="str">
        <f t="shared" si="2"/>
        <v>ACH</v>
      </c>
      <c r="U69" s="260" t="str">
        <f t="shared" si="2"/>
        <v/>
      </c>
      <c r="V69" s="260" t="str">
        <f t="shared" si="2"/>
        <v>AAJ</v>
      </c>
      <c r="W69" s="260" t="str">
        <f t="shared" si="2"/>
        <v/>
      </c>
      <c r="X69" s="260" t="str">
        <f t="shared" si="2"/>
        <v>ABP</v>
      </c>
      <c r="Y69" s="260" t="str">
        <f t="shared" si="2"/>
        <v/>
      </c>
      <c r="Z69" s="260" t="str">
        <f t="shared" si="2"/>
        <v/>
      </c>
      <c r="AA69" s="260" t="str">
        <f t="shared" si="2"/>
        <v/>
      </c>
      <c r="AB69" s="260" t="str">
        <f t="shared" si="2"/>
        <v/>
      </c>
      <c r="AC69" s="260" t="str">
        <f t="shared" si="2"/>
        <v/>
      </c>
      <c r="AD69" s="260" t="str">
        <f t="shared" si="2"/>
        <v/>
      </c>
      <c r="AE69" s="260" t="str">
        <f t="shared" si="2"/>
        <v/>
      </c>
      <c r="AF69" s="260" t="str">
        <f t="shared" si="2"/>
        <v>AAK</v>
      </c>
      <c r="AG69" s="260" t="str">
        <f t="shared" si="2"/>
        <v/>
      </c>
      <c r="AH69" s="260" t="str">
        <f t="shared" si="2"/>
        <v/>
      </c>
      <c r="AI69" s="260" t="str">
        <f t="shared" si="2"/>
        <v/>
      </c>
      <c r="AJ69" s="260" t="str">
        <f t="shared" si="2"/>
        <v>AAL</v>
      </c>
      <c r="AK69" s="260" t="str">
        <f t="shared" si="2"/>
        <v>AAM</v>
      </c>
      <c r="AL69" s="260" t="str">
        <f t="shared" si="2"/>
        <v>ABF</v>
      </c>
      <c r="AM69" s="260" t="str">
        <f t="shared" si="2"/>
        <v/>
      </c>
      <c r="AN69" s="260" t="str">
        <f t="shared" si="2"/>
        <v>AAC</v>
      </c>
      <c r="AO69" s="260" t="str">
        <f t="shared" si="2"/>
        <v/>
      </c>
      <c r="AP69" s="260" t="str">
        <f t="shared" si="2"/>
        <v/>
      </c>
      <c r="AQ69" s="260" t="str">
        <f t="shared" si="2"/>
        <v/>
      </c>
      <c r="AR69" s="260" t="str">
        <f t="shared" si="2"/>
        <v/>
      </c>
      <c r="AS69" s="260" t="str">
        <f t="shared" si="2"/>
        <v>AAP</v>
      </c>
      <c r="AT69" s="260" t="str">
        <f t="shared" si="2"/>
        <v>ABN</v>
      </c>
      <c r="AU69" s="260" t="str">
        <f t="shared" si="2"/>
        <v>ACA</v>
      </c>
      <c r="AV69" s="260" t="str">
        <f t="shared" si="2"/>
        <v>ABO</v>
      </c>
      <c r="AW69" s="260" t="str">
        <f t="shared" si="2"/>
        <v>AAD</v>
      </c>
      <c r="AX69" s="260" t="str">
        <f t="shared" si="2"/>
        <v>AAE</v>
      </c>
      <c r="AY69" s="260" t="str">
        <f t="shared" si="2"/>
        <v/>
      </c>
      <c r="AZ69" s="260" t="str">
        <f t="shared" si="2"/>
        <v/>
      </c>
      <c r="BA69" s="260" t="str">
        <f t="shared" si="2"/>
        <v/>
      </c>
      <c r="BB69" s="260" t="str">
        <f t="shared" si="2"/>
        <v/>
      </c>
      <c r="BC69" s="260" t="str">
        <f t="shared" si="2"/>
        <v>AAN</v>
      </c>
      <c r="BD69" s="260" t="str">
        <f t="shared" si="2"/>
        <v>AAO</v>
      </c>
      <c r="BE69" s="260" t="str">
        <f t="shared" si="2"/>
        <v>AAF</v>
      </c>
      <c r="BF69" s="260" t="str">
        <f t="shared" si="2"/>
        <v>ACK</v>
      </c>
      <c r="BG69" s="260" t="str">
        <f t="shared" si="2"/>
        <v/>
      </c>
      <c r="BH69" s="260" t="str">
        <f t="shared" si="2"/>
        <v/>
      </c>
      <c r="BI69" s="260" t="str">
        <f t="shared" si="2"/>
        <v/>
      </c>
      <c r="BJ69" s="260" t="str">
        <f>IF(BJ70=1,BJ71,"")</f>
        <v>AAG</v>
      </c>
      <c r="BK69" s="260" t="str">
        <f t="shared" si="2"/>
        <v>BBB</v>
      </c>
      <c r="BL69" s="260" t="str">
        <f t="shared" si="2"/>
        <v>CCC</v>
      </c>
      <c r="BM69" s="260" t="str">
        <f t="shared" si="2"/>
        <v>DDD</v>
      </c>
      <c r="BN69" s="260" t="str">
        <f t="shared" si="2"/>
        <v>EEE</v>
      </c>
    </row>
    <row r="70" spans="1:66" ht="12.75" customHeight="1" x14ac:dyDescent="0.2">
      <c r="B70" s="197" t="str">
        <f>Roster!$BV$2</f>
        <v>BadlandsBrawlOldWorldClassic</v>
      </c>
      <c r="C70" s="260">
        <f>VLOOKUP($B$70,$B$73:$BP$89,2,FALSE)</f>
        <v>1</v>
      </c>
      <c r="D70" s="260">
        <f>VLOOKUP($B$70,$B$73:$BP$89,3,FALSE)</f>
        <v>1</v>
      </c>
      <c r="E70" s="260">
        <f>VLOOKUP($B$70,$B$73:$BP$89,4,FALSE)</f>
        <v>0</v>
      </c>
      <c r="F70" s="260">
        <f>VLOOKUP($B$70,$B$73:$BP$89,5,FALSE)</f>
        <v>1</v>
      </c>
      <c r="G70" s="260">
        <f>VLOOKUP($B$70,$B$73:$BP$89,6,FALSE)</f>
        <v>1</v>
      </c>
      <c r="H70" s="260">
        <f>VLOOKUP($B$70,$B$73:$BP$89,7,FALSE)</f>
        <v>1</v>
      </c>
      <c r="I70" s="260">
        <f>VLOOKUP($B$70,$B$73:$BP$89,8,FALSE)</f>
        <v>1</v>
      </c>
      <c r="J70" s="260">
        <f>VLOOKUP($B$70,$B$73:$BP$89,9,FALSE)</f>
        <v>1</v>
      </c>
      <c r="K70" s="260">
        <f>VLOOKUP($B$70,$B$73:$BP$89,10,FALSE)</f>
        <v>1</v>
      </c>
      <c r="L70" s="260">
        <f>VLOOKUP($B$70,$B$73:$BP$89,11,FALSE)</f>
        <v>0</v>
      </c>
      <c r="M70" s="260">
        <f>VLOOKUP($B$70,$B$73:$BP$89,12,FALSE)</f>
        <v>1</v>
      </c>
      <c r="N70" s="260">
        <f>VLOOKUP($B$70,$B$73:$BP$89,13,FALSE)</f>
        <v>1</v>
      </c>
      <c r="O70" s="260">
        <f>VLOOKUP($B$70,$B$73:$BP$89,14,FALSE)</f>
        <v>0</v>
      </c>
      <c r="P70" s="260">
        <f>VLOOKUP($B$70,$B$73:$BP$89,15,FALSE)</f>
        <v>1</v>
      </c>
      <c r="Q70" s="260">
        <f>VLOOKUP($B$70,$B$73:$BP$89,16,FALSE)</f>
        <v>0</v>
      </c>
      <c r="R70" s="260">
        <f>VLOOKUP($B$70,$B$73:$BP$89,17,FALSE)</f>
        <v>0</v>
      </c>
      <c r="S70" s="260">
        <f>VLOOKUP($B$70,$B$73:$BP$89,18,FALSE)</f>
        <v>0</v>
      </c>
      <c r="T70" s="260">
        <f>VLOOKUP($B$70,$B$73:$BP$89,19,FALSE)</f>
        <v>1</v>
      </c>
      <c r="U70" s="260">
        <f>VLOOKUP($B$70,$B$73:$BP$89,20,FALSE)</f>
        <v>0</v>
      </c>
      <c r="V70" s="260">
        <f>VLOOKUP($B$70,$B$73:$BP$89,21,FALSE)</f>
        <v>1</v>
      </c>
      <c r="W70" s="260">
        <f>VLOOKUP($B$70,$B$73:$BP$89,22,FALSE)</f>
        <v>0</v>
      </c>
      <c r="X70" s="260">
        <f>VLOOKUP($B$70,$B$73:$BP$89,23,FALSE)</f>
        <v>1</v>
      </c>
      <c r="Y70" s="260">
        <f>VLOOKUP($B$70,$B$73:$BP$89,24,FALSE)</f>
        <v>0</v>
      </c>
      <c r="Z70" s="260">
        <f>VLOOKUP($B$70,$B$73:$BP$89,25,FALSE)</f>
        <v>0</v>
      </c>
      <c r="AA70" s="260">
        <f>VLOOKUP($B$70,$B$73:$BP$89,26,FALSE)</f>
        <v>0</v>
      </c>
      <c r="AB70" s="260">
        <f>VLOOKUP($B$70,$B$73:$BP$89,27,FALSE)</f>
        <v>0</v>
      </c>
      <c r="AC70" s="260">
        <f>VLOOKUP($B$70,$B$73:$BP$89,28,FALSE)</f>
        <v>0</v>
      </c>
      <c r="AD70" s="260">
        <f>VLOOKUP($B$70,$B$73:$BP$89,29,FALSE)</f>
        <v>0</v>
      </c>
      <c r="AE70" s="260">
        <f>VLOOKUP($B$70,$B$73:$BP$89,30,FALSE)</f>
        <v>0</v>
      </c>
      <c r="AF70" s="260">
        <f>VLOOKUP($B$70,$B$73:$BP$89,31,FALSE)</f>
        <v>1</v>
      </c>
      <c r="AG70" s="260">
        <f>VLOOKUP($B$70,$B$73:$BP$89,32,FALSE)</f>
        <v>0</v>
      </c>
      <c r="AH70" s="260">
        <f>VLOOKUP($B$70,$B$73:$BP$89,33,FALSE)</f>
        <v>0</v>
      </c>
      <c r="AI70" s="260">
        <f>VLOOKUP($B$70,$B$73:$BP$89,34,FALSE)</f>
        <v>0</v>
      </c>
      <c r="AJ70" s="260">
        <f>VLOOKUP($B$70,$B$73:$BP$89,35,FALSE)</f>
        <v>1</v>
      </c>
      <c r="AK70" s="260">
        <f>VLOOKUP($B$70,$B$73:$BP$89,36,FALSE)</f>
        <v>1</v>
      </c>
      <c r="AL70" s="260">
        <f>VLOOKUP($B$70,$B$73:$BP$89,37,FALSE)</f>
        <v>1</v>
      </c>
      <c r="AM70" s="260">
        <f>VLOOKUP($B$70,$B$73:$BP$89,38,FALSE)</f>
        <v>0</v>
      </c>
      <c r="AN70" s="260">
        <f>VLOOKUP($B$70,$B$73:$BP$89,39,FALSE)</f>
        <v>1</v>
      </c>
      <c r="AO70" s="260">
        <f>VLOOKUP($B$70,$B$73:$BP$89,40,FALSE)</f>
        <v>0</v>
      </c>
      <c r="AP70" s="260">
        <f>VLOOKUP($B$70,$B$73:$BP$89,41,FALSE)</f>
        <v>0</v>
      </c>
      <c r="AQ70" s="260">
        <f>VLOOKUP($B$70,$B$73:$BP$89,42,FALSE)</f>
        <v>0</v>
      </c>
      <c r="AR70" s="260">
        <f>VLOOKUP($B$70,$B$73:$BP$89,43,FALSE)</f>
        <v>0</v>
      </c>
      <c r="AS70" s="260">
        <f>VLOOKUP($B$70,$B$73:$BP$89,44,FALSE)</f>
        <v>1</v>
      </c>
      <c r="AT70" s="260">
        <f>VLOOKUP($B$70,$B$73:$BP$89,45,FALSE)</f>
        <v>1</v>
      </c>
      <c r="AU70" s="260">
        <f>VLOOKUP($B$70,$B$73:$BP$89,46,FALSE)</f>
        <v>1</v>
      </c>
      <c r="AV70" s="260">
        <f>VLOOKUP($B$70,$B$73:$BP$89,47,FALSE)</f>
        <v>1</v>
      </c>
      <c r="AW70" s="260">
        <f>VLOOKUP($B$70,$B$73:$BP$89,48,FALSE)</f>
        <v>1</v>
      </c>
      <c r="AX70" s="260">
        <f>VLOOKUP($B$70,$B$73:$BP$89,49,FALSE)</f>
        <v>1</v>
      </c>
      <c r="AY70" s="260">
        <f>VLOOKUP($B$70,$B$73:$BP$89,50,FALSE)</f>
        <v>0</v>
      </c>
      <c r="AZ70" s="260">
        <f>VLOOKUP($B$70,$B$73:$BP$89,51,FALSE)</f>
        <v>0</v>
      </c>
      <c r="BA70" s="260">
        <f>VLOOKUP($B$70,$B$73:$BP$89,52,FALSE)</f>
        <v>0</v>
      </c>
      <c r="BB70" s="260">
        <f>VLOOKUP($B$70,$B$73:$BP$89,53,FALSE)</f>
        <v>0</v>
      </c>
      <c r="BC70" s="260">
        <f>VLOOKUP($B$70,$B$73:$BP$89,54,FALSE)</f>
        <v>1</v>
      </c>
      <c r="BD70" s="260">
        <f>VLOOKUP($B$70,$B$73:$BP$89,55,FALSE)</f>
        <v>1</v>
      </c>
      <c r="BE70" s="260">
        <f>VLOOKUP($B$70,$B$73:$BP$89,56,FALSE)</f>
        <v>1</v>
      </c>
      <c r="BF70" s="260">
        <f>VLOOKUP($B$70,$B$73:$BP$89,57,FALSE)</f>
        <v>1</v>
      </c>
      <c r="BG70" s="260">
        <f>VLOOKUP($B$70,$B$73:$BP$89,58,FALSE)</f>
        <v>0</v>
      </c>
      <c r="BH70" s="260">
        <f>VLOOKUP($B$70,$B$73:$BP$89,59,FALSE)</f>
        <v>0</v>
      </c>
      <c r="BI70" s="260">
        <f>VLOOKUP($B$70,$B$73:$BP$89,60,FALSE)</f>
        <v>0</v>
      </c>
      <c r="BJ70" s="260">
        <f>VLOOKUP($B$70,$B$73:$BP$89,61,FALSE)</f>
        <v>1</v>
      </c>
      <c r="BK70" s="260">
        <f>VLOOKUP($B$70,$B$73:$BP$89,62,FALSE)</f>
        <v>1</v>
      </c>
      <c r="BL70" s="260">
        <f>VLOOKUP($B$70,$B$73:$BP$89,63,FALSE)</f>
        <v>1</v>
      </c>
      <c r="BM70" s="260">
        <f>VLOOKUP($B$70,$B$73:$BP$89,64,FALSE)</f>
        <v>1</v>
      </c>
      <c r="BN70" s="260">
        <f>VLOOKUP($B$70,$B$73:$BP$89,65,FALSE)</f>
        <v>1</v>
      </c>
    </row>
    <row r="71" spans="1:66" ht="12.75" customHeight="1" x14ac:dyDescent="0.2">
      <c r="B71" s="14"/>
      <c r="C71" s="8" t="s">
        <v>1495</v>
      </c>
      <c r="D71" s="8" t="s">
        <v>1361</v>
      </c>
      <c r="E71" s="8" t="s">
        <v>1721</v>
      </c>
      <c r="F71" s="8" t="s">
        <v>869</v>
      </c>
      <c r="G71" s="8" t="s">
        <v>1350</v>
      </c>
      <c r="H71" s="8" t="s">
        <v>1336</v>
      </c>
      <c r="I71" s="8" t="s">
        <v>1500</v>
      </c>
      <c r="J71" s="8" t="s">
        <v>1494</v>
      </c>
      <c r="K71" s="8" t="s">
        <v>1501</v>
      </c>
      <c r="L71" s="8" t="s">
        <v>1120</v>
      </c>
      <c r="M71" s="8" t="s">
        <v>1799</v>
      </c>
      <c r="N71" s="8" t="s">
        <v>1810</v>
      </c>
      <c r="O71" s="8" t="s">
        <v>1180</v>
      </c>
      <c r="P71" s="8" t="s">
        <v>881</v>
      </c>
      <c r="Q71" s="8" t="s">
        <v>1043</v>
      </c>
      <c r="R71" s="8" t="s">
        <v>1033</v>
      </c>
      <c r="S71" s="8" t="s">
        <v>1053</v>
      </c>
      <c r="T71" s="8" t="s">
        <v>1686</v>
      </c>
      <c r="U71" s="8" t="s">
        <v>1722</v>
      </c>
      <c r="V71" s="8" t="s">
        <v>964</v>
      </c>
      <c r="W71" s="260" t="s">
        <v>1328</v>
      </c>
      <c r="X71" s="260" t="s">
        <v>1396</v>
      </c>
      <c r="Y71" s="260" t="s">
        <v>1525</v>
      </c>
      <c r="Z71" s="260" t="s">
        <v>1498</v>
      </c>
      <c r="AA71" s="8" t="s">
        <v>1496</v>
      </c>
      <c r="AB71" s="8" t="s">
        <v>1497</v>
      </c>
      <c r="AC71" s="8" t="s">
        <v>1645</v>
      </c>
      <c r="AD71" s="8" t="s">
        <v>1450</v>
      </c>
      <c r="AE71" s="8" t="s">
        <v>954</v>
      </c>
      <c r="AF71" s="8" t="s">
        <v>974</v>
      </c>
      <c r="AG71" s="8" t="s">
        <v>1170</v>
      </c>
      <c r="AH71" s="8" t="s">
        <v>1452</v>
      </c>
      <c r="AI71" s="8" t="s">
        <v>943</v>
      </c>
      <c r="AJ71" s="8" t="s">
        <v>984</v>
      </c>
      <c r="AK71" s="8" t="s">
        <v>994</v>
      </c>
      <c r="AL71" s="8" t="s">
        <v>1150</v>
      </c>
      <c r="AM71" s="8" t="s">
        <v>1130</v>
      </c>
      <c r="AN71" s="8" t="s">
        <v>893</v>
      </c>
      <c r="AO71" s="8" t="s">
        <v>1063</v>
      </c>
      <c r="AP71" s="8" t="s">
        <v>1073</v>
      </c>
      <c r="AQ71" s="8" t="s">
        <v>1634</v>
      </c>
      <c r="AR71" s="8" t="s">
        <v>1160</v>
      </c>
      <c r="AS71" s="8" t="s">
        <v>1024</v>
      </c>
      <c r="AT71" s="8" t="s">
        <v>1394</v>
      </c>
      <c r="AU71" s="8" t="s">
        <v>1499</v>
      </c>
      <c r="AV71" s="8" t="s">
        <v>1395</v>
      </c>
      <c r="AW71" s="8" t="s">
        <v>902</v>
      </c>
      <c r="AX71" s="8" t="s">
        <v>914</v>
      </c>
      <c r="AY71" s="8" t="s">
        <v>1140</v>
      </c>
      <c r="AZ71" s="8" t="s">
        <v>1110</v>
      </c>
      <c r="BA71" s="8" t="s">
        <v>1451</v>
      </c>
      <c r="BB71" s="8" t="s">
        <v>1083</v>
      </c>
      <c r="BC71" s="8" t="s">
        <v>1004</v>
      </c>
      <c r="BD71" s="8" t="s">
        <v>1014</v>
      </c>
      <c r="BE71" s="8" t="s">
        <v>921</v>
      </c>
      <c r="BF71" s="8" t="s">
        <v>1788</v>
      </c>
      <c r="BG71" s="8" t="s">
        <v>1623</v>
      </c>
      <c r="BH71" s="8" t="s">
        <v>1094</v>
      </c>
      <c r="BI71" s="8" t="s">
        <v>1104</v>
      </c>
      <c r="BJ71" s="8" t="s">
        <v>932</v>
      </c>
      <c r="BK71" s="8" t="s">
        <v>1488</v>
      </c>
      <c r="BL71" s="8" t="s">
        <v>1325</v>
      </c>
      <c r="BM71" s="8" t="s">
        <v>1326</v>
      </c>
      <c r="BN71" s="8" t="s">
        <v>1327</v>
      </c>
    </row>
    <row r="72" spans="1:66" ht="12.75" customHeight="1" x14ac:dyDescent="0.2">
      <c r="B72" s="14"/>
      <c r="C72" s="8" t="s">
        <v>1505</v>
      </c>
      <c r="D72" s="8" t="s">
        <v>1362</v>
      </c>
      <c r="E72" s="8" t="s">
        <v>1723</v>
      </c>
      <c r="F72" s="8" t="s">
        <v>870</v>
      </c>
      <c r="G72" s="8" t="s">
        <v>1351</v>
      </c>
      <c r="H72" s="8" t="s">
        <v>1337</v>
      </c>
      <c r="I72" s="8" t="s">
        <v>1519</v>
      </c>
      <c r="J72" s="8" t="s">
        <v>1502</v>
      </c>
      <c r="K72" s="8" t="s">
        <v>1522</v>
      </c>
      <c r="L72" s="8" t="s">
        <v>1121</v>
      </c>
      <c r="M72" s="8" t="s">
        <v>1800</v>
      </c>
      <c r="N72" s="8" t="s">
        <v>1811</v>
      </c>
      <c r="O72" s="8" t="s">
        <v>1181</v>
      </c>
      <c r="P72" s="8" t="s">
        <v>882</v>
      </c>
      <c r="Q72" s="8" t="s">
        <v>1044</v>
      </c>
      <c r="R72" s="8" t="s">
        <v>1034</v>
      </c>
      <c r="S72" s="8" t="s">
        <v>1054</v>
      </c>
      <c r="T72" s="260" t="s">
        <v>1687</v>
      </c>
      <c r="U72" s="8" t="s">
        <v>1726</v>
      </c>
      <c r="V72" s="8" t="s">
        <v>965</v>
      </c>
      <c r="W72" s="260" t="s">
        <v>1335</v>
      </c>
      <c r="X72" s="260" t="s">
        <v>1413</v>
      </c>
      <c r="Y72" s="260" t="s">
        <v>1526</v>
      </c>
      <c r="Z72" s="260" t="s">
        <v>1513</v>
      </c>
      <c r="AA72" s="8" t="s">
        <v>1508</v>
      </c>
      <c r="AB72" s="8" t="s">
        <v>1509</v>
      </c>
      <c r="AC72" s="8" t="s">
        <v>1646</v>
      </c>
      <c r="AD72" s="8" t="s">
        <v>1453</v>
      </c>
      <c r="AE72" s="8" t="s">
        <v>955</v>
      </c>
      <c r="AF72" s="8" t="s">
        <v>975</v>
      </c>
      <c r="AG72" s="8" t="s">
        <v>1171</v>
      </c>
      <c r="AH72" s="8" t="s">
        <v>1464</v>
      </c>
      <c r="AI72" s="8" t="s">
        <v>944</v>
      </c>
      <c r="AJ72" s="8" t="s">
        <v>985</v>
      </c>
      <c r="AK72" s="8" t="s">
        <v>995</v>
      </c>
      <c r="AL72" s="8" t="s">
        <v>1151</v>
      </c>
      <c r="AM72" s="273" t="s">
        <v>1131</v>
      </c>
      <c r="AN72" s="8" t="s">
        <v>894</v>
      </c>
      <c r="AO72" s="8" t="s">
        <v>1064</v>
      </c>
      <c r="AP72" s="8" t="s">
        <v>1074</v>
      </c>
      <c r="AQ72" s="8" t="s">
        <v>1635</v>
      </c>
      <c r="AR72" s="260" t="s">
        <v>1161</v>
      </c>
      <c r="AS72" s="8" t="s">
        <v>1025</v>
      </c>
      <c r="AT72" s="8" t="s">
        <v>1397</v>
      </c>
      <c r="AU72" s="8" t="s">
        <v>1516</v>
      </c>
      <c r="AV72" s="8" t="s">
        <v>1407</v>
      </c>
      <c r="AW72" s="8" t="s">
        <v>903</v>
      </c>
      <c r="AX72" s="8" t="s">
        <v>915</v>
      </c>
      <c r="AY72" s="8" t="s">
        <v>1141</v>
      </c>
      <c r="AZ72" s="8" t="s">
        <v>1111</v>
      </c>
      <c r="BA72" s="8" t="s">
        <v>1463</v>
      </c>
      <c r="BB72" s="260" t="s">
        <v>1084</v>
      </c>
      <c r="BC72" s="8" t="s">
        <v>1005</v>
      </c>
      <c r="BD72" s="8" t="s">
        <v>1015</v>
      </c>
      <c r="BE72" s="8" t="s">
        <v>922</v>
      </c>
      <c r="BF72" s="8" t="s">
        <v>1789</v>
      </c>
      <c r="BG72" s="197" t="s">
        <v>1624</v>
      </c>
      <c r="BH72" s="197" t="s">
        <v>1095</v>
      </c>
      <c r="BI72" s="197" t="s">
        <v>1105</v>
      </c>
      <c r="BJ72" s="197" t="s">
        <v>933</v>
      </c>
      <c r="BK72" s="197" t="s">
        <v>1489</v>
      </c>
      <c r="BL72" s="197" t="s">
        <v>1821</v>
      </c>
      <c r="BM72" s="197" t="s">
        <v>1822</v>
      </c>
      <c r="BN72" s="197" t="s">
        <v>1823</v>
      </c>
    </row>
    <row r="73" spans="1:66" ht="12.75" customHeight="1" x14ac:dyDescent="0.2">
      <c r="B73" s="8" t="s">
        <v>48</v>
      </c>
      <c r="C73" s="8"/>
      <c r="D73" s="8">
        <v>1</v>
      </c>
      <c r="E73" s="8"/>
      <c r="F73" s="8">
        <v>1</v>
      </c>
      <c r="G73" s="8">
        <v>1</v>
      </c>
      <c r="H73" s="8"/>
      <c r="I73" s="8">
        <v>1</v>
      </c>
      <c r="J73" s="8"/>
      <c r="K73" s="8">
        <v>1</v>
      </c>
      <c r="M73" s="8">
        <v>1</v>
      </c>
      <c r="N73" s="8">
        <v>1</v>
      </c>
      <c r="O73" s="8"/>
      <c r="P73" s="8">
        <v>1</v>
      </c>
      <c r="Q73" s="8"/>
      <c r="R73" s="8"/>
      <c r="S73" s="8"/>
      <c r="T73" s="8"/>
      <c r="V73" s="8"/>
      <c r="W73" s="8"/>
      <c r="X73" s="8"/>
      <c r="Y73" s="8"/>
      <c r="Z73" s="8"/>
      <c r="AA73" s="8"/>
      <c r="AB73" s="8"/>
      <c r="AC73" s="8"/>
      <c r="AD73" s="8"/>
      <c r="AE73" s="8"/>
      <c r="AF73" s="8"/>
      <c r="AG73" s="8"/>
      <c r="AH73" s="8"/>
      <c r="AI73" s="8"/>
      <c r="AJ73" s="8"/>
      <c r="AK73" s="8"/>
      <c r="AL73" s="8"/>
      <c r="AM73" s="8"/>
      <c r="AN73" s="8">
        <v>1</v>
      </c>
      <c r="AO73" s="8"/>
      <c r="AP73" s="8"/>
      <c r="AQ73" s="8"/>
      <c r="AR73" s="8"/>
      <c r="AS73" s="8"/>
      <c r="AT73" s="8"/>
      <c r="AU73" s="8">
        <v>1</v>
      </c>
      <c r="AV73" s="8"/>
      <c r="AW73" s="8">
        <v>1</v>
      </c>
      <c r="AX73" s="8">
        <v>1</v>
      </c>
      <c r="AY73" s="8"/>
      <c r="AZ73" s="8"/>
      <c r="BA73" s="8"/>
      <c r="BB73" s="8"/>
      <c r="BC73" s="8"/>
      <c r="BD73" s="8"/>
      <c r="BE73" s="8">
        <v>1</v>
      </c>
      <c r="BF73" s="8">
        <v>1</v>
      </c>
      <c r="BG73" s="8"/>
      <c r="BH73" s="8"/>
      <c r="BI73" s="8"/>
      <c r="BJ73" s="8">
        <v>1</v>
      </c>
      <c r="BK73" s="8">
        <v>1</v>
      </c>
      <c r="BL73" s="8">
        <v>1</v>
      </c>
      <c r="BM73" s="8">
        <v>1</v>
      </c>
      <c r="BN73" s="8">
        <v>1</v>
      </c>
    </row>
    <row r="74" spans="1:66" ht="12.75" customHeight="1" x14ac:dyDescent="0.2">
      <c r="B74" s="8" t="s">
        <v>166</v>
      </c>
      <c r="C74" s="8"/>
      <c r="D74" s="8">
        <v>1</v>
      </c>
      <c r="E74" s="8"/>
      <c r="F74" s="8">
        <v>1</v>
      </c>
      <c r="G74" s="8">
        <v>1</v>
      </c>
      <c r="H74" s="8"/>
      <c r="I74" s="8">
        <v>1</v>
      </c>
      <c r="J74" s="8"/>
      <c r="K74" s="8">
        <v>1</v>
      </c>
      <c r="M74" s="8"/>
      <c r="N74" s="8"/>
      <c r="O74" s="8"/>
      <c r="P74" s="8">
        <v>1</v>
      </c>
      <c r="Q74" s="8"/>
      <c r="R74" s="8"/>
      <c r="S74" s="8"/>
      <c r="T74" s="8">
        <v>1</v>
      </c>
      <c r="V74" s="8"/>
      <c r="W74" s="8">
        <v>1</v>
      </c>
      <c r="X74" s="8"/>
      <c r="Y74" s="8"/>
      <c r="Z74" s="8"/>
      <c r="AA74" s="8"/>
      <c r="AB74" s="8"/>
      <c r="AC74" s="8"/>
      <c r="AD74" s="8"/>
      <c r="AE74" s="8">
        <v>1</v>
      </c>
      <c r="AF74" s="8"/>
      <c r="AG74" s="8"/>
      <c r="AH74" s="8"/>
      <c r="AI74" s="8">
        <v>1</v>
      </c>
      <c r="AJ74" s="8"/>
      <c r="AK74" s="8"/>
      <c r="AL74" s="8"/>
      <c r="AM74" s="8"/>
      <c r="AN74" s="8">
        <v>1</v>
      </c>
      <c r="AO74" s="8"/>
      <c r="AP74" s="8"/>
      <c r="AQ74" s="8"/>
      <c r="AR74" s="8"/>
      <c r="AS74" s="8"/>
      <c r="AT74" s="8"/>
      <c r="AU74" s="8">
        <v>1</v>
      </c>
      <c r="AV74" s="8"/>
      <c r="AW74" s="8">
        <v>1</v>
      </c>
      <c r="AX74" s="8">
        <v>1</v>
      </c>
      <c r="AY74" s="8"/>
      <c r="AZ74" s="8"/>
      <c r="BA74" s="8"/>
      <c r="BB74" s="8"/>
      <c r="BC74" s="8"/>
      <c r="BD74" s="8"/>
      <c r="BE74" s="8">
        <v>1</v>
      </c>
      <c r="BF74" s="8"/>
      <c r="BG74" s="8"/>
      <c r="BH74" s="8"/>
      <c r="BI74" s="8"/>
      <c r="BJ74" s="8">
        <v>1</v>
      </c>
      <c r="BK74" s="8">
        <v>1</v>
      </c>
      <c r="BL74" s="8">
        <v>1</v>
      </c>
      <c r="BM74" s="8">
        <v>1</v>
      </c>
      <c r="BN74" s="8">
        <v>1</v>
      </c>
    </row>
    <row r="75" spans="1:66" ht="12.75" customHeight="1" x14ac:dyDescent="0.2">
      <c r="B75" s="8" t="s">
        <v>1190</v>
      </c>
      <c r="C75" s="8">
        <v>1</v>
      </c>
      <c r="D75" s="8"/>
      <c r="E75" s="8">
        <v>1</v>
      </c>
      <c r="F75" s="8">
        <v>1</v>
      </c>
      <c r="G75" s="8"/>
      <c r="H75" s="8">
        <v>1</v>
      </c>
      <c r="I75" s="8"/>
      <c r="J75" s="8">
        <v>1</v>
      </c>
      <c r="K75" s="8"/>
      <c r="M75" s="8"/>
      <c r="N75" s="8"/>
      <c r="O75" s="8"/>
      <c r="P75" s="8">
        <v>1</v>
      </c>
      <c r="Q75" s="8"/>
      <c r="R75" s="8"/>
      <c r="S75" s="8"/>
      <c r="T75" s="8"/>
      <c r="U75">
        <v>1</v>
      </c>
      <c r="V75" s="8">
        <v>1</v>
      </c>
      <c r="W75" s="8"/>
      <c r="X75" s="8"/>
      <c r="Y75" s="8"/>
      <c r="Z75" s="8"/>
      <c r="AA75" s="8"/>
      <c r="AB75" s="8"/>
      <c r="AC75" s="8"/>
      <c r="AD75" s="8"/>
      <c r="AE75" s="8"/>
      <c r="AF75" s="8">
        <v>1</v>
      </c>
      <c r="AG75" s="8"/>
      <c r="AH75" s="8"/>
      <c r="AI75" s="8"/>
      <c r="AJ75" s="8">
        <v>1</v>
      </c>
      <c r="AK75" s="8">
        <v>1</v>
      </c>
      <c r="AL75" s="8">
        <v>1</v>
      </c>
      <c r="AM75" s="8"/>
      <c r="AN75" s="8"/>
      <c r="AO75" s="8"/>
      <c r="AP75" s="8"/>
      <c r="AQ75" s="8"/>
      <c r="AR75" s="8"/>
      <c r="AS75" s="8"/>
      <c r="AT75" s="8"/>
      <c r="AU75" s="8"/>
      <c r="AV75" s="8"/>
      <c r="AW75" s="8">
        <v>1</v>
      </c>
      <c r="AX75" s="8">
        <v>1</v>
      </c>
      <c r="AY75" s="8"/>
      <c r="AZ75" s="8"/>
      <c r="BA75" s="8"/>
      <c r="BB75" s="8"/>
      <c r="BC75" s="8">
        <v>1</v>
      </c>
      <c r="BD75" s="8">
        <v>1</v>
      </c>
      <c r="BE75" s="8"/>
      <c r="BF75" s="8"/>
      <c r="BG75" s="8"/>
      <c r="BH75" s="8"/>
      <c r="BI75" s="8"/>
      <c r="BJ75" s="8">
        <v>1</v>
      </c>
      <c r="BK75" s="8">
        <v>1</v>
      </c>
      <c r="BL75" s="8">
        <v>1</v>
      </c>
      <c r="BM75" s="8">
        <v>1</v>
      </c>
      <c r="BN75" s="8">
        <v>1</v>
      </c>
    </row>
    <row r="76" spans="1:66" ht="12.75" customHeight="1" x14ac:dyDescent="0.2">
      <c r="B76" s="8" t="s">
        <v>102</v>
      </c>
      <c r="C76" s="8">
        <v>1</v>
      </c>
      <c r="D76" s="8"/>
      <c r="E76" s="8"/>
      <c r="F76" s="8">
        <v>1</v>
      </c>
      <c r="G76" s="8"/>
      <c r="H76" s="8">
        <v>1</v>
      </c>
      <c r="I76" s="8"/>
      <c r="J76" s="8">
        <v>1</v>
      </c>
      <c r="K76" s="8"/>
      <c r="M76" s="8"/>
      <c r="N76" s="8"/>
      <c r="O76" s="8"/>
      <c r="P76" s="8">
        <v>1</v>
      </c>
      <c r="Q76" s="8"/>
      <c r="R76" s="8"/>
      <c r="S76" s="8"/>
      <c r="T76" s="8"/>
      <c r="V76" s="8">
        <v>1</v>
      </c>
      <c r="W76" s="8"/>
      <c r="X76" s="8">
        <v>1</v>
      </c>
      <c r="Y76" s="8"/>
      <c r="Z76" s="8"/>
      <c r="AA76" s="8"/>
      <c r="AB76" s="8"/>
      <c r="AC76" s="8"/>
      <c r="AD76" s="8"/>
      <c r="AE76" s="8"/>
      <c r="AF76" s="8">
        <v>1</v>
      </c>
      <c r="AG76" s="8"/>
      <c r="AH76" s="8"/>
      <c r="AI76" s="8"/>
      <c r="AJ76" s="8">
        <v>1</v>
      </c>
      <c r="AK76" s="8">
        <v>1</v>
      </c>
      <c r="AL76" s="8">
        <v>1</v>
      </c>
      <c r="AM76" s="8"/>
      <c r="AN76" s="8"/>
      <c r="AO76" s="8"/>
      <c r="AP76" s="8"/>
      <c r="AQ76" s="8"/>
      <c r="AR76" s="8"/>
      <c r="AS76" s="8">
        <v>1</v>
      </c>
      <c r="AT76" s="8">
        <v>1</v>
      </c>
      <c r="AU76" s="8"/>
      <c r="AV76" s="8">
        <v>1</v>
      </c>
      <c r="AW76" s="8">
        <v>1</v>
      </c>
      <c r="AX76" s="8">
        <v>1</v>
      </c>
      <c r="AY76" s="8"/>
      <c r="AZ76" s="8"/>
      <c r="BA76" s="8"/>
      <c r="BB76" s="8"/>
      <c r="BC76" s="8">
        <v>1</v>
      </c>
      <c r="BD76" s="8">
        <v>1</v>
      </c>
      <c r="BE76" s="8"/>
      <c r="BF76" s="8"/>
      <c r="BG76" s="8"/>
      <c r="BH76" s="8"/>
      <c r="BI76" s="8"/>
      <c r="BJ76" s="8">
        <v>1</v>
      </c>
      <c r="BK76" s="8">
        <v>1</v>
      </c>
      <c r="BL76" s="8">
        <v>1</v>
      </c>
      <c r="BM76" s="8">
        <v>1</v>
      </c>
      <c r="BN76" s="8">
        <v>1</v>
      </c>
    </row>
    <row r="77" spans="1:66" ht="12.75" customHeight="1" x14ac:dyDescent="0.2">
      <c r="B77" s="8" t="s">
        <v>1191</v>
      </c>
      <c r="C77" s="8"/>
      <c r="D77" s="8"/>
      <c r="E77" s="8"/>
      <c r="F77" s="8">
        <v>1</v>
      </c>
      <c r="G77" s="8"/>
      <c r="H77" s="8">
        <v>1</v>
      </c>
      <c r="I77" s="8"/>
      <c r="J77" s="8"/>
      <c r="K77" s="8"/>
      <c r="M77" s="8"/>
      <c r="N77" s="8"/>
      <c r="O77" s="8"/>
      <c r="P77" s="8">
        <v>1</v>
      </c>
      <c r="Q77" s="8"/>
      <c r="R77" s="8">
        <v>1</v>
      </c>
      <c r="S77" s="8"/>
      <c r="T77" s="8"/>
      <c r="V77" s="8">
        <v>1</v>
      </c>
      <c r="W77" s="8"/>
      <c r="X77" s="8"/>
      <c r="Y77" s="8"/>
      <c r="Z77" s="8"/>
      <c r="AA77" s="8"/>
      <c r="AB77" s="8"/>
      <c r="AC77" s="8"/>
      <c r="AD77" s="8"/>
      <c r="AE77" s="8"/>
      <c r="AF77" s="8">
        <v>1</v>
      </c>
      <c r="AG77" s="8"/>
      <c r="AH77" s="8"/>
      <c r="AI77" s="8"/>
      <c r="AJ77" s="8"/>
      <c r="AK77" s="8"/>
      <c r="AL77" s="8"/>
      <c r="AM77" s="8"/>
      <c r="AN77" s="8"/>
      <c r="AO77" s="8"/>
      <c r="AP77" s="8"/>
      <c r="AQ77" s="8"/>
      <c r="AR77" s="8"/>
      <c r="AS77" s="8"/>
      <c r="AT77" s="8"/>
      <c r="AU77" s="8"/>
      <c r="AV77" s="8"/>
      <c r="AW77" s="8">
        <v>1</v>
      </c>
      <c r="AX77" s="8">
        <v>1</v>
      </c>
      <c r="AY77" s="8"/>
      <c r="AZ77" s="8"/>
      <c r="BA77" s="8"/>
      <c r="BB77" s="8"/>
      <c r="BC77" s="8"/>
      <c r="BD77" s="8"/>
      <c r="BE77" s="8"/>
      <c r="BF77" s="8"/>
      <c r="BG77" s="8"/>
      <c r="BH77" s="8"/>
      <c r="BI77" s="8"/>
      <c r="BJ77" s="8">
        <v>1</v>
      </c>
      <c r="BK77" s="8">
        <v>1</v>
      </c>
      <c r="BL77" s="8">
        <v>1</v>
      </c>
      <c r="BM77" s="8">
        <v>1</v>
      </c>
      <c r="BN77" s="8">
        <v>1</v>
      </c>
    </row>
    <row r="78" spans="1:66" ht="12.75" customHeight="1" x14ac:dyDescent="0.2">
      <c r="B78" s="8" t="s">
        <v>72</v>
      </c>
      <c r="C78" s="8"/>
      <c r="D78" s="8"/>
      <c r="E78" s="8"/>
      <c r="F78" s="8">
        <v>1</v>
      </c>
      <c r="G78" s="8"/>
      <c r="H78" s="8"/>
      <c r="I78" s="8"/>
      <c r="J78" s="8"/>
      <c r="K78" s="8"/>
      <c r="M78" s="8"/>
      <c r="N78" s="8"/>
      <c r="O78" s="8"/>
      <c r="P78" s="8">
        <v>1</v>
      </c>
      <c r="Q78" s="8">
        <v>1</v>
      </c>
      <c r="R78" s="8"/>
      <c r="S78" s="8">
        <v>1</v>
      </c>
      <c r="T78" s="8"/>
      <c r="U78" s="8"/>
      <c r="V78" s="8"/>
      <c r="W78" s="8"/>
      <c r="X78" s="8"/>
      <c r="Y78" s="8"/>
      <c r="Z78" s="8"/>
      <c r="AA78" s="8"/>
      <c r="AB78" s="8"/>
      <c r="AC78" s="8"/>
      <c r="AD78" s="8"/>
      <c r="AE78" s="8"/>
      <c r="AF78" s="8"/>
      <c r="AG78" s="8"/>
      <c r="AH78" s="8"/>
      <c r="AI78" s="8"/>
      <c r="AJ78" s="8"/>
      <c r="AK78" s="8"/>
      <c r="AL78" s="8"/>
      <c r="AM78" s="8"/>
      <c r="AN78" s="8"/>
      <c r="AO78" s="8">
        <v>1</v>
      </c>
      <c r="AP78" s="8">
        <v>1</v>
      </c>
      <c r="AQ78" s="8"/>
      <c r="AR78" s="8"/>
      <c r="AS78" s="8"/>
      <c r="AT78" s="8"/>
      <c r="AU78" s="8"/>
      <c r="AV78" s="8"/>
      <c r="AW78" s="8">
        <v>1</v>
      </c>
      <c r="AX78" s="8">
        <v>1</v>
      </c>
      <c r="AY78" s="8"/>
      <c r="AZ78" s="8"/>
      <c r="BA78" s="8"/>
      <c r="BB78" s="8">
        <v>1</v>
      </c>
      <c r="BC78" s="8"/>
      <c r="BD78" s="8"/>
      <c r="BE78" s="8"/>
      <c r="BF78" s="8"/>
      <c r="BG78" s="8"/>
      <c r="BH78" s="8">
        <v>1</v>
      </c>
      <c r="BI78" s="8">
        <v>1</v>
      </c>
      <c r="BJ78" s="8">
        <v>1</v>
      </c>
      <c r="BK78" s="8">
        <v>1</v>
      </c>
      <c r="BL78" s="8">
        <v>1</v>
      </c>
      <c r="BM78" s="8">
        <v>1</v>
      </c>
      <c r="BN78" s="8">
        <v>1</v>
      </c>
    </row>
    <row r="79" spans="1:66" ht="12.75" customHeight="1" x14ac:dyDescent="0.2">
      <c r="B79" s="8" t="s">
        <v>1192</v>
      </c>
      <c r="C79" s="8"/>
      <c r="D79" s="8"/>
      <c r="E79" s="8"/>
      <c r="F79" s="8">
        <v>1</v>
      </c>
      <c r="G79" s="8"/>
      <c r="H79" s="8"/>
      <c r="I79" s="8"/>
      <c r="J79" s="8"/>
      <c r="K79" s="8"/>
      <c r="L79" s="8"/>
      <c r="M79" s="8"/>
      <c r="N79" s="8"/>
      <c r="O79" s="8">
        <v>1</v>
      </c>
      <c r="P79" s="8">
        <v>1</v>
      </c>
      <c r="Q79" s="8"/>
      <c r="R79" s="8"/>
      <c r="S79" s="8"/>
      <c r="T79" s="8">
        <v>1</v>
      </c>
      <c r="U79" s="8"/>
      <c r="V79" s="8"/>
      <c r="W79" s="8">
        <v>1</v>
      </c>
      <c r="X79" s="8">
        <v>1</v>
      </c>
      <c r="Y79" s="8">
        <v>1</v>
      </c>
      <c r="Z79" s="8">
        <v>1</v>
      </c>
      <c r="AA79" s="8"/>
      <c r="AB79" s="8"/>
      <c r="AC79" s="8"/>
      <c r="AD79" s="8"/>
      <c r="AE79" s="8">
        <v>1</v>
      </c>
      <c r="AF79" s="8"/>
      <c r="AG79" s="8">
        <v>1</v>
      </c>
      <c r="AH79" s="8"/>
      <c r="AI79" s="8">
        <v>1</v>
      </c>
      <c r="AJ79" s="8"/>
      <c r="AK79" s="8"/>
      <c r="AL79" s="8"/>
      <c r="AM79" s="8"/>
      <c r="AN79" s="8"/>
      <c r="AO79" s="8"/>
      <c r="AP79" s="8"/>
      <c r="AQ79" s="8"/>
      <c r="AR79" s="8">
        <v>1</v>
      </c>
      <c r="AS79" s="8"/>
      <c r="AT79" s="8">
        <v>1</v>
      </c>
      <c r="AU79" s="8"/>
      <c r="AV79" s="8">
        <v>1</v>
      </c>
      <c r="AW79" s="8">
        <v>1</v>
      </c>
      <c r="AX79" s="8">
        <v>1</v>
      </c>
      <c r="AY79" s="8"/>
      <c r="AZ79" s="8">
        <v>1</v>
      </c>
      <c r="BA79" s="8"/>
      <c r="BB79" s="8"/>
      <c r="BC79" s="8"/>
      <c r="BD79" s="8"/>
      <c r="BE79" s="8"/>
      <c r="BF79" s="8"/>
      <c r="BG79" s="8"/>
      <c r="BH79" s="8"/>
      <c r="BI79" s="8"/>
      <c r="BJ79" s="8">
        <v>1</v>
      </c>
      <c r="BK79" s="8">
        <v>1</v>
      </c>
      <c r="BL79" s="8">
        <v>1</v>
      </c>
      <c r="BM79" s="8">
        <v>1</v>
      </c>
      <c r="BN79" s="8">
        <v>1</v>
      </c>
    </row>
    <row r="80" spans="1:66" ht="12.75" customHeight="1" x14ac:dyDescent="0.2">
      <c r="B80" s="8" t="s">
        <v>121</v>
      </c>
      <c r="C80" s="8"/>
      <c r="D80" s="8"/>
      <c r="E80" s="8"/>
      <c r="F80" s="8">
        <v>1</v>
      </c>
      <c r="G80" s="8"/>
      <c r="H80" s="8"/>
      <c r="I80" s="8"/>
      <c r="J80" s="8"/>
      <c r="K80" s="8"/>
      <c r="L80" s="8">
        <v>1</v>
      </c>
      <c r="M80" s="8"/>
      <c r="N80" s="8"/>
      <c r="O80" s="8"/>
      <c r="P80" s="8">
        <v>1</v>
      </c>
      <c r="Q80" s="8"/>
      <c r="R80" s="8">
        <v>1</v>
      </c>
      <c r="S80" s="8"/>
      <c r="T80" s="8"/>
      <c r="U80" s="8"/>
      <c r="V80" s="8"/>
      <c r="W80" s="8"/>
      <c r="X80" s="8"/>
      <c r="Y80" s="8"/>
      <c r="Z80" s="8"/>
      <c r="AA80" s="8"/>
      <c r="AB80" s="8"/>
      <c r="AC80" s="8">
        <v>1</v>
      </c>
      <c r="AD80" s="8"/>
      <c r="AE80" s="8"/>
      <c r="AF80" s="8"/>
      <c r="AG80" s="8"/>
      <c r="AH80" s="8"/>
      <c r="AI80" s="8"/>
      <c r="AJ80" s="8"/>
      <c r="AK80" s="8"/>
      <c r="AL80" s="8"/>
      <c r="AM80" s="8">
        <v>1</v>
      </c>
      <c r="AN80" s="8"/>
      <c r="AO80" s="8"/>
      <c r="AP80" s="8"/>
      <c r="AQ80" s="8">
        <v>1</v>
      </c>
      <c r="AR80" s="8"/>
      <c r="AS80" s="8">
        <v>1</v>
      </c>
      <c r="AT80" s="8"/>
      <c r="AU80" s="8"/>
      <c r="AV80" s="8"/>
      <c r="AW80" s="8">
        <v>1</v>
      </c>
      <c r="AX80" s="8">
        <v>1</v>
      </c>
      <c r="AY80" s="8">
        <v>1</v>
      </c>
      <c r="AZ80" s="8"/>
      <c r="BA80" s="8"/>
      <c r="BB80" s="8"/>
      <c r="BC80" s="8"/>
      <c r="BD80" s="8"/>
      <c r="BE80" s="8"/>
      <c r="BF80" s="8"/>
      <c r="BG80" s="8">
        <v>1</v>
      </c>
      <c r="BH80" s="8"/>
      <c r="BI80" s="8"/>
      <c r="BJ80" s="8"/>
      <c r="BK80" s="8">
        <v>1</v>
      </c>
      <c r="BL80" s="8">
        <v>1</v>
      </c>
      <c r="BM80" s="8">
        <v>1</v>
      </c>
      <c r="BN80" s="8">
        <v>1</v>
      </c>
    </row>
    <row r="81" spans="2:66" ht="12.75" customHeight="1" x14ac:dyDescent="0.2">
      <c r="B81" s="8" t="s">
        <v>42</v>
      </c>
      <c r="C81" s="8"/>
      <c r="D81" s="8"/>
      <c r="E81" s="8"/>
      <c r="F81" s="8">
        <v>1</v>
      </c>
      <c r="G81" s="8"/>
      <c r="H81" s="8"/>
      <c r="I81" s="8"/>
      <c r="J81" s="8"/>
      <c r="K81" s="8"/>
      <c r="L81" s="8"/>
      <c r="M81" s="8"/>
      <c r="N81" s="8"/>
      <c r="O81" s="8"/>
      <c r="P81" s="8">
        <v>1</v>
      </c>
      <c r="Q81" s="8"/>
      <c r="R81" s="8"/>
      <c r="S81" s="8"/>
      <c r="T81" s="8"/>
      <c r="U81" s="8"/>
      <c r="V81" s="8"/>
      <c r="W81" s="8"/>
      <c r="X81" s="8"/>
      <c r="Y81" s="8"/>
      <c r="Z81" s="8"/>
      <c r="AA81" s="8">
        <v>1</v>
      </c>
      <c r="AB81" s="14">
        <v>1</v>
      </c>
      <c r="AC81" s="14"/>
      <c r="AD81" s="8">
        <v>1</v>
      </c>
      <c r="AE81" s="8"/>
      <c r="AF81" s="8"/>
      <c r="AG81" s="8"/>
      <c r="AH81" s="8">
        <v>1</v>
      </c>
      <c r="AI81" s="8"/>
      <c r="AJ81" s="8">
        <v>1</v>
      </c>
      <c r="AK81" s="8">
        <v>1</v>
      </c>
      <c r="AL81" s="8">
        <v>1</v>
      </c>
      <c r="AM81" s="8"/>
      <c r="AN81" s="8"/>
      <c r="AO81" s="8"/>
      <c r="AP81" s="8">
        <v>1</v>
      </c>
      <c r="AQ81" s="8"/>
      <c r="AR81" s="8"/>
      <c r="AS81" s="8"/>
      <c r="AT81" s="8"/>
      <c r="AU81" s="8"/>
      <c r="AV81" s="8"/>
      <c r="AW81" s="8">
        <v>1</v>
      </c>
      <c r="AX81" s="8">
        <v>1</v>
      </c>
      <c r="AY81" s="8"/>
      <c r="AZ81" s="8"/>
      <c r="BA81" s="8">
        <v>1</v>
      </c>
      <c r="BB81" s="8"/>
      <c r="BC81" s="8"/>
      <c r="BD81" s="8"/>
      <c r="BE81" s="8"/>
      <c r="BF81" s="8"/>
      <c r="BG81" s="8"/>
      <c r="BH81" s="8"/>
      <c r="BI81" s="8"/>
      <c r="BJ81" s="8">
        <v>1</v>
      </c>
      <c r="BK81" s="8">
        <v>1</v>
      </c>
      <c r="BL81" s="8">
        <v>1</v>
      </c>
      <c r="BM81" s="8">
        <v>1</v>
      </c>
      <c r="BN81" s="8">
        <v>1</v>
      </c>
    </row>
    <row r="82" spans="2:66" ht="12.75" customHeight="1" x14ac:dyDescent="0.2">
      <c r="B82" s="8" t="s">
        <v>1824</v>
      </c>
      <c r="C82" s="8"/>
      <c r="D82" s="8">
        <v>1</v>
      </c>
      <c r="E82" s="8"/>
      <c r="F82" s="8">
        <v>1</v>
      </c>
      <c r="G82" s="8">
        <v>1</v>
      </c>
      <c r="H82" s="8"/>
      <c r="I82" s="8">
        <v>1</v>
      </c>
      <c r="J82" s="8"/>
      <c r="K82" s="8">
        <v>1</v>
      </c>
      <c r="L82" s="8"/>
      <c r="M82" s="8">
        <v>1</v>
      </c>
      <c r="N82" s="8">
        <v>1</v>
      </c>
      <c r="O82" s="8"/>
      <c r="P82" s="8">
        <v>1</v>
      </c>
      <c r="Q82" s="8"/>
      <c r="R82" s="8"/>
      <c r="S82" s="8"/>
      <c r="T82" s="8"/>
      <c r="U82" s="8"/>
      <c r="V82" s="8"/>
      <c r="W82" s="8">
        <v>1</v>
      </c>
      <c r="X82" s="8"/>
      <c r="Y82" s="8">
        <v>1</v>
      </c>
      <c r="Z82" s="8"/>
      <c r="AA82" s="8"/>
      <c r="AB82" s="8"/>
      <c r="AC82" s="8"/>
      <c r="AD82" s="8"/>
      <c r="AE82" s="8">
        <v>1</v>
      </c>
      <c r="AF82" s="8"/>
      <c r="AG82" s="8"/>
      <c r="AH82" s="8"/>
      <c r="AI82" s="8">
        <v>1</v>
      </c>
      <c r="AJ82" s="8"/>
      <c r="AK82" s="8"/>
      <c r="AL82" s="8"/>
      <c r="AM82" s="8"/>
      <c r="AN82" s="8">
        <v>1</v>
      </c>
      <c r="AO82" s="8"/>
      <c r="AP82" s="8"/>
      <c r="AQ82" s="8"/>
      <c r="AR82" s="8"/>
      <c r="AS82" s="8"/>
      <c r="AT82" s="8"/>
      <c r="AU82" s="8"/>
      <c r="AV82" s="8"/>
      <c r="AW82" s="8">
        <v>1</v>
      </c>
      <c r="AX82" s="8">
        <v>1</v>
      </c>
      <c r="AY82" s="8"/>
      <c r="AZ82" s="8">
        <v>1</v>
      </c>
      <c r="BA82" s="8"/>
      <c r="BB82" s="8"/>
      <c r="BC82" s="8"/>
      <c r="BD82" s="8"/>
      <c r="BE82" s="8">
        <v>1</v>
      </c>
      <c r="BF82" s="8">
        <v>1</v>
      </c>
      <c r="BG82" s="8"/>
      <c r="BH82" s="8"/>
      <c r="BI82" s="8"/>
      <c r="BJ82" s="8">
        <v>1</v>
      </c>
      <c r="BK82" s="8">
        <v>1</v>
      </c>
      <c r="BL82" s="8">
        <v>1</v>
      </c>
      <c r="BM82" s="8">
        <v>1</v>
      </c>
      <c r="BN82" s="8">
        <v>1</v>
      </c>
    </row>
    <row r="83" spans="2:66" ht="12.75" customHeight="1" x14ac:dyDescent="0.2">
      <c r="B83" s="8" t="s">
        <v>138</v>
      </c>
      <c r="C83" s="8">
        <v>1</v>
      </c>
      <c r="D83" s="8">
        <v>1</v>
      </c>
      <c r="E83" s="8"/>
      <c r="F83" s="8">
        <v>1</v>
      </c>
      <c r="G83" s="8">
        <v>1</v>
      </c>
      <c r="H83" s="8">
        <v>1</v>
      </c>
      <c r="I83" s="8">
        <v>1</v>
      </c>
      <c r="J83" s="8">
        <v>1</v>
      </c>
      <c r="K83" s="8">
        <v>1</v>
      </c>
      <c r="L83" s="8"/>
      <c r="M83" s="8">
        <v>1</v>
      </c>
      <c r="N83" s="8">
        <v>1</v>
      </c>
      <c r="O83" s="8"/>
      <c r="P83" s="8">
        <v>1</v>
      </c>
      <c r="Q83" s="8"/>
      <c r="R83" s="8"/>
      <c r="S83" s="8"/>
      <c r="T83" s="8">
        <v>1</v>
      </c>
      <c r="U83" s="8"/>
      <c r="V83" s="8">
        <v>1</v>
      </c>
      <c r="W83" s="8"/>
      <c r="X83" s="8">
        <v>1</v>
      </c>
      <c r="Y83" s="8"/>
      <c r="Z83" s="8"/>
      <c r="AA83" s="8"/>
      <c r="AB83" s="8"/>
      <c r="AC83" s="8"/>
      <c r="AD83" s="8"/>
      <c r="AE83" s="8"/>
      <c r="AF83" s="8">
        <v>1</v>
      </c>
      <c r="AG83" s="8"/>
      <c r="AH83" s="8"/>
      <c r="AI83" s="8"/>
      <c r="AJ83" s="8">
        <v>1</v>
      </c>
      <c r="AK83" s="8">
        <v>1</v>
      </c>
      <c r="AL83" s="8">
        <v>1</v>
      </c>
      <c r="AM83" s="8"/>
      <c r="AN83" s="8">
        <v>1</v>
      </c>
      <c r="AO83" s="8"/>
      <c r="AP83" s="8"/>
      <c r="AQ83" s="8"/>
      <c r="AR83" s="8"/>
      <c r="AS83" s="8">
        <v>1</v>
      </c>
      <c r="AT83" s="8">
        <v>1</v>
      </c>
      <c r="AU83" s="8">
        <v>1</v>
      </c>
      <c r="AV83" s="8">
        <v>1</v>
      </c>
      <c r="AW83" s="8">
        <v>1</v>
      </c>
      <c r="AX83" s="8">
        <v>1</v>
      </c>
      <c r="AY83" s="8"/>
      <c r="AZ83" s="8"/>
      <c r="BA83" s="8"/>
      <c r="BB83" s="8"/>
      <c r="BC83" s="8">
        <v>1</v>
      </c>
      <c r="BD83" s="8">
        <v>1</v>
      </c>
      <c r="BE83" s="8">
        <v>1</v>
      </c>
      <c r="BF83" s="8">
        <v>1</v>
      </c>
      <c r="BG83" s="8"/>
      <c r="BH83" s="8"/>
      <c r="BI83" s="8"/>
      <c r="BJ83" s="8">
        <v>1</v>
      </c>
      <c r="BK83" s="8">
        <v>1</v>
      </c>
      <c r="BL83" s="8">
        <v>1</v>
      </c>
      <c r="BM83" s="8">
        <v>1</v>
      </c>
      <c r="BN83" s="8">
        <v>1</v>
      </c>
    </row>
    <row r="84" spans="2:66" ht="12.75" customHeight="1" x14ac:dyDescent="0.2">
      <c r="B84" s="8" t="s">
        <v>129</v>
      </c>
      <c r="C84" s="8">
        <v>1</v>
      </c>
      <c r="D84" s="8"/>
      <c r="E84" s="8"/>
      <c r="F84" s="8">
        <v>1</v>
      </c>
      <c r="G84" s="8"/>
      <c r="H84" s="8">
        <v>1</v>
      </c>
      <c r="I84" s="8"/>
      <c r="J84" s="8">
        <v>1</v>
      </c>
      <c r="K84" s="8"/>
      <c r="L84" s="8"/>
      <c r="M84" s="8"/>
      <c r="N84" s="8"/>
      <c r="O84" s="8"/>
      <c r="P84" s="8">
        <v>1</v>
      </c>
      <c r="Q84" s="8"/>
      <c r="R84" s="8"/>
      <c r="S84" s="8"/>
      <c r="T84" s="8"/>
      <c r="U84" s="8"/>
      <c r="V84" s="8">
        <v>1</v>
      </c>
      <c r="W84" s="8"/>
      <c r="X84" s="8">
        <v>1</v>
      </c>
      <c r="Y84" s="8"/>
      <c r="Z84" s="8"/>
      <c r="AA84" s="8">
        <v>1</v>
      </c>
      <c r="AB84" s="8">
        <v>1</v>
      </c>
      <c r="AC84" s="8"/>
      <c r="AD84" s="8">
        <v>1</v>
      </c>
      <c r="AE84" s="8"/>
      <c r="AF84" s="8">
        <v>1</v>
      </c>
      <c r="AG84" s="8"/>
      <c r="AH84" s="8">
        <v>1</v>
      </c>
      <c r="AI84" s="8"/>
      <c r="AJ84" s="8">
        <v>1</v>
      </c>
      <c r="AK84" s="8">
        <v>1</v>
      </c>
      <c r="AL84" s="8">
        <v>1</v>
      </c>
      <c r="AM84" s="8"/>
      <c r="AN84" s="8"/>
      <c r="AO84" s="8"/>
      <c r="AP84" s="8">
        <v>1</v>
      </c>
      <c r="AQ84" s="8"/>
      <c r="AR84" s="8"/>
      <c r="AS84" s="8">
        <v>1</v>
      </c>
      <c r="AT84" s="8">
        <v>1</v>
      </c>
      <c r="AU84" s="8"/>
      <c r="AV84" s="8">
        <v>1</v>
      </c>
      <c r="AW84" s="8">
        <v>1</v>
      </c>
      <c r="AX84" s="8">
        <v>1</v>
      </c>
      <c r="AY84" s="8"/>
      <c r="AZ84" s="8"/>
      <c r="BA84" s="8">
        <v>1</v>
      </c>
      <c r="BB84" s="8"/>
      <c r="BC84" s="8">
        <v>1</v>
      </c>
      <c r="BD84" s="8">
        <v>1</v>
      </c>
      <c r="BE84" s="8"/>
      <c r="BF84" s="8"/>
      <c r="BG84" s="8"/>
      <c r="BH84" s="8"/>
      <c r="BI84" s="8"/>
      <c r="BJ84" s="8">
        <v>1</v>
      </c>
      <c r="BK84" s="8">
        <v>1</v>
      </c>
      <c r="BL84" s="8">
        <v>1</v>
      </c>
      <c r="BM84" s="8">
        <v>1</v>
      </c>
      <c r="BN84" s="8">
        <v>1</v>
      </c>
    </row>
    <row r="85" spans="2:66" ht="12.75" customHeight="1" x14ac:dyDescent="0.2">
      <c r="B85" s="8" t="s">
        <v>92</v>
      </c>
      <c r="C85" s="8">
        <v>1</v>
      </c>
      <c r="D85" s="8"/>
      <c r="E85" s="8">
        <v>1</v>
      </c>
      <c r="F85" s="8">
        <v>1</v>
      </c>
      <c r="G85" s="8"/>
      <c r="H85" s="8">
        <v>1</v>
      </c>
      <c r="I85" s="8"/>
      <c r="J85" s="8">
        <v>1</v>
      </c>
      <c r="K85" s="8"/>
      <c r="L85" s="8"/>
      <c r="M85" s="8"/>
      <c r="N85" s="8"/>
      <c r="O85" s="8"/>
      <c r="P85" s="8">
        <v>1</v>
      </c>
      <c r="Q85" s="8"/>
      <c r="R85" s="8"/>
      <c r="S85" s="8"/>
      <c r="T85" s="8"/>
      <c r="U85" s="8">
        <v>1</v>
      </c>
      <c r="V85" s="8">
        <v>1</v>
      </c>
      <c r="W85" s="8"/>
      <c r="X85" s="8">
        <v>1</v>
      </c>
      <c r="Y85" s="8"/>
      <c r="Z85" s="8"/>
      <c r="AA85" s="8"/>
      <c r="AB85" s="8"/>
      <c r="AC85" s="8"/>
      <c r="AD85" s="8"/>
      <c r="AE85" s="8"/>
      <c r="AF85" s="8">
        <v>1</v>
      </c>
      <c r="AG85" s="8"/>
      <c r="AH85" s="8"/>
      <c r="AI85" s="8"/>
      <c r="AJ85" s="8">
        <v>1</v>
      </c>
      <c r="AK85" s="8">
        <v>1</v>
      </c>
      <c r="AL85" s="8">
        <v>1</v>
      </c>
      <c r="AM85" s="8"/>
      <c r="AN85" s="8"/>
      <c r="AO85" s="8"/>
      <c r="AP85" s="8"/>
      <c r="AQ85" s="8"/>
      <c r="AR85" s="8"/>
      <c r="AS85" s="8">
        <v>1</v>
      </c>
      <c r="AT85" s="8">
        <v>1</v>
      </c>
      <c r="AU85" s="8"/>
      <c r="AV85" s="8">
        <v>1</v>
      </c>
      <c r="AW85" s="8">
        <v>1</v>
      </c>
      <c r="AX85" s="8">
        <v>1</v>
      </c>
      <c r="AY85" s="8"/>
      <c r="AZ85" s="8"/>
      <c r="BA85" s="8"/>
      <c r="BB85" s="8"/>
      <c r="BC85" s="8">
        <v>1</v>
      </c>
      <c r="BD85" s="8">
        <v>1</v>
      </c>
      <c r="BE85" s="8"/>
      <c r="BF85" s="8"/>
      <c r="BG85" s="8"/>
      <c r="BH85" s="8"/>
      <c r="BI85" s="8"/>
      <c r="BJ85" s="8">
        <v>1</v>
      </c>
      <c r="BK85" s="8">
        <v>1</v>
      </c>
      <c r="BL85" s="8">
        <v>1</v>
      </c>
      <c r="BM85" s="8">
        <v>1</v>
      </c>
      <c r="BN85" s="8">
        <v>1</v>
      </c>
    </row>
    <row r="86" spans="2:66" ht="12.75" customHeight="1" x14ac:dyDescent="0.2">
      <c r="B86" s="8" t="s">
        <v>87</v>
      </c>
      <c r="C86" s="8"/>
      <c r="D86" s="8">
        <v>1</v>
      </c>
      <c r="E86" s="8"/>
      <c r="F86" s="8">
        <v>1</v>
      </c>
      <c r="G86" s="8">
        <v>1</v>
      </c>
      <c r="H86" s="8"/>
      <c r="I86" s="8">
        <v>1</v>
      </c>
      <c r="J86" s="8"/>
      <c r="K86" s="8">
        <v>1</v>
      </c>
      <c r="L86" s="8"/>
      <c r="M86" s="8">
        <v>1</v>
      </c>
      <c r="N86" s="8">
        <v>1</v>
      </c>
      <c r="O86" s="8"/>
      <c r="P86" s="8">
        <v>1</v>
      </c>
      <c r="Q86" s="8"/>
      <c r="R86" s="8"/>
      <c r="S86" s="8"/>
      <c r="T86" s="8">
        <v>1</v>
      </c>
      <c r="U86" s="8"/>
      <c r="V86" s="8"/>
      <c r="W86" s="8">
        <v>1</v>
      </c>
      <c r="X86" s="8"/>
      <c r="Y86" s="8"/>
      <c r="Z86" s="8"/>
      <c r="AA86" s="8"/>
      <c r="AB86" s="8"/>
      <c r="AC86" s="8"/>
      <c r="AD86" s="8"/>
      <c r="AE86" s="8">
        <v>1</v>
      </c>
      <c r="AF86" s="8"/>
      <c r="AG86" s="8"/>
      <c r="AH86" s="8"/>
      <c r="AI86" s="8">
        <v>1</v>
      </c>
      <c r="AJ86" s="8"/>
      <c r="AK86" s="8"/>
      <c r="AL86" s="8"/>
      <c r="AM86" s="8"/>
      <c r="AN86" s="8">
        <v>1</v>
      </c>
      <c r="AO86" s="8"/>
      <c r="AP86" s="8"/>
      <c r="AQ86" s="8"/>
      <c r="AR86" s="8"/>
      <c r="AS86" s="8"/>
      <c r="AT86" s="8"/>
      <c r="AU86" s="8">
        <v>1</v>
      </c>
      <c r="AV86" s="8"/>
      <c r="AW86" s="8">
        <v>1</v>
      </c>
      <c r="AX86" s="8">
        <v>1</v>
      </c>
      <c r="AY86" s="8"/>
      <c r="AZ86" s="8"/>
      <c r="BA86" s="8"/>
      <c r="BB86" s="8"/>
      <c r="BC86" s="8"/>
      <c r="BD86" s="8"/>
      <c r="BE86" s="8">
        <v>1</v>
      </c>
      <c r="BF86" s="8">
        <v>1</v>
      </c>
      <c r="BG86" s="8"/>
      <c r="BH86" s="8"/>
      <c r="BI86" s="8"/>
      <c r="BJ86" s="8">
        <v>1</v>
      </c>
      <c r="BK86" s="8">
        <v>1</v>
      </c>
      <c r="BL86" s="8">
        <v>1</v>
      </c>
      <c r="BM86" s="8">
        <v>1</v>
      </c>
      <c r="BN86" s="8">
        <v>1</v>
      </c>
    </row>
    <row r="87" spans="2:66" ht="12.75" customHeight="1" x14ac:dyDescent="0.2">
      <c r="B87" s="8" t="s">
        <v>77</v>
      </c>
      <c r="C87" s="8">
        <v>1</v>
      </c>
      <c r="D87" s="8"/>
      <c r="E87" s="8"/>
      <c r="F87" s="8">
        <v>1</v>
      </c>
      <c r="G87" s="8"/>
      <c r="H87" s="8">
        <v>1</v>
      </c>
      <c r="I87" s="8"/>
      <c r="J87" s="8">
        <v>1</v>
      </c>
      <c r="K87" s="8"/>
      <c r="L87" s="8"/>
      <c r="M87" s="8"/>
      <c r="N87" s="8"/>
      <c r="O87" s="8"/>
      <c r="P87" s="8">
        <v>1</v>
      </c>
      <c r="Q87" s="8"/>
      <c r="R87" s="8">
        <v>1</v>
      </c>
      <c r="S87" s="8"/>
      <c r="T87" s="8"/>
      <c r="U87" s="8"/>
      <c r="V87" s="8">
        <v>1</v>
      </c>
      <c r="W87" s="8"/>
      <c r="X87" s="8">
        <v>1</v>
      </c>
      <c r="Y87" s="8"/>
      <c r="Z87" s="8"/>
      <c r="AA87" s="8"/>
      <c r="AB87" s="8"/>
      <c r="AC87" s="8"/>
      <c r="AD87" s="8"/>
      <c r="AE87" s="8"/>
      <c r="AF87" s="8">
        <v>1</v>
      </c>
      <c r="AG87" s="8"/>
      <c r="AH87" s="8"/>
      <c r="AI87" s="8"/>
      <c r="AJ87" s="8">
        <v>1</v>
      </c>
      <c r="AK87" s="8">
        <v>1</v>
      </c>
      <c r="AL87" s="8">
        <v>1</v>
      </c>
      <c r="AM87" s="8"/>
      <c r="AN87" s="8"/>
      <c r="AO87" s="8"/>
      <c r="AP87" s="8"/>
      <c r="AQ87" s="8"/>
      <c r="AR87" s="8"/>
      <c r="AS87" s="8">
        <v>1</v>
      </c>
      <c r="AT87" s="8">
        <v>1</v>
      </c>
      <c r="AU87" s="8"/>
      <c r="AV87" s="8">
        <v>1</v>
      </c>
      <c r="AW87" s="8">
        <v>1</v>
      </c>
      <c r="AX87" s="8">
        <v>1</v>
      </c>
      <c r="AY87" s="8"/>
      <c r="AZ87" s="8"/>
      <c r="BA87" s="8"/>
      <c r="BB87" s="8"/>
      <c r="BC87" s="8">
        <v>1</v>
      </c>
      <c r="BD87" s="8">
        <v>1</v>
      </c>
      <c r="BE87" s="8"/>
      <c r="BF87" s="8"/>
      <c r="BG87" s="8"/>
      <c r="BH87" s="8"/>
      <c r="BI87" s="8"/>
      <c r="BJ87" s="8">
        <v>1</v>
      </c>
      <c r="BK87" s="8">
        <v>1</v>
      </c>
      <c r="BL87" s="8">
        <v>1</v>
      </c>
      <c r="BM87" s="8">
        <v>1</v>
      </c>
      <c r="BN87" s="8">
        <v>1</v>
      </c>
    </row>
    <row r="88" spans="2:66" ht="12.75" customHeight="1" x14ac:dyDescent="0.2">
      <c r="B88" s="8" t="s">
        <v>1427</v>
      </c>
      <c r="C88" s="8">
        <v>1</v>
      </c>
      <c r="D88" s="8"/>
      <c r="E88" s="8"/>
      <c r="F88" s="8">
        <v>1</v>
      </c>
      <c r="G88" s="8"/>
      <c r="H88" s="8">
        <v>1</v>
      </c>
      <c r="I88" s="8"/>
      <c r="J88" s="8">
        <v>1</v>
      </c>
      <c r="K88" s="8"/>
      <c r="L88" s="8"/>
      <c r="M88" s="8"/>
      <c r="N88" s="8"/>
      <c r="O88" s="8">
        <v>1</v>
      </c>
      <c r="P88" s="8">
        <v>1</v>
      </c>
      <c r="Q88" s="8"/>
      <c r="R88" s="8"/>
      <c r="S88" s="8"/>
      <c r="T88" s="8">
        <v>1</v>
      </c>
      <c r="U88" s="8"/>
      <c r="V88" s="8">
        <v>1</v>
      </c>
      <c r="W88" s="8">
        <v>1</v>
      </c>
      <c r="X88" s="8">
        <v>1</v>
      </c>
      <c r="Y88" s="8">
        <v>1</v>
      </c>
      <c r="Z88" s="8">
        <v>1</v>
      </c>
      <c r="AA88" s="8"/>
      <c r="AB88" s="8"/>
      <c r="AC88" s="8"/>
      <c r="AD88" s="8"/>
      <c r="AE88" s="8">
        <v>1</v>
      </c>
      <c r="AF88" s="8">
        <v>1</v>
      </c>
      <c r="AG88" s="8">
        <v>1</v>
      </c>
      <c r="AH88" s="8"/>
      <c r="AI88" s="8">
        <v>1</v>
      </c>
      <c r="AJ88" s="8">
        <v>1</v>
      </c>
      <c r="AK88" s="8">
        <v>1</v>
      </c>
      <c r="AL88" s="8">
        <v>1</v>
      </c>
      <c r="AM88" s="8"/>
      <c r="AN88" s="8"/>
      <c r="AO88" s="8"/>
      <c r="AP88" s="8"/>
      <c r="AQ88" s="8"/>
      <c r="AR88" s="8">
        <v>1</v>
      </c>
      <c r="AS88" s="8">
        <v>1</v>
      </c>
      <c r="AT88" s="8">
        <v>1</v>
      </c>
      <c r="AU88" s="8"/>
      <c r="AV88" s="8">
        <v>1</v>
      </c>
      <c r="AW88" s="8">
        <v>1</v>
      </c>
      <c r="AX88" s="8">
        <v>1</v>
      </c>
      <c r="AY88" s="8"/>
      <c r="AZ88" s="8">
        <v>1</v>
      </c>
      <c r="BA88" s="8"/>
      <c r="BB88" s="8"/>
      <c r="BC88" s="8">
        <v>1</v>
      </c>
      <c r="BD88" s="8">
        <v>1</v>
      </c>
      <c r="BE88" s="8"/>
      <c r="BF88" s="8"/>
      <c r="BG88" s="8"/>
      <c r="BH88" s="8"/>
      <c r="BI88" s="8"/>
      <c r="BJ88" s="8">
        <v>1</v>
      </c>
      <c r="BK88" s="8">
        <v>1</v>
      </c>
      <c r="BL88" s="8">
        <v>1</v>
      </c>
      <c r="BM88" s="8">
        <v>1</v>
      </c>
      <c r="BN88" s="8">
        <v>1</v>
      </c>
    </row>
    <row r="89" spans="2:66" ht="12.75" customHeight="1" x14ac:dyDescent="0.2">
      <c r="B89" s="8" t="s">
        <v>1193</v>
      </c>
      <c r="C89" s="197"/>
      <c r="D89" s="197">
        <v>1</v>
      </c>
      <c r="E89" s="197"/>
      <c r="F89" s="197">
        <v>1</v>
      </c>
      <c r="G89" s="197">
        <v>1</v>
      </c>
      <c r="H89" s="197">
        <v>1</v>
      </c>
      <c r="I89" s="197">
        <v>1</v>
      </c>
      <c r="J89" s="197"/>
      <c r="K89" s="197">
        <v>1</v>
      </c>
      <c r="L89" s="197"/>
      <c r="M89" s="197">
        <v>1</v>
      </c>
      <c r="N89" s="197">
        <v>1</v>
      </c>
      <c r="O89" s="197">
        <v>1</v>
      </c>
      <c r="P89" s="8">
        <v>1</v>
      </c>
      <c r="R89" s="197">
        <v>1</v>
      </c>
      <c r="S89" s="197"/>
      <c r="T89" s="197">
        <v>1</v>
      </c>
      <c r="U89" s="8"/>
      <c r="V89" s="197">
        <v>1</v>
      </c>
      <c r="W89" s="197">
        <v>1</v>
      </c>
      <c r="X89" s="197">
        <v>1</v>
      </c>
      <c r="Y89" s="197">
        <v>1</v>
      </c>
      <c r="Z89" s="197">
        <v>1</v>
      </c>
      <c r="AA89" s="197"/>
      <c r="AB89" s="197"/>
      <c r="AC89" s="197"/>
      <c r="AD89" s="197"/>
      <c r="AE89" s="197">
        <v>1</v>
      </c>
      <c r="AF89" s="197">
        <v>1</v>
      </c>
      <c r="AG89" s="197">
        <v>1</v>
      </c>
      <c r="AH89" s="197"/>
      <c r="AI89" s="197">
        <v>1</v>
      </c>
      <c r="AJ89">
        <v>1</v>
      </c>
      <c r="AL89" s="8"/>
      <c r="AN89">
        <v>1</v>
      </c>
      <c r="AR89">
        <v>1</v>
      </c>
      <c r="AT89">
        <v>1</v>
      </c>
      <c r="AU89">
        <v>1</v>
      </c>
      <c r="AV89">
        <v>1</v>
      </c>
      <c r="AW89">
        <v>1</v>
      </c>
      <c r="AX89">
        <v>1</v>
      </c>
      <c r="AZ89">
        <v>1</v>
      </c>
      <c r="BE89">
        <v>1</v>
      </c>
      <c r="BF89">
        <v>1</v>
      </c>
      <c r="BJ89">
        <v>1</v>
      </c>
      <c r="BK89">
        <v>1</v>
      </c>
      <c r="BL89">
        <v>1</v>
      </c>
      <c r="BM89">
        <v>1</v>
      </c>
      <c r="BN89">
        <v>1</v>
      </c>
    </row>
    <row r="90" spans="2:66" s="8" customFormat="1" ht="12.75" customHeight="1" x14ac:dyDescent="0.2"/>
    <row r="91" spans="2:66" ht="12.75" customHeight="1" x14ac:dyDescent="0.2">
      <c r="B91" s="197" t="str">
        <f>CONCATENATE(C69,D69,E69,F69,G69,H69,I69,J69,K69,L69,M69,N69,O69,P69,Q69,R69,S69,T69,U69,V69,W69,X69,Y69,Z69,AA69,AB69,AC69,AD69,AE69,AF69,AG69,AH69,AI69,AJ69,AK69,AL69,AM69,AN69,AO69,AP69,AQ69,AR69,AS69,AT69,AU69,AV69,AW69,AX69,AY69,AZ69,BA69,BB69,BC69,BD69,BE69,BF69,BG69,BH69,BI69,BJ69,BK69,BL69,BM69,BN69,BO69,BP69)</f>
        <v>ABVABMAAAABLABKACBABTACCACLACMAABACHAAJABPAAKAALAAMABFAACAAPABNACAABOAADAAEAANAAOAAFACKAAGBBBCCCDDDEEE</v>
      </c>
      <c r="C91" s="197" t="str">
        <f>" "</f>
        <v xml:space="preserve"> </v>
      </c>
      <c r="D91" s="197"/>
      <c r="E91" s="202" t="s">
        <v>48</v>
      </c>
      <c r="F91" s="202" t="s">
        <v>166</v>
      </c>
      <c r="G91" s="202" t="s">
        <v>1190</v>
      </c>
      <c r="H91" s="202" t="s">
        <v>102</v>
      </c>
      <c r="I91" s="202" t="s">
        <v>1191</v>
      </c>
      <c r="J91" s="202" t="s">
        <v>72</v>
      </c>
      <c r="K91" s="202" t="s">
        <v>1192</v>
      </c>
      <c r="L91" s="202" t="s">
        <v>121</v>
      </c>
      <c r="M91" s="202" t="s">
        <v>42</v>
      </c>
      <c r="N91" s="202" t="s">
        <v>138</v>
      </c>
      <c r="O91" s="202" t="s">
        <v>129</v>
      </c>
      <c r="P91" s="202" t="s">
        <v>92</v>
      </c>
      <c r="Q91" s="202" t="s">
        <v>87</v>
      </c>
      <c r="R91" s="202" t="s">
        <v>77</v>
      </c>
      <c r="S91" s="202" t="s">
        <v>1193</v>
      </c>
      <c r="T91" s="197"/>
      <c r="U91" s="197"/>
      <c r="V91" s="197"/>
      <c r="W91" s="197"/>
      <c r="X91" s="197"/>
      <c r="Y91" s="197"/>
      <c r="Z91" s="197" t="str">
        <f>" "</f>
        <v xml:space="preserve"> </v>
      </c>
      <c r="AA91" s="197"/>
      <c r="AB91" s="197"/>
      <c r="AC91" s="197"/>
      <c r="AD91" s="197"/>
      <c r="AE91" s="197"/>
      <c r="AF91" s="197"/>
      <c r="AG91" s="197"/>
      <c r="AH91" s="197"/>
    </row>
    <row r="92" spans="2:66" ht="12.75" customHeight="1" x14ac:dyDescent="0.2">
      <c r="B92" s="197" t="str">
        <f>MID($B$91,1,3)</f>
        <v>ABV</v>
      </c>
      <c r="C92" s="197" t="str">
        <f>IFERROR((VLOOKUP(B92,$A$4:$B$67,2,FALSE))," ")</f>
        <v>Cindy Piewhistle</v>
      </c>
      <c r="D92" s="197"/>
      <c r="E92" s="14" t="str">
        <f t="shared" ref="E92:S92" si="3">""</f>
        <v/>
      </c>
      <c r="F92" s="14" t="str">
        <f t="shared" si="3"/>
        <v/>
      </c>
      <c r="G92" s="14" t="str">
        <f t="shared" si="3"/>
        <v/>
      </c>
      <c r="H92" s="14" t="str">
        <f t="shared" si="3"/>
        <v/>
      </c>
      <c r="I92" s="14" t="str">
        <f t="shared" si="3"/>
        <v/>
      </c>
      <c r="J92" s="14" t="str">
        <f t="shared" si="3"/>
        <v/>
      </c>
      <c r="K92" s="14" t="str">
        <f t="shared" si="3"/>
        <v/>
      </c>
      <c r="L92" s="14" t="str">
        <f t="shared" si="3"/>
        <v/>
      </c>
      <c r="M92" s="14" t="str">
        <f t="shared" si="3"/>
        <v/>
      </c>
      <c r="N92" s="14" t="str">
        <f t="shared" si="3"/>
        <v/>
      </c>
      <c r="O92" s="14" t="str">
        <f t="shared" si="3"/>
        <v/>
      </c>
      <c r="P92" s="14" t="str">
        <f t="shared" si="3"/>
        <v/>
      </c>
      <c r="Q92" s="14" t="str">
        <f t="shared" si="3"/>
        <v/>
      </c>
      <c r="R92" s="14" t="str">
        <f t="shared" si="3"/>
        <v/>
      </c>
      <c r="S92" s="14" t="str">
        <f t="shared" si="3"/>
        <v/>
      </c>
      <c r="T92" s="197"/>
      <c r="U92" s="197"/>
      <c r="V92" s="197"/>
      <c r="W92" s="197"/>
      <c r="X92" s="197"/>
      <c r="Y92" s="197"/>
      <c r="Z92" s="197" t="str">
        <f t="shared" ref="Z92:Z111" si="4">IFERROR((VLOOKUP(B92,$A$4:$B$72,2,FALSE))," ")</f>
        <v>Cindy Piewhistle</v>
      </c>
      <c r="AA92" s="197"/>
      <c r="AB92" s="197"/>
      <c r="AC92" s="197"/>
      <c r="AD92" s="197"/>
      <c r="AE92" s="197"/>
      <c r="AF92" s="197"/>
      <c r="AG92" s="197"/>
      <c r="AH92" s="197"/>
    </row>
    <row r="93" spans="2:66" ht="12.75" customHeight="1" x14ac:dyDescent="0.2">
      <c r="B93" s="197" t="str">
        <f>MID($B$91,4,3)</f>
        <v>ABM</v>
      </c>
      <c r="C93" s="197" t="str">
        <f>IFERROR((VLOOKUP(B93,$A$4:$B$67,2,FALSE))," ")</f>
        <v>Bomber Dribblesnot</v>
      </c>
      <c r="D93" s="197"/>
      <c r="E93" s="197" t="s">
        <v>1362</v>
      </c>
      <c r="F93" s="197" t="s">
        <v>1362</v>
      </c>
      <c r="G93" s="197" t="s">
        <v>870</v>
      </c>
      <c r="H93" s="197" t="s">
        <v>870</v>
      </c>
      <c r="I93" s="197" t="s">
        <v>870</v>
      </c>
      <c r="J93" s="197" t="s">
        <v>870</v>
      </c>
      <c r="K93" s="260" t="s">
        <v>870</v>
      </c>
      <c r="L93" s="197" t="s">
        <v>870</v>
      </c>
      <c r="M93" s="197" t="s">
        <v>870</v>
      </c>
      <c r="N93" s="197" t="s">
        <v>1362</v>
      </c>
      <c r="O93" s="197" t="s">
        <v>870</v>
      </c>
      <c r="P93" s="197" t="s">
        <v>870</v>
      </c>
      <c r="Q93" s="197" t="s">
        <v>1362</v>
      </c>
      <c r="R93" s="197" t="s">
        <v>870</v>
      </c>
      <c r="S93" s="197" t="s">
        <v>870</v>
      </c>
      <c r="T93" s="197"/>
      <c r="U93" s="197"/>
      <c r="V93" s="197"/>
      <c r="W93" s="197"/>
      <c r="X93" s="197"/>
      <c r="Y93" s="197"/>
      <c r="Z93" s="197" t="str">
        <f t="shared" si="4"/>
        <v>Bomber Dribblesnot</v>
      </c>
      <c r="AA93" s="197"/>
      <c r="AB93" s="197"/>
      <c r="AC93" s="197"/>
      <c r="AD93" s="197"/>
      <c r="AE93" s="197"/>
      <c r="AF93" s="197"/>
      <c r="AG93" s="197"/>
      <c r="AH93" s="197"/>
    </row>
    <row r="94" spans="2:66" ht="12.75" customHeight="1" x14ac:dyDescent="0.2">
      <c r="B94" s="197" t="str">
        <f>MID($B$91,7,3)</f>
        <v>AAA</v>
      </c>
      <c r="C94" s="197" t="str">
        <f t="shared" ref="C94:C130" si="5">IFERROR((VLOOKUP(B94,$A$4:$B$67,2,FALSE))," ")</f>
        <v>Akhorne the Squirrel</v>
      </c>
      <c r="D94" s="197"/>
      <c r="E94" s="197" t="s">
        <v>870</v>
      </c>
      <c r="F94" s="197" t="s">
        <v>870</v>
      </c>
      <c r="G94" s="197" t="s">
        <v>1337</v>
      </c>
      <c r="H94" s="197" t="s">
        <v>1337</v>
      </c>
      <c r="I94" s="197" t="s">
        <v>1337</v>
      </c>
      <c r="J94" s="197" t="s">
        <v>882</v>
      </c>
      <c r="K94" s="260" t="s">
        <v>1181</v>
      </c>
      <c r="L94" s="197" t="s">
        <v>1121</v>
      </c>
      <c r="M94" s="197" t="s">
        <v>882</v>
      </c>
      <c r="N94" s="197" t="s">
        <v>870</v>
      </c>
      <c r="O94" s="197" t="s">
        <v>1337</v>
      </c>
      <c r="P94" s="197" t="s">
        <v>1337</v>
      </c>
      <c r="Q94" s="197" t="s">
        <v>870</v>
      </c>
      <c r="R94" s="197" t="s">
        <v>1337</v>
      </c>
      <c r="S94" s="197" t="s">
        <v>1337</v>
      </c>
      <c r="T94" s="197"/>
      <c r="U94" s="197"/>
      <c r="V94" s="197"/>
      <c r="W94" s="197"/>
      <c r="X94" s="197"/>
      <c r="Y94" s="197"/>
      <c r="Z94" s="197" t="str">
        <f t="shared" si="4"/>
        <v>Akhorne the Squirrel</v>
      </c>
      <c r="AA94" s="197"/>
      <c r="AB94" s="197"/>
      <c r="AC94" s="197"/>
      <c r="AD94" s="197"/>
      <c r="AE94" s="197"/>
      <c r="AF94" s="197"/>
      <c r="AG94" s="197"/>
      <c r="AH94" s="197"/>
    </row>
    <row r="95" spans="2:66" ht="12.75" customHeight="1" x14ac:dyDescent="0.2">
      <c r="B95" s="197" t="str">
        <f>MID($B$91,10,3)</f>
        <v>ABL</v>
      </c>
      <c r="C95" s="197" t="str">
        <f t="shared" si="5"/>
        <v>Fungus the Loon</v>
      </c>
      <c r="D95" s="263"/>
      <c r="E95" s="197" t="s">
        <v>1351</v>
      </c>
      <c r="F95" s="197" t="s">
        <v>1351</v>
      </c>
      <c r="G95" s="197" t="s">
        <v>882</v>
      </c>
      <c r="H95" s="197" t="s">
        <v>882</v>
      </c>
      <c r="I95" s="197" t="s">
        <v>882</v>
      </c>
      <c r="J95" s="197" t="s">
        <v>1044</v>
      </c>
      <c r="K95" s="260" t="s">
        <v>882</v>
      </c>
      <c r="L95" s="197" t="s">
        <v>882</v>
      </c>
      <c r="M95" s="197" t="s">
        <v>1453</v>
      </c>
      <c r="N95" s="197" t="s">
        <v>1351</v>
      </c>
      <c r="O95" s="197" t="s">
        <v>882</v>
      </c>
      <c r="P95" s="197" t="s">
        <v>882</v>
      </c>
      <c r="Q95" s="197" t="s">
        <v>1351</v>
      </c>
      <c r="R95" s="197" t="s">
        <v>882</v>
      </c>
      <c r="S95" s="197" t="s">
        <v>1181</v>
      </c>
      <c r="T95" s="197"/>
      <c r="U95" s="197"/>
      <c r="V95" s="197"/>
      <c r="W95" s="197"/>
      <c r="X95" s="197"/>
      <c r="Y95" s="197"/>
      <c r="Z95" s="197" t="str">
        <f t="shared" si="4"/>
        <v>Fungus the Loon</v>
      </c>
      <c r="AA95" s="197"/>
      <c r="AB95" s="197"/>
      <c r="AC95" s="197"/>
      <c r="AD95" s="197"/>
      <c r="AE95" s="197"/>
      <c r="AF95" s="197"/>
      <c r="AG95" s="197"/>
      <c r="AH95" s="197"/>
    </row>
    <row r="96" spans="2:66" ht="12.75" customHeight="1" x14ac:dyDescent="0.2">
      <c r="B96" s="197" t="str">
        <f>MID($B$91,13,3)</f>
        <v>ABK</v>
      </c>
      <c r="C96" s="197" t="str">
        <f t="shared" si="5"/>
        <v>Barik Farblast</v>
      </c>
      <c r="D96" s="263"/>
      <c r="E96" s="197" t="s">
        <v>882</v>
      </c>
      <c r="F96" s="197" t="s">
        <v>882</v>
      </c>
      <c r="G96" s="197" t="s">
        <v>965</v>
      </c>
      <c r="H96" s="197" t="s">
        <v>965</v>
      </c>
      <c r="I96" s="197" t="s">
        <v>1034</v>
      </c>
      <c r="J96" s="197" t="s">
        <v>1054</v>
      </c>
      <c r="K96" s="260" t="s">
        <v>1335</v>
      </c>
      <c r="L96" s="197" t="s">
        <v>1034</v>
      </c>
      <c r="M96" s="197" t="s">
        <v>1464</v>
      </c>
      <c r="N96" s="197" t="s">
        <v>1337</v>
      </c>
      <c r="O96" s="197" t="s">
        <v>965</v>
      </c>
      <c r="P96" s="197" t="s">
        <v>965</v>
      </c>
      <c r="Q96" s="197" t="s">
        <v>882</v>
      </c>
      <c r="R96" s="197" t="s">
        <v>1034</v>
      </c>
      <c r="S96" s="197" t="s">
        <v>882</v>
      </c>
      <c r="T96" s="197"/>
      <c r="U96" s="197"/>
      <c r="V96" s="197"/>
      <c r="W96" s="197"/>
      <c r="X96" s="197"/>
      <c r="Y96" s="197"/>
      <c r="Z96" s="197" t="str">
        <f t="shared" si="4"/>
        <v>Barik Farblast</v>
      </c>
      <c r="AA96" s="197"/>
      <c r="AB96" s="197"/>
      <c r="AC96" s="197"/>
      <c r="AD96" s="197"/>
      <c r="AE96" s="197"/>
      <c r="AF96" s="197"/>
      <c r="AG96" s="197"/>
      <c r="AH96" s="197"/>
    </row>
    <row r="97" spans="2:34" ht="12.75" customHeight="1" x14ac:dyDescent="0.2">
      <c r="B97" s="197" t="str">
        <f>MID($B$91,16,3)</f>
        <v>ACB</v>
      </c>
      <c r="C97" s="197" t="str">
        <f t="shared" si="5"/>
        <v>Nobbla Blackwart</v>
      </c>
      <c r="D97" s="197"/>
      <c r="E97" s="197" t="s">
        <v>894</v>
      </c>
      <c r="F97" s="197" t="s">
        <v>1335</v>
      </c>
      <c r="G97" s="197" t="s">
        <v>1413</v>
      </c>
      <c r="H97" s="197" t="s">
        <v>1413</v>
      </c>
      <c r="I97" s="197" t="s">
        <v>965</v>
      </c>
      <c r="J97" s="197" t="s">
        <v>1064</v>
      </c>
      <c r="K97" s="260" t="s">
        <v>1413</v>
      </c>
      <c r="L97" s="197" t="s">
        <v>1131</v>
      </c>
      <c r="M97" s="197" t="s">
        <v>985</v>
      </c>
      <c r="N97" s="197" t="s">
        <v>882</v>
      </c>
      <c r="O97" s="197" t="s">
        <v>1413</v>
      </c>
      <c r="P97" s="197" t="s">
        <v>1413</v>
      </c>
      <c r="Q97" s="197" t="s">
        <v>1335</v>
      </c>
      <c r="R97" s="197" t="s">
        <v>965</v>
      </c>
      <c r="S97" s="197" t="s">
        <v>1034</v>
      </c>
      <c r="T97" s="197"/>
      <c r="U97" s="197"/>
      <c r="V97" s="197"/>
      <c r="W97" s="197"/>
      <c r="X97" s="197"/>
      <c r="Y97" s="197"/>
      <c r="Z97" s="197" t="str">
        <f t="shared" si="4"/>
        <v>Nobbla Blackwart</v>
      </c>
      <c r="AA97" s="197"/>
      <c r="AB97" s="197"/>
      <c r="AC97" s="197"/>
      <c r="AD97" s="197"/>
      <c r="AE97" s="197"/>
      <c r="AF97" s="197"/>
      <c r="AG97" s="197"/>
      <c r="AH97" s="197"/>
    </row>
    <row r="98" spans="2:34" ht="12.75" customHeight="1" x14ac:dyDescent="0.2">
      <c r="B98" s="197" t="str">
        <f>MID($B$91,19,3)</f>
        <v>ABT</v>
      </c>
      <c r="C98" s="197" t="str">
        <f t="shared" si="5"/>
        <v>Puggy Baconbreath</v>
      </c>
      <c r="D98" s="197"/>
      <c r="E98" s="197" t="s">
        <v>903</v>
      </c>
      <c r="F98" s="197" t="s">
        <v>955</v>
      </c>
      <c r="G98" s="197" t="s">
        <v>975</v>
      </c>
      <c r="H98" s="197" t="s">
        <v>975</v>
      </c>
      <c r="I98" s="197" t="s">
        <v>975</v>
      </c>
      <c r="J98" s="197" t="s">
        <v>1074</v>
      </c>
      <c r="K98" s="260" t="s">
        <v>955</v>
      </c>
      <c r="L98" s="197" t="s">
        <v>1025</v>
      </c>
      <c r="M98" s="197" t="s">
        <v>995</v>
      </c>
      <c r="N98" s="197" t="s">
        <v>965</v>
      </c>
      <c r="O98" s="197" t="s">
        <v>1453</v>
      </c>
      <c r="P98" s="197" t="s">
        <v>975</v>
      </c>
      <c r="Q98" s="197" t="s">
        <v>955</v>
      </c>
      <c r="R98" s="197" t="s">
        <v>1413</v>
      </c>
      <c r="S98" s="197" t="s">
        <v>965</v>
      </c>
      <c r="T98" s="197"/>
      <c r="U98" s="197"/>
      <c r="V98" s="197"/>
      <c r="W98" s="197"/>
      <c r="X98" s="197"/>
      <c r="Y98" s="197"/>
      <c r="Z98" s="197" t="str">
        <f t="shared" si="4"/>
        <v>Puggy Baconbreath</v>
      </c>
      <c r="AA98" s="197"/>
      <c r="AB98" s="197"/>
      <c r="AC98" s="197"/>
      <c r="AD98" s="197"/>
      <c r="AE98" s="197"/>
      <c r="AF98" s="197"/>
      <c r="AG98" s="197"/>
      <c r="AH98" s="197"/>
    </row>
    <row r="99" spans="2:34" ht="12.75" customHeight="1" x14ac:dyDescent="0.2">
      <c r="B99" s="197" t="str">
        <f>MID($B$91,22,3)</f>
        <v>ACC</v>
      </c>
      <c r="C99" s="197" t="str">
        <f t="shared" si="5"/>
        <v>Scrappa Sorehead</v>
      </c>
      <c r="D99" s="197"/>
      <c r="E99" s="197" t="s">
        <v>915</v>
      </c>
      <c r="F99" s="197" t="s">
        <v>944</v>
      </c>
      <c r="G99" s="197" t="s">
        <v>985</v>
      </c>
      <c r="H99" s="197" t="s">
        <v>985</v>
      </c>
      <c r="I99" s="197" t="s">
        <v>903</v>
      </c>
      <c r="J99" s="197" t="s">
        <v>903</v>
      </c>
      <c r="K99" s="260" t="s">
        <v>1171</v>
      </c>
      <c r="L99" s="197" t="s">
        <v>903</v>
      </c>
      <c r="M99" s="197" t="s">
        <v>1151</v>
      </c>
      <c r="N99" s="197" t="s">
        <v>1413</v>
      </c>
      <c r="O99" s="197" t="s">
        <v>975</v>
      </c>
      <c r="P99" s="197" t="s">
        <v>985</v>
      </c>
      <c r="Q99" s="197" t="s">
        <v>944</v>
      </c>
      <c r="R99" s="197" t="s">
        <v>975</v>
      </c>
      <c r="S99" s="197" t="s">
        <v>1335</v>
      </c>
      <c r="T99" s="197"/>
      <c r="U99" s="197"/>
      <c r="V99" s="197"/>
      <c r="W99" s="197"/>
      <c r="X99" s="197"/>
      <c r="Y99" s="197"/>
      <c r="Z99" s="197" t="str">
        <f t="shared" si="4"/>
        <v>Scrappa Sorehead</v>
      </c>
      <c r="AA99" s="197"/>
      <c r="AB99" s="197"/>
      <c r="AC99" s="197"/>
      <c r="AD99" s="197"/>
      <c r="AE99" s="197"/>
      <c r="AF99" s="197"/>
      <c r="AG99" s="197"/>
      <c r="AH99" s="197"/>
    </row>
    <row r="100" spans="2:34" ht="12.75" customHeight="1" x14ac:dyDescent="0.2">
      <c r="B100" s="197" t="str">
        <f>MID($B$91,25,3)</f>
        <v>ACL</v>
      </c>
      <c r="C100" s="197" t="str">
        <f t="shared" si="5"/>
        <v>Rashnak Backstabber</v>
      </c>
      <c r="D100" s="197"/>
      <c r="E100" s="197" t="s">
        <v>922</v>
      </c>
      <c r="F100" s="197" t="s">
        <v>894</v>
      </c>
      <c r="G100" s="197" t="s">
        <v>995</v>
      </c>
      <c r="H100" s="197" t="s">
        <v>995</v>
      </c>
      <c r="I100" s="197" t="s">
        <v>915</v>
      </c>
      <c r="J100" s="197" t="s">
        <v>915</v>
      </c>
      <c r="K100" s="260" t="s">
        <v>944</v>
      </c>
      <c r="L100" s="197" t="s">
        <v>915</v>
      </c>
      <c r="M100" s="197" t="s">
        <v>1074</v>
      </c>
      <c r="N100" s="197" t="s">
        <v>975</v>
      </c>
      <c r="O100" s="197" t="s">
        <v>1464</v>
      </c>
      <c r="P100" s="197" t="s">
        <v>995</v>
      </c>
      <c r="Q100" s="197" t="s">
        <v>894</v>
      </c>
      <c r="R100" s="197" t="s">
        <v>985</v>
      </c>
      <c r="S100" s="197" t="s">
        <v>1413</v>
      </c>
      <c r="T100" s="197"/>
      <c r="U100" s="197"/>
      <c r="V100" s="197"/>
      <c r="W100" s="197"/>
      <c r="X100" s="197"/>
      <c r="Y100" s="197"/>
      <c r="Z100" s="197" t="str">
        <f t="shared" si="4"/>
        <v>Rashnak Backstabber</v>
      </c>
      <c r="AA100" s="197"/>
      <c r="AB100" s="197"/>
      <c r="AC100" s="197"/>
      <c r="AD100" s="197"/>
      <c r="AE100" s="197"/>
      <c r="AF100" s="197"/>
      <c r="AG100" s="197"/>
      <c r="AH100" s="197"/>
    </row>
    <row r="101" spans="2:34" ht="12.75" customHeight="1" x14ac:dyDescent="0.2">
      <c r="B101" s="197" t="str">
        <f>MID($B$91,28,3)</f>
        <v>ACM</v>
      </c>
      <c r="C101" s="197" t="str">
        <f>IFERROR((VLOOKUP(B101,$A$4:$B$67,2,FALSE))," ")</f>
        <v>Zzharg Madeye</v>
      </c>
      <c r="D101" s="197"/>
      <c r="E101" s="197" t="s">
        <v>933</v>
      </c>
      <c r="F101" s="197" t="s">
        <v>903</v>
      </c>
      <c r="G101" s="197" t="s">
        <v>1151</v>
      </c>
      <c r="H101" s="197" t="s">
        <v>1151</v>
      </c>
      <c r="I101" s="197" t="s">
        <v>933</v>
      </c>
      <c r="J101" s="197" t="s">
        <v>1084</v>
      </c>
      <c r="K101" s="260" t="s">
        <v>1161</v>
      </c>
      <c r="L101" s="197" t="s">
        <v>1141</v>
      </c>
      <c r="M101" s="197" t="s">
        <v>903</v>
      </c>
      <c r="N101" s="197" t="s">
        <v>985</v>
      </c>
      <c r="O101" s="197" t="s">
        <v>985</v>
      </c>
      <c r="P101" s="197" t="s">
        <v>1151</v>
      </c>
      <c r="Q101" s="197" t="s">
        <v>903</v>
      </c>
      <c r="R101" s="197" t="s">
        <v>995</v>
      </c>
      <c r="S101" s="197" t="s">
        <v>955</v>
      </c>
      <c r="T101" s="197"/>
      <c r="U101" s="197"/>
      <c r="V101" s="197"/>
      <c r="W101" s="197"/>
      <c r="X101" s="197"/>
      <c r="Y101" s="197"/>
      <c r="Z101" s="197" t="str">
        <f t="shared" si="4"/>
        <v>Zzharg Madeye</v>
      </c>
      <c r="AA101" s="197"/>
      <c r="AB101" s="197"/>
      <c r="AC101" s="197"/>
      <c r="AD101" s="197"/>
      <c r="AE101" s="197"/>
      <c r="AF101" s="197"/>
      <c r="AG101" s="197"/>
      <c r="AH101" s="197"/>
    </row>
    <row r="102" spans="2:34" ht="12.75" customHeight="1" x14ac:dyDescent="0.2">
      <c r="B102" s="197" t="str">
        <f>MID($B$91,31,3)</f>
        <v>AAB</v>
      </c>
      <c r="C102" s="197" t="str">
        <f t="shared" si="5"/>
        <v>Helmut Wulf</v>
      </c>
      <c r="D102" s="197"/>
      <c r="E102" s="197" t="str">
        <f t="shared" ref="E102:R112" si="6">""</f>
        <v/>
      </c>
      <c r="F102" s="197" t="s">
        <v>915</v>
      </c>
      <c r="G102" s="197" t="s">
        <v>1025</v>
      </c>
      <c r="H102" s="197" t="s">
        <v>1025</v>
      </c>
      <c r="I102" s="197" t="str">
        <f t="shared" ref="I102:Q109" si="7">""</f>
        <v/>
      </c>
      <c r="J102" s="197" t="s">
        <v>1095</v>
      </c>
      <c r="K102" s="260" t="s">
        <v>1397</v>
      </c>
      <c r="L102" s="197" t="str">
        <f t="shared" ref="L102:L104" si="8">""</f>
        <v/>
      </c>
      <c r="M102" s="197" t="s">
        <v>915</v>
      </c>
      <c r="N102" s="197" t="s">
        <v>995</v>
      </c>
      <c r="O102" s="197" t="s">
        <v>995</v>
      </c>
      <c r="P102" s="197" t="s">
        <v>1025</v>
      </c>
      <c r="Q102" s="197" t="s">
        <v>915</v>
      </c>
      <c r="R102" s="197" t="s">
        <v>1151</v>
      </c>
      <c r="S102" s="197" t="s">
        <v>975</v>
      </c>
      <c r="T102" s="197"/>
      <c r="U102" s="197"/>
      <c r="V102" s="197"/>
      <c r="W102" s="197"/>
      <c r="X102" s="197"/>
      <c r="Y102" s="197"/>
      <c r="Z102" s="197" t="str">
        <f t="shared" si="4"/>
        <v>Helmut Wulf</v>
      </c>
      <c r="AA102" s="197"/>
      <c r="AB102" s="197"/>
      <c r="AC102" s="197"/>
      <c r="AD102" s="197"/>
      <c r="AE102" s="197"/>
      <c r="AF102" s="197"/>
      <c r="AG102" s="197"/>
      <c r="AH102" s="197"/>
    </row>
    <row r="103" spans="2:34" ht="12.75" customHeight="1" x14ac:dyDescent="0.2">
      <c r="B103" s="197" t="str">
        <f>MID($B$91,34,3)</f>
        <v>ACH</v>
      </c>
      <c r="C103" s="197" t="str">
        <f t="shared" si="5"/>
        <v>Skitter Stab-Stab</v>
      </c>
      <c r="D103" s="197"/>
      <c r="E103" s="197" t="str">
        <f t="shared" si="6"/>
        <v/>
      </c>
      <c r="F103" s="197" t="s">
        <v>922</v>
      </c>
      <c r="G103" s="197" t="s">
        <v>1397</v>
      </c>
      <c r="H103" s="197" t="s">
        <v>1397</v>
      </c>
      <c r="I103" s="197" t="str">
        <f t="shared" si="7"/>
        <v/>
      </c>
      <c r="J103" s="197" t="s">
        <v>1105</v>
      </c>
      <c r="K103" s="260" t="s">
        <v>1407</v>
      </c>
      <c r="L103" s="197" t="str">
        <f t="shared" si="8"/>
        <v/>
      </c>
      <c r="M103" s="197" t="s">
        <v>1463</v>
      </c>
      <c r="N103" s="197" t="s">
        <v>1151</v>
      </c>
      <c r="O103" s="197" t="s">
        <v>1151</v>
      </c>
      <c r="P103" s="197" t="s">
        <v>1397</v>
      </c>
      <c r="Q103" s="197" t="s">
        <v>922</v>
      </c>
      <c r="R103" s="197" t="s">
        <v>1025</v>
      </c>
      <c r="S103" s="197" t="s">
        <v>1171</v>
      </c>
      <c r="T103" s="197"/>
      <c r="U103" s="197"/>
      <c r="V103" s="197"/>
      <c r="W103" s="197"/>
      <c r="X103" s="197"/>
      <c r="Y103" s="197"/>
      <c r="Z103" s="197" t="str">
        <f t="shared" si="4"/>
        <v>Skitter Stab-Stab</v>
      </c>
      <c r="AA103" s="197"/>
      <c r="AB103" s="197"/>
      <c r="AC103" s="197"/>
      <c r="AD103" s="197"/>
      <c r="AE103" s="197"/>
      <c r="AF103" s="197"/>
      <c r="AG103" s="197"/>
      <c r="AH103" s="197"/>
    </row>
    <row r="104" spans="2:34" ht="12.75" customHeight="1" x14ac:dyDescent="0.2">
      <c r="B104" s="197" t="str">
        <f>MID($B$91,37,3)</f>
        <v>AAJ</v>
      </c>
      <c r="C104" s="197" t="str">
        <f t="shared" si="5"/>
        <v>Rumbelow Sheepskin</v>
      </c>
      <c r="D104" s="197"/>
      <c r="E104" s="197" t="str">
        <f t="shared" si="6"/>
        <v/>
      </c>
      <c r="F104" s="197" t="s">
        <v>933</v>
      </c>
      <c r="G104" s="197" t="s">
        <v>1407</v>
      </c>
      <c r="H104" s="197" t="s">
        <v>1407</v>
      </c>
      <c r="I104" s="197" t="str">
        <f t="shared" si="7"/>
        <v/>
      </c>
      <c r="J104" s="197" t="s">
        <v>933</v>
      </c>
      <c r="K104" s="260" t="s">
        <v>903</v>
      </c>
      <c r="L104" s="197" t="str">
        <f t="shared" si="8"/>
        <v/>
      </c>
      <c r="M104" s="197" t="s">
        <v>933</v>
      </c>
      <c r="N104" s="197" t="s">
        <v>894</v>
      </c>
      <c r="O104" s="197" t="s">
        <v>1074</v>
      </c>
      <c r="P104" s="197" t="s">
        <v>1407</v>
      </c>
      <c r="Q104" s="197" t="s">
        <v>933</v>
      </c>
      <c r="R104" s="197" t="s">
        <v>1397</v>
      </c>
      <c r="S104" s="197" t="s">
        <v>944</v>
      </c>
      <c r="T104" s="197"/>
      <c r="U104" s="197"/>
      <c r="V104" s="197"/>
      <c r="W104" s="197"/>
      <c r="X104" s="197"/>
      <c r="Y104" s="197"/>
      <c r="Z104" s="197" t="str">
        <f t="shared" si="4"/>
        <v>Rumbelow Sheepskin</v>
      </c>
      <c r="AA104" s="197"/>
      <c r="AB104" s="197"/>
      <c r="AC104" s="197"/>
      <c r="AD104" s="197"/>
      <c r="AE104" s="197"/>
      <c r="AF104" s="197"/>
      <c r="AG104" s="197"/>
      <c r="AH104" s="197"/>
    </row>
    <row r="105" spans="2:34" ht="12.75" customHeight="1" x14ac:dyDescent="0.2">
      <c r="B105" s="197" t="str">
        <f>MID($B$91,40,3)</f>
        <v>ABP</v>
      </c>
      <c r="C105" s="197" t="str">
        <f>IFERROR((VLOOKUP(B105,$A$4:$B$67,2,FALSE))," ")</f>
        <v>Thorsson Stoutmead</v>
      </c>
      <c r="D105" s="197"/>
      <c r="E105" s="197" t="str">
        <f t="shared" si="6"/>
        <v/>
      </c>
      <c r="F105" s="197" t="str">
        <f t="shared" si="6"/>
        <v/>
      </c>
      <c r="G105" s="197" t="s">
        <v>903</v>
      </c>
      <c r="H105" s="197" t="s">
        <v>903</v>
      </c>
      <c r="I105" s="197" t="str">
        <f t="shared" si="7"/>
        <v/>
      </c>
      <c r="J105" s="197" t="str">
        <f t="shared" si="7"/>
        <v/>
      </c>
      <c r="K105" s="260" t="s">
        <v>915</v>
      </c>
      <c r="L105" s="197" t="str">
        <f t="shared" si="7"/>
        <v/>
      </c>
      <c r="M105" s="197" t="str">
        <f t="shared" si="7"/>
        <v/>
      </c>
      <c r="N105" s="197" t="s">
        <v>1025</v>
      </c>
      <c r="O105" s="197" t="s">
        <v>1025</v>
      </c>
      <c r="P105" s="197" t="s">
        <v>903</v>
      </c>
      <c r="Q105" s="197" t="str">
        <f t="shared" ref="Q105:Q107" si="9">""</f>
        <v/>
      </c>
      <c r="R105" s="197" t="s">
        <v>1407</v>
      </c>
      <c r="S105" s="197" t="s">
        <v>985</v>
      </c>
      <c r="T105" s="197"/>
      <c r="U105" s="197"/>
      <c r="V105" s="197"/>
      <c r="W105" s="197"/>
      <c r="X105" s="197"/>
      <c r="Y105" s="197"/>
      <c r="Z105" s="197" t="str">
        <f t="shared" si="4"/>
        <v>Thorsson Stoutmead</v>
      </c>
      <c r="AA105" s="197"/>
      <c r="AB105" s="197"/>
      <c r="AC105" s="197"/>
      <c r="AD105" s="197"/>
      <c r="AE105" s="197"/>
      <c r="AF105" s="197"/>
      <c r="AG105" s="197"/>
      <c r="AH105" s="197"/>
    </row>
    <row r="106" spans="2:34" ht="12.75" customHeight="1" x14ac:dyDescent="0.2">
      <c r="B106" s="197" t="str">
        <f>MID($B$91,43,3)</f>
        <v>AAK</v>
      </c>
      <c r="C106" s="197" t="str">
        <f t="shared" si="5"/>
        <v>Grim Ironjaw</v>
      </c>
      <c r="D106" s="197"/>
      <c r="E106" s="197" t="str">
        <f t="shared" si="6"/>
        <v/>
      </c>
      <c r="F106" s="197" t="str">
        <f t="shared" si="6"/>
        <v/>
      </c>
      <c r="G106" s="197" t="s">
        <v>915</v>
      </c>
      <c r="H106" s="197" t="s">
        <v>915</v>
      </c>
      <c r="I106" s="197" t="str">
        <f t="shared" si="7"/>
        <v/>
      </c>
      <c r="J106" s="197" t="str">
        <f t="shared" si="7"/>
        <v/>
      </c>
      <c r="K106" s="197" t="s">
        <v>1111</v>
      </c>
      <c r="L106" s="197" t="str">
        <f t="shared" si="7"/>
        <v/>
      </c>
      <c r="M106" s="197" t="str">
        <f t="shared" si="7"/>
        <v/>
      </c>
      <c r="N106" s="197" t="s">
        <v>1397</v>
      </c>
      <c r="O106" s="197" t="s">
        <v>1397</v>
      </c>
      <c r="P106" s="197" t="s">
        <v>915</v>
      </c>
      <c r="Q106" s="197" t="str">
        <f t="shared" si="9"/>
        <v/>
      </c>
      <c r="R106" s="197" t="s">
        <v>903</v>
      </c>
      <c r="S106" s="197" t="s">
        <v>894</v>
      </c>
      <c r="T106" s="197"/>
      <c r="U106" s="197"/>
      <c r="V106" s="197"/>
      <c r="W106" s="197"/>
      <c r="X106" s="197"/>
      <c r="Y106" s="197"/>
      <c r="Z106" s="197" t="str">
        <f t="shared" si="4"/>
        <v>Grim Ironjaw</v>
      </c>
      <c r="AA106" s="197"/>
      <c r="AB106" s="197"/>
      <c r="AC106" s="197"/>
      <c r="AD106" s="197"/>
      <c r="AE106" s="197"/>
      <c r="AF106" s="197"/>
      <c r="AG106" s="197"/>
      <c r="AH106" s="197"/>
    </row>
    <row r="107" spans="2:34" ht="12.75" customHeight="1" x14ac:dyDescent="0.2">
      <c r="B107" s="197" t="str">
        <f>MID($B$91,46,3)</f>
        <v>AAL</v>
      </c>
      <c r="C107" s="197" t="str">
        <f t="shared" si="5"/>
        <v>Grombrindal, the White Dwarf</v>
      </c>
      <c r="D107" s="197"/>
      <c r="E107" s="197" t="str">
        <f t="shared" si="6"/>
        <v/>
      </c>
      <c r="F107" s="197" t="str">
        <f t="shared" si="6"/>
        <v/>
      </c>
      <c r="G107" s="197" t="s">
        <v>1005</v>
      </c>
      <c r="H107" s="197" t="s">
        <v>1005</v>
      </c>
      <c r="I107" s="197" t="str">
        <f t="shared" si="7"/>
        <v/>
      </c>
      <c r="J107" s="197" t="str">
        <f t="shared" si="7"/>
        <v/>
      </c>
      <c r="K107" s="197" t="s">
        <v>933</v>
      </c>
      <c r="L107" s="197" t="str">
        <f t="shared" si="7"/>
        <v/>
      </c>
      <c r="M107" s="197" t="str">
        <f t="shared" si="7"/>
        <v/>
      </c>
      <c r="N107" s="197" t="s">
        <v>1407</v>
      </c>
      <c r="O107" s="197" t="s">
        <v>1407</v>
      </c>
      <c r="P107" s="197" t="s">
        <v>1005</v>
      </c>
      <c r="Q107" s="197" t="str">
        <f t="shared" si="9"/>
        <v/>
      </c>
      <c r="R107" s="197" t="s">
        <v>915</v>
      </c>
      <c r="S107" s="197" t="s">
        <v>1161</v>
      </c>
      <c r="T107" s="197"/>
      <c r="U107" s="197"/>
      <c r="V107" s="197"/>
      <c r="W107" s="197"/>
      <c r="X107" s="197"/>
      <c r="Y107" s="197"/>
      <c r="Z107" s="197" t="str">
        <f t="shared" si="4"/>
        <v>Grombrindal, the White Dwarf</v>
      </c>
      <c r="AA107" s="197"/>
      <c r="AB107" s="197"/>
      <c r="AC107" s="197"/>
      <c r="AD107" s="197"/>
      <c r="AE107" s="197"/>
      <c r="AF107" s="197"/>
      <c r="AG107" s="197"/>
      <c r="AH107" s="197"/>
    </row>
    <row r="108" spans="2:34" ht="12.75" customHeight="1" x14ac:dyDescent="0.2">
      <c r="B108" s="197" t="str">
        <f>MID($B$91,49,3)</f>
        <v>AAM</v>
      </c>
      <c r="C108" s="197" t="str">
        <f t="shared" si="5"/>
        <v>Karla Von Kill</v>
      </c>
      <c r="D108" s="197"/>
      <c r="E108" s="197" t="str">
        <f t="shared" si="6"/>
        <v/>
      </c>
      <c r="F108" s="197" t="str">
        <f t="shared" si="6"/>
        <v/>
      </c>
      <c r="G108" s="197" t="s">
        <v>1015</v>
      </c>
      <c r="H108" s="197" t="s">
        <v>1015</v>
      </c>
      <c r="I108" s="197" t="str">
        <f t="shared" si="7"/>
        <v/>
      </c>
      <c r="J108" s="197" t="str">
        <f t="shared" si="7"/>
        <v/>
      </c>
      <c r="K108" s="197" t="str">
        <f t="shared" si="7"/>
        <v/>
      </c>
      <c r="L108" s="197" t="str">
        <f t="shared" si="7"/>
        <v/>
      </c>
      <c r="M108" s="197" t="str">
        <f t="shared" si="7"/>
        <v/>
      </c>
      <c r="N108" s="197" t="s">
        <v>903</v>
      </c>
      <c r="O108" s="197" t="s">
        <v>903</v>
      </c>
      <c r="P108" s="197" t="s">
        <v>1015</v>
      </c>
      <c r="Q108" s="197" t="str">
        <f t="shared" si="7"/>
        <v/>
      </c>
      <c r="R108" s="197" t="s">
        <v>1005</v>
      </c>
      <c r="S108" s="197" t="s">
        <v>1397</v>
      </c>
      <c r="T108" s="197"/>
      <c r="U108" s="197"/>
      <c r="V108" s="197"/>
      <c r="W108" s="197"/>
      <c r="X108" s="197"/>
      <c r="Y108" s="197"/>
      <c r="Z108" s="197" t="str">
        <f t="shared" si="4"/>
        <v>Karla Von Kill</v>
      </c>
      <c r="AA108" s="197"/>
      <c r="AB108" s="197"/>
      <c r="AC108" s="197"/>
      <c r="AD108" s="197"/>
      <c r="AE108" s="197"/>
      <c r="AF108" s="197"/>
      <c r="AG108" s="197"/>
      <c r="AH108" s="197"/>
    </row>
    <row r="109" spans="2:34" ht="12.75" customHeight="1" x14ac:dyDescent="0.2">
      <c r="B109" s="197" t="str">
        <f>MID($B$91,52,3)</f>
        <v>ABF</v>
      </c>
      <c r="C109" s="197" t="str">
        <f t="shared" si="5"/>
        <v>Mighty Zug</v>
      </c>
      <c r="D109" s="197"/>
      <c r="E109" s="197" t="str">
        <f t="shared" si="6"/>
        <v/>
      </c>
      <c r="F109" s="197" t="str">
        <f t="shared" si="6"/>
        <v/>
      </c>
      <c r="G109" s="197" t="s">
        <v>933</v>
      </c>
      <c r="H109" s="197" t="s">
        <v>933</v>
      </c>
      <c r="I109" s="197" t="str">
        <f t="shared" si="7"/>
        <v/>
      </c>
      <c r="J109" s="197" t="str">
        <f t="shared" si="7"/>
        <v/>
      </c>
      <c r="K109" s="197" t="str">
        <f t="shared" si="7"/>
        <v/>
      </c>
      <c r="L109" s="197" t="str">
        <f t="shared" si="7"/>
        <v/>
      </c>
      <c r="M109" s="197" t="str">
        <f t="shared" si="7"/>
        <v/>
      </c>
      <c r="N109" s="197" t="s">
        <v>915</v>
      </c>
      <c r="O109" s="197" t="s">
        <v>915</v>
      </c>
      <c r="P109" s="197" t="s">
        <v>933</v>
      </c>
      <c r="Q109" s="197" t="str">
        <f t="shared" si="7"/>
        <v/>
      </c>
      <c r="R109" s="197" t="s">
        <v>1015</v>
      </c>
      <c r="S109" s="197" t="s">
        <v>1407</v>
      </c>
      <c r="T109" s="197"/>
      <c r="U109" s="197"/>
      <c r="V109" s="197"/>
      <c r="W109" s="197"/>
      <c r="X109" s="197"/>
      <c r="Y109" s="197"/>
      <c r="Z109" s="197" t="str">
        <f t="shared" si="4"/>
        <v>Mighty Zug</v>
      </c>
      <c r="AA109" s="197"/>
      <c r="AB109" s="197"/>
      <c r="AC109" s="197"/>
      <c r="AD109" s="197"/>
      <c r="AE109" s="197"/>
      <c r="AF109" s="197"/>
      <c r="AG109" s="197"/>
      <c r="AH109" s="197"/>
    </row>
    <row r="110" spans="2:34" ht="12.75" customHeight="1" x14ac:dyDescent="0.2">
      <c r="B110" s="197" t="str">
        <f>MID($B$91,55,3)</f>
        <v>AAC</v>
      </c>
      <c r="C110" s="197" t="str">
        <f t="shared" si="5"/>
        <v>The Black Gobbo</v>
      </c>
      <c r="D110" s="197"/>
      <c r="E110" s="197" t="str">
        <f t="shared" si="6"/>
        <v/>
      </c>
      <c r="F110" s="197" t="str">
        <f t="shared" si="6"/>
        <v/>
      </c>
      <c r="G110" s="197" t="str">
        <f t="shared" si="6"/>
        <v/>
      </c>
      <c r="H110" s="197" t="str">
        <f t="shared" si="6"/>
        <v/>
      </c>
      <c r="I110" s="197" t="str">
        <f t="shared" si="6"/>
        <v/>
      </c>
      <c r="J110" s="197" t="str">
        <f t="shared" si="6"/>
        <v/>
      </c>
      <c r="K110" s="197" t="str">
        <f t="shared" si="6"/>
        <v/>
      </c>
      <c r="L110" s="197" t="str">
        <f t="shared" si="6"/>
        <v/>
      </c>
      <c r="M110" s="197" t="str">
        <f t="shared" si="6"/>
        <v/>
      </c>
      <c r="N110" s="197" t="s">
        <v>1005</v>
      </c>
      <c r="O110" s="197" t="s">
        <v>1463</v>
      </c>
      <c r="P110" s="197" t="str">
        <f t="shared" si="6"/>
        <v/>
      </c>
      <c r="Q110" s="197" t="str">
        <f t="shared" si="6"/>
        <v/>
      </c>
      <c r="R110" s="197" t="s">
        <v>933</v>
      </c>
      <c r="S110" s="197" t="s">
        <v>903</v>
      </c>
      <c r="T110" s="197"/>
      <c r="U110" s="197"/>
      <c r="V110" s="197"/>
      <c r="W110" s="197"/>
      <c r="X110" s="197"/>
      <c r="Y110" s="197"/>
      <c r="Z110" s="197" t="str">
        <f t="shared" si="4"/>
        <v>The Black Gobbo</v>
      </c>
      <c r="AA110" s="197"/>
      <c r="AB110" s="197"/>
      <c r="AC110" s="197"/>
      <c r="AD110" s="197"/>
      <c r="AE110" s="197"/>
      <c r="AF110" s="197"/>
      <c r="AG110" s="197"/>
      <c r="AH110" s="197"/>
    </row>
    <row r="111" spans="2:34" ht="12.75" customHeight="1" x14ac:dyDescent="0.2">
      <c r="B111" s="8" t="str">
        <f>MID($B$91,58,3)</f>
        <v>AAP</v>
      </c>
      <c r="C111" s="197" t="str">
        <f t="shared" si="5"/>
        <v>Frank 'n' Stein</v>
      </c>
      <c r="D111" s="197"/>
      <c r="E111" s="197" t="str">
        <f t="shared" si="6"/>
        <v/>
      </c>
      <c r="F111" s="197" t="str">
        <f t="shared" si="6"/>
        <v/>
      </c>
      <c r="G111" s="197" t="str">
        <f t="shared" si="6"/>
        <v/>
      </c>
      <c r="H111" s="197" t="str">
        <f t="shared" si="6"/>
        <v/>
      </c>
      <c r="I111" s="197" t="str">
        <f t="shared" si="6"/>
        <v/>
      </c>
      <c r="J111" s="197" t="str">
        <f t="shared" si="6"/>
        <v/>
      </c>
      <c r="K111" s="197" t="str">
        <f t="shared" si="6"/>
        <v/>
      </c>
      <c r="L111" s="197" t="str">
        <f t="shared" si="6"/>
        <v/>
      </c>
      <c r="M111" s="197" t="str">
        <f t="shared" si="6"/>
        <v/>
      </c>
      <c r="N111" s="197" t="s">
        <v>1015</v>
      </c>
      <c r="O111" s="197" t="s">
        <v>1005</v>
      </c>
      <c r="P111" s="197" t="str">
        <f t="shared" si="6"/>
        <v/>
      </c>
      <c r="Q111" s="197" t="str">
        <f t="shared" si="6"/>
        <v/>
      </c>
      <c r="R111" s="197" t="str">
        <f t="shared" si="6"/>
        <v/>
      </c>
      <c r="S111" s="197" t="s">
        <v>915</v>
      </c>
      <c r="T111" s="197"/>
      <c r="U111" s="197"/>
      <c r="V111" s="197"/>
      <c r="W111" s="197"/>
      <c r="X111" s="197"/>
      <c r="Y111" s="197"/>
      <c r="Z111" s="197" t="str">
        <f t="shared" si="4"/>
        <v>Frank 'n' Stein</v>
      </c>
      <c r="AA111" s="197"/>
      <c r="AB111" s="197"/>
      <c r="AC111" s="197"/>
      <c r="AD111" s="197"/>
      <c r="AE111" s="197"/>
      <c r="AF111" s="197"/>
      <c r="AG111" s="197"/>
      <c r="AH111" s="197"/>
    </row>
    <row r="112" spans="2:34" ht="12.75" customHeight="1" x14ac:dyDescent="0.2">
      <c r="B112" s="8" t="str">
        <f>MID($B$91,61,3)</f>
        <v>ABN</v>
      </c>
      <c r="C112" s="197" t="str">
        <f t="shared" si="5"/>
        <v>Ivar Eriksson</v>
      </c>
      <c r="D112" s="197"/>
      <c r="E112" s="197" t="str">
        <f t="shared" si="6"/>
        <v/>
      </c>
      <c r="F112" s="197" t="str">
        <f t="shared" si="6"/>
        <v/>
      </c>
      <c r="G112" s="197" t="str">
        <f t="shared" si="6"/>
        <v/>
      </c>
      <c r="H112" s="197" t="str">
        <f t="shared" si="6"/>
        <v/>
      </c>
      <c r="I112" s="197" t="str">
        <f t="shared" si="6"/>
        <v/>
      </c>
      <c r="J112" s="197" t="str">
        <f t="shared" si="6"/>
        <v/>
      </c>
      <c r="K112" s="197" t="str">
        <f t="shared" si="6"/>
        <v/>
      </c>
      <c r="L112" s="197" t="str">
        <f t="shared" si="6"/>
        <v/>
      </c>
      <c r="M112" s="197" t="str">
        <f t="shared" si="6"/>
        <v/>
      </c>
      <c r="N112" s="197" t="s">
        <v>922</v>
      </c>
      <c r="O112" s="197" t="s">
        <v>1015</v>
      </c>
      <c r="P112" s="197" t="str">
        <f t="shared" si="6"/>
        <v/>
      </c>
      <c r="Q112" s="197" t="str">
        <f t="shared" si="6"/>
        <v/>
      </c>
      <c r="R112" s="197" t="str">
        <f t="shared" si="6"/>
        <v/>
      </c>
      <c r="S112" s="197" t="s">
        <v>1111</v>
      </c>
      <c r="T112" s="197"/>
      <c r="U112" s="197"/>
      <c r="V112" s="197"/>
      <c r="W112" s="197"/>
      <c r="X112" s="197"/>
      <c r="Y112" s="197"/>
      <c r="Z112" s="197" t="s">
        <v>1194</v>
      </c>
      <c r="AA112" s="197"/>
      <c r="AB112" s="197"/>
      <c r="AC112" s="197"/>
      <c r="AD112" s="197"/>
      <c r="AE112" s="197"/>
      <c r="AF112" s="197"/>
      <c r="AG112" s="197"/>
      <c r="AH112" s="197"/>
    </row>
    <row r="113" spans="2:34" ht="12.75" customHeight="1" x14ac:dyDescent="0.2">
      <c r="B113" s="8" t="str">
        <f>MID($B$91,64,3)</f>
        <v>ACA</v>
      </c>
      <c r="C113" s="197" t="str">
        <f t="shared" si="5"/>
        <v>Ripper Bolgrot</v>
      </c>
      <c r="D113" s="197"/>
      <c r="E113" s="197"/>
      <c r="F113" s="197"/>
      <c r="G113" s="197"/>
      <c r="H113" s="197"/>
      <c r="I113" s="197"/>
      <c r="J113" s="197"/>
      <c r="K113" s="197"/>
      <c r="L113" s="197"/>
      <c r="M113" s="197"/>
      <c r="N113" s="197" t="s">
        <v>933</v>
      </c>
      <c r="O113" s="197" t="s">
        <v>933</v>
      </c>
      <c r="P113" s="197"/>
      <c r="Q113" s="197"/>
      <c r="R113" s="197" t="str">
        <f>""</f>
        <v/>
      </c>
      <c r="S113" s="197" t="s">
        <v>922</v>
      </c>
      <c r="T113" s="197"/>
      <c r="U113" s="197"/>
      <c r="V113" s="197"/>
      <c r="W113" s="197"/>
      <c r="X113" s="197"/>
      <c r="Y113" s="197"/>
      <c r="Z113" s="197"/>
      <c r="AA113" s="197"/>
      <c r="AB113" s="197"/>
      <c r="AC113" s="197"/>
      <c r="AD113" s="197"/>
      <c r="AE113" s="197"/>
      <c r="AF113" s="197"/>
      <c r="AG113" s="197"/>
      <c r="AH113" s="197"/>
    </row>
    <row r="114" spans="2:34" ht="12.75" customHeight="1" x14ac:dyDescent="0.2">
      <c r="B114" s="8" t="str">
        <f>MID($B$91,67,3)</f>
        <v>ABO</v>
      </c>
      <c r="C114" s="197" t="str">
        <f t="shared" si="5"/>
        <v>Skrorg Snowpelt</v>
      </c>
      <c r="D114" s="197"/>
      <c r="E114" s="197"/>
      <c r="F114" s="197"/>
      <c r="G114" s="197"/>
      <c r="H114" s="197"/>
      <c r="I114" s="197"/>
      <c r="J114" s="197"/>
      <c r="K114" s="197"/>
      <c r="L114" s="197"/>
      <c r="M114" s="197"/>
      <c r="N114" s="197"/>
      <c r="O114" s="197"/>
      <c r="P114" s="197"/>
      <c r="Q114" s="197"/>
      <c r="R114" s="197"/>
      <c r="S114" s="197" t="s">
        <v>933</v>
      </c>
      <c r="T114" s="197"/>
      <c r="U114" s="197"/>
      <c r="V114" s="197"/>
      <c r="W114" s="197"/>
      <c r="X114" s="197"/>
      <c r="Y114" s="197"/>
      <c r="Z114" s="197"/>
      <c r="AA114" s="197"/>
      <c r="AB114" s="197"/>
      <c r="AC114" s="197"/>
      <c r="AD114" s="197"/>
      <c r="AE114" s="197"/>
      <c r="AF114" s="197"/>
      <c r="AG114" s="197"/>
      <c r="AH114" s="197"/>
    </row>
    <row r="115" spans="2:34" ht="12.75" customHeight="1" x14ac:dyDescent="0.2">
      <c r="B115" s="8" t="str">
        <f>MID($B$91,70,3)</f>
        <v>AAD</v>
      </c>
      <c r="C115" s="197" t="str">
        <f t="shared" si="5"/>
        <v>Grak</v>
      </c>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197"/>
      <c r="AF115" s="197"/>
      <c r="AG115" s="197"/>
      <c r="AH115" s="197"/>
    </row>
    <row r="116" spans="2:34" ht="12.75" customHeight="1" x14ac:dyDescent="0.2">
      <c r="B116" s="8" t="str">
        <f>MID($B$91,73,3)</f>
        <v>AAE</v>
      </c>
      <c r="C116" s="197" t="str">
        <f t="shared" si="5"/>
        <v>Crumbleberry</v>
      </c>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c r="AE116" s="197"/>
      <c r="AF116" s="197"/>
      <c r="AG116" s="197"/>
      <c r="AH116" s="197"/>
    </row>
    <row r="117" spans="2:34" ht="12.75" customHeight="1" x14ac:dyDescent="0.2">
      <c r="B117" s="8" t="str">
        <f>MID($B$91,76,3)</f>
        <v>AAN</v>
      </c>
      <c r="C117" s="197" t="str">
        <f t="shared" si="5"/>
        <v>Deeproot Strongbranch</v>
      </c>
      <c r="D117" s="197"/>
      <c r="E117" s="197"/>
      <c r="F117" s="197"/>
      <c r="G117" s="197"/>
      <c r="H117" s="197"/>
      <c r="I117" s="197"/>
      <c r="J117" s="197"/>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row>
    <row r="118" spans="2:34" ht="12.75" customHeight="1" x14ac:dyDescent="0.2">
      <c r="B118" s="197" t="str">
        <f>MID($B$91,79,3)</f>
        <v>AAO</v>
      </c>
      <c r="C118" s="197" t="str">
        <f t="shared" si="5"/>
        <v>Griff Oberwald</v>
      </c>
      <c r="D118" s="14"/>
      <c r="E118" s="14"/>
      <c r="F118" s="14"/>
      <c r="G118" s="14"/>
      <c r="H118" s="14"/>
      <c r="I118" s="14"/>
      <c r="J118" s="14"/>
      <c r="K118" s="14"/>
      <c r="L118" s="14"/>
    </row>
    <row r="119" spans="2:34" ht="12.75" customHeight="1" x14ac:dyDescent="0.2">
      <c r="B119" s="197" t="str">
        <f>MID($B$91,82,3)</f>
        <v>AAF</v>
      </c>
      <c r="C119" s="197" t="str">
        <f t="shared" si="5"/>
        <v>Varag Ghoul-Chewer</v>
      </c>
      <c r="D119" s="14"/>
      <c r="E119" s="14"/>
      <c r="F119" s="14"/>
      <c r="G119" s="14"/>
      <c r="H119" s="14"/>
      <c r="I119" s="14"/>
      <c r="J119" s="14"/>
      <c r="K119" s="14"/>
      <c r="L119" s="14"/>
      <c r="U119" s="14"/>
    </row>
    <row r="120" spans="2:34" ht="12.75" customHeight="1" x14ac:dyDescent="0.2">
      <c r="B120" s="197" t="str">
        <f>MID($B$91,85,3)</f>
        <v>ACK</v>
      </c>
      <c r="C120" s="197" t="str">
        <f t="shared" si="5"/>
        <v>H'Thark the Unstoppable</v>
      </c>
      <c r="D120" s="215"/>
      <c r="E120" s="14"/>
      <c r="F120" s="14"/>
      <c r="G120" s="14"/>
      <c r="H120" s="14"/>
      <c r="I120" s="14"/>
      <c r="J120" s="14"/>
      <c r="K120" s="14"/>
      <c r="L120" s="14"/>
      <c r="U120" s="14"/>
    </row>
    <row r="121" spans="2:34" ht="12.75" customHeight="1" x14ac:dyDescent="0.2">
      <c r="B121" s="197" t="str">
        <f>MID($B$91,88,3)</f>
        <v>AAG</v>
      </c>
      <c r="C121" s="197" t="str">
        <f t="shared" si="5"/>
        <v>Morg 'n' Thorg</v>
      </c>
      <c r="D121" s="215"/>
      <c r="E121" s="14"/>
      <c r="F121" s="14"/>
      <c r="G121" s="14"/>
      <c r="H121" s="14"/>
      <c r="I121" s="14"/>
      <c r="J121" s="14"/>
      <c r="K121" s="14"/>
      <c r="L121" s="14"/>
      <c r="U121" s="14"/>
    </row>
    <row r="122" spans="2:34" ht="12.75" customHeight="1" x14ac:dyDescent="0.2">
      <c r="B122" s="8" t="str">
        <f>MID($B$91,91,3)</f>
        <v>BBB</v>
      </c>
      <c r="C122" s="197" t="str">
        <f t="shared" si="5"/>
        <v>Giant</v>
      </c>
      <c r="D122" s="9"/>
      <c r="E122" s="14"/>
      <c r="F122" s="14"/>
      <c r="G122" s="14"/>
      <c r="H122" s="14"/>
      <c r="I122" s="14"/>
      <c r="J122" s="14"/>
      <c r="K122" s="14"/>
      <c r="L122" s="14"/>
      <c r="U122" s="14"/>
    </row>
    <row r="123" spans="2:34" ht="12.75" customHeight="1" x14ac:dyDescent="0.2">
      <c r="B123" s="8" t="str">
        <f>MID($B$91,94,3)</f>
        <v>CCC</v>
      </c>
      <c r="C123" s="8" t="str">
        <f t="shared" si="5"/>
        <v/>
      </c>
      <c r="D123" s="9"/>
      <c r="E123" s="14"/>
      <c r="F123" s="14"/>
      <c r="G123" s="14"/>
      <c r="H123" s="14"/>
      <c r="I123" s="14"/>
      <c r="J123" s="14"/>
      <c r="K123" s="14"/>
      <c r="L123" s="14"/>
      <c r="U123" s="14"/>
    </row>
    <row r="124" spans="2:34" ht="12.75" customHeight="1" x14ac:dyDescent="0.2">
      <c r="B124" s="8" t="str">
        <f>MID($B$91,97,3)</f>
        <v>DDD</v>
      </c>
      <c r="C124" s="8" t="str">
        <f t="shared" si="5"/>
        <v/>
      </c>
      <c r="D124" s="14"/>
      <c r="E124" s="14"/>
      <c r="F124" s="14"/>
      <c r="G124" s="14"/>
      <c r="H124" s="14"/>
      <c r="I124" s="14"/>
      <c r="J124" s="14"/>
      <c r="K124" s="14"/>
      <c r="L124" s="14"/>
      <c r="U124" s="14"/>
    </row>
    <row r="125" spans="2:34" ht="12.75" customHeight="1" x14ac:dyDescent="0.2">
      <c r="B125" s="8" t="str">
        <f>MID($B$91,100,3)</f>
        <v>EEE</v>
      </c>
      <c r="C125" s="8" t="str">
        <f t="shared" si="5"/>
        <v/>
      </c>
      <c r="D125" s="14"/>
      <c r="E125" s="14"/>
      <c r="F125" s="14"/>
      <c r="G125" s="14"/>
      <c r="H125" s="14"/>
      <c r="I125" s="14"/>
      <c r="J125" s="14"/>
      <c r="K125" s="14"/>
      <c r="L125" s="14"/>
      <c r="U125" s="14"/>
    </row>
    <row r="126" spans="2:34" ht="12.75" customHeight="1" x14ac:dyDescent="0.2">
      <c r="B126" s="8" t="str">
        <f>MID($B$91,103,3)</f>
        <v/>
      </c>
      <c r="C126" s="8" t="str">
        <f t="shared" si="5"/>
        <v xml:space="preserve"> </v>
      </c>
      <c r="D126" s="14"/>
      <c r="E126" s="14"/>
      <c r="F126" s="14"/>
      <c r="G126" s="14"/>
      <c r="H126" s="14"/>
      <c r="I126" s="14"/>
      <c r="J126" s="14"/>
      <c r="K126" s="14"/>
      <c r="L126" s="14"/>
      <c r="U126" s="14"/>
    </row>
    <row r="127" spans="2:34" ht="12.75" customHeight="1" x14ac:dyDescent="0.2">
      <c r="B127" s="8" t="str">
        <f>MID($B$91,106,3)</f>
        <v/>
      </c>
      <c r="C127" s="8" t="str">
        <f t="shared" si="5"/>
        <v xml:space="preserve"> </v>
      </c>
      <c r="D127" s="14"/>
      <c r="E127" s="14"/>
      <c r="F127" s="14"/>
      <c r="G127" s="14"/>
      <c r="H127" s="14"/>
      <c r="I127" s="14"/>
      <c r="J127" s="14"/>
      <c r="K127" s="14"/>
      <c r="L127" s="14"/>
      <c r="U127" s="14"/>
    </row>
    <row r="128" spans="2:34" ht="12.75" customHeight="1" x14ac:dyDescent="0.2">
      <c r="B128" s="8" t="str">
        <f>MID($B$91,109,3)</f>
        <v/>
      </c>
      <c r="C128" s="8" t="str">
        <f t="shared" si="5"/>
        <v xml:space="preserve"> </v>
      </c>
      <c r="D128" s="9"/>
      <c r="E128" s="14"/>
      <c r="F128" s="14"/>
      <c r="G128" s="14"/>
      <c r="H128" s="14"/>
      <c r="I128" s="14"/>
      <c r="J128" s="14"/>
      <c r="K128" s="14"/>
      <c r="L128" s="14"/>
    </row>
    <row r="129" spans="2:12" ht="12.75" customHeight="1" x14ac:dyDescent="0.2">
      <c r="B129" s="8" t="str">
        <f>MID($B$91,112,3)</f>
        <v/>
      </c>
      <c r="C129" s="8" t="str">
        <f t="shared" si="5"/>
        <v xml:space="preserve"> </v>
      </c>
      <c r="D129" s="9"/>
      <c r="E129" s="14"/>
      <c r="F129" s="14"/>
      <c r="G129" s="14"/>
      <c r="H129" s="14"/>
      <c r="I129" s="14"/>
      <c r="J129" s="14"/>
      <c r="K129" s="14"/>
      <c r="L129" s="14"/>
    </row>
    <row r="130" spans="2:12" ht="12.75" customHeight="1" x14ac:dyDescent="0.2">
      <c r="B130" s="8" t="s">
        <v>1194</v>
      </c>
      <c r="C130" s="8" t="str">
        <f t="shared" si="5"/>
        <v xml:space="preserve"> </v>
      </c>
      <c r="D130" s="9"/>
      <c r="E130" s="14"/>
      <c r="F130" s="14"/>
      <c r="G130" s="14"/>
      <c r="H130" s="14"/>
      <c r="I130" s="14"/>
      <c r="J130" s="14"/>
      <c r="K130" s="14"/>
      <c r="L130" s="14"/>
    </row>
    <row r="131" spans="2:12" ht="12.75" customHeight="1" x14ac:dyDescent="0.2">
      <c r="B131" s="8"/>
      <c r="C131" s="8"/>
      <c r="D131" s="14"/>
      <c r="E131" s="14"/>
      <c r="F131" s="14"/>
      <c r="G131" s="14"/>
      <c r="H131" s="14"/>
      <c r="I131" s="14"/>
      <c r="J131" s="14"/>
      <c r="K131" s="14"/>
      <c r="L131" s="14"/>
    </row>
    <row r="132" spans="2:12" ht="12.75" customHeight="1" x14ac:dyDescent="0.2">
      <c r="B132" s="8"/>
      <c r="C132" s="8"/>
      <c r="D132" s="9"/>
      <c r="E132" s="14"/>
      <c r="F132" s="14"/>
      <c r="G132" s="14"/>
      <c r="H132" s="14"/>
      <c r="I132" s="14"/>
      <c r="J132" s="14"/>
      <c r="K132" s="14"/>
      <c r="L132" s="14"/>
    </row>
    <row r="133" spans="2:12" ht="12.75" customHeight="1" x14ac:dyDescent="0.2">
      <c r="B133" s="8"/>
      <c r="C133" s="8"/>
      <c r="D133" s="9"/>
      <c r="E133" s="14"/>
      <c r="F133" s="14"/>
      <c r="G133" s="14"/>
      <c r="H133" s="14"/>
      <c r="I133" s="14"/>
      <c r="J133" s="14"/>
      <c r="K133" s="14"/>
      <c r="L133" s="14"/>
    </row>
    <row r="134" spans="2:12" ht="12.75" customHeight="1" x14ac:dyDescent="0.2">
      <c r="B134" s="8"/>
      <c r="C134" s="8"/>
      <c r="D134" s="9"/>
      <c r="E134" s="14"/>
      <c r="F134" s="14"/>
      <c r="G134" s="14"/>
      <c r="H134" s="14"/>
      <c r="I134" s="14"/>
      <c r="J134" s="14"/>
      <c r="K134" s="14"/>
      <c r="L134" s="14"/>
    </row>
    <row r="135" spans="2:12" ht="12.75" customHeight="1" x14ac:dyDescent="0.2">
      <c r="B135" s="8"/>
      <c r="C135" s="8"/>
      <c r="D135" s="14"/>
      <c r="E135" s="14"/>
      <c r="F135" s="14"/>
      <c r="G135" s="14"/>
      <c r="H135" s="14"/>
      <c r="I135" s="14"/>
      <c r="J135" s="14"/>
      <c r="K135" s="14"/>
      <c r="L135" s="14"/>
    </row>
    <row r="136" spans="2:12" ht="12.75" customHeight="1" x14ac:dyDescent="0.2">
      <c r="B136" s="8"/>
      <c r="C136" s="8"/>
      <c r="D136" s="14"/>
      <c r="E136" s="14"/>
      <c r="F136" s="14"/>
      <c r="G136" s="14"/>
      <c r="H136" s="14"/>
      <c r="I136" s="14"/>
      <c r="J136" s="14"/>
      <c r="K136" s="14"/>
      <c r="L136" s="14"/>
    </row>
    <row r="137" spans="2:12" ht="12.75" customHeight="1" x14ac:dyDescent="0.2">
      <c r="B137" s="8"/>
      <c r="C137" s="8"/>
      <c r="D137" s="14"/>
      <c r="E137" s="14"/>
      <c r="F137" s="14"/>
      <c r="G137" s="14"/>
      <c r="H137" s="14"/>
      <c r="I137" s="14"/>
      <c r="J137" s="14"/>
      <c r="K137" s="14"/>
      <c r="L137" s="14"/>
    </row>
    <row r="138" spans="2:12" ht="12.75" customHeight="1" x14ac:dyDescent="0.2">
      <c r="B138" s="8"/>
      <c r="C138" s="8"/>
      <c r="D138" s="9"/>
      <c r="E138" s="14"/>
      <c r="F138" s="14"/>
      <c r="G138" s="14"/>
      <c r="H138" s="14"/>
      <c r="I138" s="14"/>
      <c r="J138" s="14"/>
      <c r="K138" s="14"/>
      <c r="L138" s="14"/>
    </row>
    <row r="139" spans="2:12" ht="12.75" customHeight="1" x14ac:dyDescent="0.2">
      <c r="B139" s="8"/>
      <c r="C139" s="8"/>
      <c r="D139" s="9"/>
      <c r="E139" s="14"/>
      <c r="F139" s="14"/>
      <c r="G139" s="14"/>
      <c r="H139" s="14"/>
      <c r="I139" s="14"/>
      <c r="J139" s="14"/>
      <c r="K139" s="14"/>
      <c r="L139" s="14"/>
    </row>
    <row r="140" spans="2:12" ht="12.75" customHeight="1" x14ac:dyDescent="0.2">
      <c r="C140" s="9"/>
      <c r="D140" s="9"/>
      <c r="E140" s="14"/>
      <c r="F140" s="14"/>
      <c r="G140" s="14"/>
      <c r="H140" s="14"/>
      <c r="I140" s="14"/>
      <c r="J140" s="14"/>
      <c r="K140" s="14"/>
      <c r="L140" s="14"/>
    </row>
    <row r="141" spans="2:12" ht="12.75" customHeight="1" x14ac:dyDescent="0.2">
      <c r="B141" s="8"/>
      <c r="C141" s="9"/>
      <c r="D141" s="9"/>
      <c r="E141" s="14"/>
      <c r="F141" s="14"/>
      <c r="G141" s="14"/>
      <c r="H141" s="14"/>
      <c r="I141" s="14"/>
      <c r="J141" s="14"/>
      <c r="K141" s="14"/>
      <c r="L141" s="14"/>
    </row>
    <row r="142" spans="2:12" ht="12.75" customHeight="1" x14ac:dyDescent="0.2">
      <c r="B142" s="8"/>
      <c r="C142" s="14"/>
      <c r="D142" s="9"/>
      <c r="E142" s="14"/>
      <c r="F142" s="14"/>
      <c r="G142" s="14"/>
      <c r="H142" s="14"/>
      <c r="I142" s="14"/>
      <c r="J142" s="14"/>
      <c r="K142" s="14"/>
      <c r="L142" s="14"/>
    </row>
    <row r="143" spans="2:12" ht="12.75" customHeight="1" x14ac:dyDescent="0.2">
      <c r="B143" s="8"/>
      <c r="C143" s="14"/>
      <c r="D143" s="14"/>
      <c r="E143" s="14"/>
      <c r="F143" s="14"/>
      <c r="G143" s="14"/>
      <c r="H143" s="14"/>
      <c r="I143" s="14"/>
      <c r="J143" s="14"/>
      <c r="K143" s="14"/>
      <c r="L143" s="14"/>
    </row>
    <row r="144" spans="2:12" ht="12.75" customHeight="1" x14ac:dyDescent="0.2">
      <c r="B144" s="8"/>
      <c r="C144" s="9"/>
      <c r="D144" s="9"/>
      <c r="E144" s="14"/>
      <c r="F144" s="14"/>
      <c r="G144" s="14"/>
      <c r="H144" s="14"/>
      <c r="I144" s="14"/>
      <c r="J144" s="14"/>
      <c r="K144" s="14"/>
      <c r="L144" s="14"/>
    </row>
    <row r="145" spans="2:12" ht="12.75" customHeight="1" x14ac:dyDescent="0.2">
      <c r="B145" s="8"/>
      <c r="C145" s="9"/>
      <c r="D145" s="9"/>
      <c r="E145" s="14"/>
      <c r="F145" s="14"/>
      <c r="G145" s="14"/>
      <c r="H145" s="14"/>
      <c r="I145" s="14"/>
      <c r="J145" s="14"/>
      <c r="K145" s="14"/>
      <c r="L145" s="14"/>
    </row>
    <row r="146" spans="2:12" ht="12.75" customHeight="1" x14ac:dyDescent="0.2">
      <c r="B146" s="8"/>
      <c r="C146" s="14"/>
      <c r="D146" s="9"/>
      <c r="E146" s="14"/>
      <c r="F146" s="14"/>
      <c r="G146" s="14"/>
      <c r="H146" s="14"/>
      <c r="I146" s="14"/>
      <c r="J146" s="14"/>
      <c r="K146" s="14"/>
      <c r="L146" s="14"/>
    </row>
    <row r="147" spans="2:12" ht="12.75" customHeight="1" x14ac:dyDescent="0.2">
      <c r="B147" s="8"/>
      <c r="C147" s="9"/>
      <c r="D147" s="9"/>
      <c r="E147" s="14"/>
      <c r="F147" s="14"/>
      <c r="G147" s="14"/>
      <c r="H147" s="14"/>
      <c r="I147" s="14"/>
      <c r="J147" s="14"/>
      <c r="K147" s="14"/>
      <c r="L147" s="14"/>
    </row>
    <row r="148" spans="2:12" ht="12.75" customHeight="1" x14ac:dyDescent="0.2">
      <c r="B148" s="8"/>
      <c r="C148" s="9"/>
      <c r="D148" s="9"/>
      <c r="E148" s="14"/>
      <c r="F148" s="14"/>
      <c r="G148" s="14"/>
      <c r="H148" s="14"/>
      <c r="I148" s="14"/>
      <c r="J148" s="14"/>
      <c r="K148" s="14"/>
      <c r="L148" s="14"/>
    </row>
    <row r="149" spans="2:12" ht="12.75" customHeight="1" x14ac:dyDescent="0.2">
      <c r="B149" s="8"/>
      <c r="C149" s="9"/>
      <c r="D149" s="9"/>
      <c r="E149" s="14"/>
      <c r="F149" s="14"/>
      <c r="G149" s="14"/>
      <c r="H149" s="14"/>
      <c r="I149" s="14"/>
      <c r="J149" s="14"/>
      <c r="K149" s="14"/>
      <c r="L149" s="14"/>
    </row>
    <row r="150" spans="2:12" ht="12.75" customHeight="1" x14ac:dyDescent="0.2">
      <c r="B150" s="8"/>
      <c r="C150" s="14"/>
      <c r="D150" s="14"/>
      <c r="E150" s="14"/>
      <c r="F150" s="14"/>
      <c r="G150" s="14"/>
      <c r="H150" s="14"/>
      <c r="I150" s="14"/>
      <c r="J150" s="14"/>
      <c r="K150" s="14"/>
      <c r="L150" s="14"/>
    </row>
    <row r="151" spans="2:12" ht="12.75" customHeight="1" x14ac:dyDescent="0.2">
      <c r="B151" s="8"/>
      <c r="C151" s="14"/>
      <c r="D151" s="14"/>
      <c r="E151" s="14"/>
      <c r="F151" s="14"/>
      <c r="G151" s="14"/>
      <c r="H151" s="14"/>
      <c r="I151" s="14"/>
      <c r="J151" s="14"/>
      <c r="K151" s="14"/>
      <c r="L151" s="14"/>
    </row>
    <row r="152" spans="2:12" ht="12.75" customHeight="1" x14ac:dyDescent="0.2">
      <c r="B152" s="8"/>
      <c r="C152" s="14"/>
      <c r="D152" s="14"/>
      <c r="E152" s="14"/>
      <c r="F152" s="14"/>
      <c r="G152" s="14"/>
      <c r="H152" s="14"/>
      <c r="I152" s="14"/>
      <c r="J152" s="14"/>
      <c r="K152" s="14"/>
      <c r="L152" s="14"/>
    </row>
    <row r="153" spans="2:12" ht="12.75" customHeight="1" x14ac:dyDescent="0.2">
      <c r="B153" s="14"/>
      <c r="C153" s="9"/>
      <c r="D153" s="9"/>
      <c r="E153" s="14"/>
      <c r="F153" s="14"/>
      <c r="G153" s="14"/>
      <c r="H153" s="14"/>
      <c r="I153" s="14"/>
      <c r="J153" s="14"/>
      <c r="K153" s="14"/>
      <c r="L153" s="14"/>
    </row>
    <row r="154" spans="2:12" ht="12.75" customHeight="1" x14ac:dyDescent="0.2">
      <c r="B154" s="9"/>
      <c r="C154" s="9"/>
      <c r="D154" s="9"/>
      <c r="E154" s="14"/>
      <c r="F154" s="14"/>
      <c r="G154" s="14"/>
      <c r="H154" s="14"/>
      <c r="I154" s="14"/>
      <c r="J154" s="14"/>
      <c r="K154" s="14"/>
      <c r="L154" s="14"/>
    </row>
    <row r="155" spans="2:12" ht="12.75" customHeight="1" x14ac:dyDescent="0.2">
      <c r="B155" s="9"/>
      <c r="C155" s="9"/>
      <c r="D155" s="9"/>
      <c r="E155" s="14"/>
      <c r="F155" s="14"/>
      <c r="G155" s="14"/>
      <c r="H155" s="14"/>
      <c r="I155" s="14"/>
      <c r="J155" s="14"/>
      <c r="K155" s="14"/>
      <c r="L155" s="14"/>
    </row>
    <row r="156" spans="2:12" ht="12.75" customHeight="1" x14ac:dyDescent="0.2">
      <c r="B156" s="9"/>
      <c r="C156" s="9"/>
      <c r="D156" s="9"/>
      <c r="E156" s="14"/>
      <c r="F156" s="14"/>
      <c r="G156" s="14"/>
      <c r="H156" s="14"/>
      <c r="I156" s="14"/>
      <c r="J156" s="14"/>
      <c r="K156" s="14"/>
      <c r="L156" s="14"/>
    </row>
    <row r="157" spans="2:12" ht="12.75" customHeight="1" x14ac:dyDescent="0.2">
      <c r="B157" s="14"/>
      <c r="C157" s="14"/>
      <c r="D157" s="14"/>
      <c r="E157" s="14"/>
      <c r="F157" s="14"/>
      <c r="G157" s="14"/>
      <c r="H157" s="14"/>
      <c r="I157" s="14"/>
      <c r="J157" s="14"/>
      <c r="K157" s="14"/>
      <c r="L157" s="14"/>
    </row>
    <row r="158" spans="2:12" ht="12.75" customHeight="1" x14ac:dyDescent="0.2">
      <c r="B158" s="14"/>
      <c r="C158" s="14"/>
      <c r="D158" s="9"/>
      <c r="E158" s="14"/>
      <c r="F158" s="14"/>
      <c r="G158" s="14"/>
      <c r="H158" s="14"/>
      <c r="I158" s="14"/>
      <c r="J158" s="14"/>
      <c r="K158" s="14"/>
      <c r="L158" s="14"/>
    </row>
    <row r="159" spans="2:12" ht="12.75" customHeight="1" x14ac:dyDescent="0.2">
      <c r="B159" s="14"/>
      <c r="C159" s="14"/>
      <c r="D159" s="14"/>
      <c r="E159" s="14"/>
      <c r="F159" s="14"/>
      <c r="G159" s="14"/>
      <c r="H159" s="14"/>
      <c r="I159" s="14"/>
      <c r="J159" s="14"/>
      <c r="K159" s="14"/>
      <c r="L159" s="14"/>
    </row>
    <row r="160" spans="2:12" ht="12.75" customHeight="1" x14ac:dyDescent="0.2">
      <c r="B160" s="9"/>
      <c r="C160" s="9"/>
      <c r="D160" s="9"/>
      <c r="E160" s="14"/>
      <c r="F160" s="14"/>
      <c r="G160" s="14"/>
      <c r="H160" s="14"/>
      <c r="I160" s="14"/>
      <c r="J160" s="14"/>
      <c r="K160" s="14"/>
      <c r="L160" s="14"/>
    </row>
    <row r="161" spans="2:12" ht="12.75" customHeight="1" x14ac:dyDescent="0.2">
      <c r="B161" s="9"/>
      <c r="C161" s="9"/>
      <c r="D161" s="9"/>
      <c r="E161" s="14"/>
      <c r="F161" s="14"/>
      <c r="G161" s="14"/>
      <c r="H161" s="14"/>
      <c r="I161" s="14"/>
      <c r="J161" s="14"/>
      <c r="K161" s="14"/>
      <c r="L161" s="14"/>
    </row>
    <row r="162" spans="2:12" ht="12.75" customHeight="1" x14ac:dyDescent="0.2">
      <c r="B162" s="9"/>
      <c r="C162" s="9"/>
      <c r="D162" s="9"/>
      <c r="E162" s="14"/>
      <c r="F162" s="14"/>
      <c r="G162" s="14"/>
      <c r="H162" s="14"/>
      <c r="I162" s="14"/>
      <c r="J162" s="14"/>
      <c r="K162" s="14"/>
      <c r="L162" s="14"/>
    </row>
    <row r="163" spans="2:12" ht="12.75" customHeight="1" x14ac:dyDescent="0.2">
      <c r="B163" s="14"/>
      <c r="C163" s="14"/>
      <c r="D163" s="9"/>
      <c r="E163" s="14"/>
      <c r="F163" s="14"/>
      <c r="G163" s="14"/>
      <c r="H163" s="14"/>
      <c r="I163" s="14"/>
      <c r="J163" s="14"/>
      <c r="K163" s="14"/>
      <c r="L163" s="14"/>
    </row>
    <row r="164" spans="2:12" ht="12.75" customHeight="1" x14ac:dyDescent="0.2">
      <c r="B164" s="9"/>
      <c r="C164" s="9"/>
      <c r="D164" s="9"/>
      <c r="E164" s="14"/>
      <c r="F164" s="14"/>
      <c r="G164" s="14"/>
      <c r="H164" s="14"/>
      <c r="I164" s="14"/>
      <c r="J164" s="14"/>
      <c r="K164" s="14"/>
      <c r="L164" s="14"/>
    </row>
    <row r="165" spans="2:12" ht="12.75" customHeight="1" x14ac:dyDescent="0.2">
      <c r="B165" s="9"/>
      <c r="C165" s="9"/>
      <c r="D165" s="9"/>
      <c r="E165" s="14"/>
      <c r="F165" s="14"/>
      <c r="G165" s="14"/>
      <c r="H165" s="14"/>
      <c r="I165" s="14"/>
      <c r="J165" s="14"/>
      <c r="K165" s="14"/>
      <c r="L165" s="14"/>
    </row>
    <row r="166" spans="2:12" ht="12.75" customHeight="1" x14ac:dyDescent="0.2">
      <c r="B166" s="14"/>
      <c r="C166" s="14"/>
      <c r="D166" s="14"/>
      <c r="E166" s="14"/>
      <c r="F166" s="14"/>
      <c r="G166" s="14"/>
      <c r="H166" s="14"/>
      <c r="I166" s="14"/>
      <c r="J166" s="14"/>
      <c r="K166" s="14"/>
      <c r="L166" s="14"/>
    </row>
    <row r="167" spans="2:12" ht="12.75" customHeight="1" x14ac:dyDescent="0.2">
      <c r="B167" s="14"/>
      <c r="C167" s="14"/>
      <c r="D167" s="14"/>
      <c r="E167" s="14"/>
      <c r="F167" s="14"/>
      <c r="G167" s="14"/>
      <c r="H167" s="14"/>
      <c r="I167" s="14"/>
      <c r="J167" s="14"/>
      <c r="K167" s="14"/>
      <c r="L167" s="14"/>
    </row>
    <row r="168" spans="2:12" ht="12.75" customHeight="1" x14ac:dyDescent="0.2">
      <c r="B168" s="14"/>
      <c r="C168" s="14"/>
      <c r="D168" s="14"/>
      <c r="E168" s="14"/>
      <c r="F168" s="14"/>
      <c r="G168" s="14"/>
      <c r="H168" s="14"/>
      <c r="I168" s="14"/>
      <c r="J168" s="14"/>
      <c r="K168" s="14"/>
      <c r="L168" s="14"/>
    </row>
    <row r="169" spans="2:12" ht="12.75" customHeight="1" x14ac:dyDescent="0.2">
      <c r="B169" s="9"/>
      <c r="C169" s="9"/>
      <c r="D169" s="9"/>
      <c r="E169" s="14"/>
      <c r="F169" s="14"/>
      <c r="G169" s="14"/>
      <c r="H169" s="14"/>
      <c r="I169" s="14"/>
      <c r="J169" s="14"/>
      <c r="K169" s="14"/>
      <c r="L169" s="14"/>
    </row>
    <row r="170" spans="2:12" ht="12.75" customHeight="1" x14ac:dyDescent="0.2">
      <c r="B170" s="9"/>
      <c r="C170" s="9"/>
      <c r="D170" s="9"/>
      <c r="E170" s="14"/>
      <c r="F170" s="14"/>
      <c r="G170" s="14"/>
      <c r="H170" s="14"/>
      <c r="I170" s="14"/>
      <c r="J170" s="14"/>
      <c r="K170" s="14"/>
      <c r="L170" s="14"/>
    </row>
    <row r="171" spans="2:12" ht="12.75" customHeight="1" x14ac:dyDescent="0.2">
      <c r="B171" s="9"/>
      <c r="C171" s="9"/>
      <c r="D171" s="9"/>
      <c r="E171" s="14"/>
      <c r="F171" s="14"/>
      <c r="G171" s="14"/>
      <c r="H171" s="14"/>
      <c r="I171" s="14"/>
      <c r="J171" s="14"/>
      <c r="K171" s="14"/>
      <c r="L171" s="14"/>
    </row>
    <row r="172" spans="2:12" ht="12.75" customHeight="1" x14ac:dyDescent="0.2">
      <c r="B172" s="9"/>
      <c r="C172" s="9"/>
      <c r="D172" s="9"/>
      <c r="E172" s="14"/>
      <c r="F172" s="14"/>
      <c r="G172" s="14"/>
      <c r="H172" s="14"/>
      <c r="I172" s="14"/>
      <c r="J172" s="14"/>
      <c r="K172" s="14"/>
      <c r="L172" s="14"/>
    </row>
    <row r="173" spans="2:12" ht="12.75" customHeight="1" x14ac:dyDescent="0.2">
      <c r="B173" s="14"/>
      <c r="C173" s="14"/>
      <c r="D173" s="9"/>
      <c r="E173" s="14"/>
      <c r="F173" s="14"/>
      <c r="G173" s="14"/>
      <c r="H173" s="14"/>
      <c r="I173" s="14"/>
      <c r="J173" s="14"/>
      <c r="K173" s="14"/>
      <c r="L173" s="14"/>
    </row>
    <row r="174" spans="2:12" ht="12.75" customHeight="1" x14ac:dyDescent="0.2">
      <c r="B174" s="9"/>
      <c r="C174" s="9"/>
      <c r="D174" s="9"/>
      <c r="E174" s="14"/>
      <c r="F174" s="14"/>
      <c r="G174" s="14"/>
      <c r="H174" s="14"/>
      <c r="I174" s="14"/>
      <c r="J174" s="14"/>
      <c r="K174" s="14"/>
      <c r="L174" s="14"/>
    </row>
    <row r="175" spans="2:12" ht="12.75" customHeight="1" x14ac:dyDescent="0.2">
      <c r="B175" s="9"/>
      <c r="C175" s="9"/>
      <c r="D175" s="9"/>
      <c r="E175" s="14"/>
      <c r="F175" s="14"/>
      <c r="G175" s="14"/>
      <c r="H175" s="14"/>
      <c r="I175" s="14"/>
      <c r="J175" s="14"/>
      <c r="K175" s="14"/>
      <c r="L175" s="14"/>
    </row>
    <row r="176" spans="2:12" ht="12.75" customHeight="1" x14ac:dyDescent="0.2">
      <c r="B176" s="9"/>
      <c r="C176" s="9"/>
      <c r="D176" s="9"/>
      <c r="E176" s="14"/>
      <c r="F176" s="14"/>
      <c r="G176" s="14"/>
      <c r="H176" s="14"/>
      <c r="I176" s="14"/>
      <c r="J176" s="14"/>
      <c r="K176" s="14"/>
      <c r="L176" s="14"/>
    </row>
    <row r="177" spans="2:12" ht="12.75" customHeight="1" x14ac:dyDescent="0.2">
      <c r="B177" s="14"/>
      <c r="C177" s="14"/>
      <c r="D177" s="9"/>
      <c r="E177" s="14"/>
      <c r="F177" s="14"/>
      <c r="G177" s="14"/>
      <c r="H177" s="14"/>
      <c r="I177" s="14"/>
      <c r="J177" s="14"/>
      <c r="K177" s="14"/>
      <c r="L177" s="14"/>
    </row>
    <row r="178" spans="2:12" ht="12.75" customHeight="1" x14ac:dyDescent="0.2">
      <c r="B178" s="9"/>
      <c r="C178" s="9"/>
      <c r="D178" s="9"/>
      <c r="E178" s="14"/>
      <c r="F178" s="14"/>
      <c r="G178" s="14"/>
      <c r="H178" s="14"/>
      <c r="I178" s="14"/>
      <c r="J178" s="14"/>
      <c r="K178" s="14"/>
      <c r="L178" s="14"/>
    </row>
    <row r="179" spans="2:12" ht="12.75" customHeight="1" x14ac:dyDescent="0.2">
      <c r="B179" s="9"/>
      <c r="C179" s="9"/>
      <c r="D179" s="9"/>
      <c r="E179" s="14"/>
      <c r="F179" s="14"/>
      <c r="G179" s="14"/>
      <c r="H179" s="14"/>
      <c r="I179" s="14"/>
      <c r="J179" s="14"/>
      <c r="K179" s="14"/>
      <c r="L179" s="14"/>
    </row>
    <row r="180" spans="2:12" ht="12.75" customHeight="1" x14ac:dyDescent="0.2">
      <c r="B180" s="14"/>
      <c r="C180" s="14"/>
      <c r="D180" s="14"/>
      <c r="E180" s="14"/>
      <c r="F180" s="14"/>
      <c r="G180" s="14"/>
      <c r="H180" s="14"/>
      <c r="I180" s="14"/>
      <c r="J180" s="14"/>
      <c r="K180" s="14"/>
      <c r="L180" s="14"/>
    </row>
    <row r="181" spans="2:12" ht="12.75" customHeight="1" x14ac:dyDescent="0.2">
      <c r="B181" s="14"/>
      <c r="C181" s="14"/>
      <c r="D181" s="14"/>
      <c r="E181" s="14"/>
      <c r="F181" s="14"/>
      <c r="G181" s="14"/>
      <c r="H181" s="14"/>
      <c r="I181" s="14"/>
      <c r="J181" s="14"/>
      <c r="K181" s="14"/>
      <c r="L181" s="14"/>
    </row>
    <row r="182" spans="2:12" ht="12.75" customHeight="1" x14ac:dyDescent="0.2">
      <c r="B182" s="14"/>
      <c r="C182" s="14"/>
      <c r="D182" s="14"/>
      <c r="E182" s="14"/>
      <c r="F182" s="14"/>
      <c r="G182" s="14"/>
      <c r="H182" s="14"/>
      <c r="I182" s="14"/>
      <c r="J182" s="14"/>
      <c r="K182" s="14"/>
      <c r="L182" s="14"/>
    </row>
    <row r="183" spans="2:12" ht="12.75" customHeight="1" x14ac:dyDescent="0.2">
      <c r="B183" s="9"/>
      <c r="C183" s="14"/>
      <c r="D183" s="14"/>
      <c r="E183" s="14"/>
      <c r="F183" s="14"/>
      <c r="G183" s="14"/>
      <c r="H183" s="14"/>
      <c r="I183" s="14"/>
      <c r="J183" s="14"/>
      <c r="K183" s="14"/>
      <c r="L183" s="14"/>
    </row>
    <row r="184" spans="2:12" ht="12.75" customHeight="1" x14ac:dyDescent="0.2">
      <c r="B184" s="14"/>
      <c r="C184" s="14"/>
      <c r="D184" s="14"/>
      <c r="E184" s="14"/>
      <c r="F184" s="14"/>
      <c r="G184" s="14"/>
      <c r="H184" s="14"/>
      <c r="I184" s="14"/>
      <c r="J184" s="14"/>
      <c r="K184" s="14"/>
      <c r="L184" s="14"/>
    </row>
    <row r="185" spans="2:12" ht="12.75" customHeight="1" x14ac:dyDescent="0.2">
      <c r="B185" s="14"/>
      <c r="C185" s="14"/>
      <c r="D185" s="14"/>
      <c r="E185" s="14"/>
      <c r="F185" s="14"/>
      <c r="G185" s="14"/>
      <c r="H185" s="14"/>
      <c r="I185" s="14"/>
      <c r="J185" s="14"/>
      <c r="K185" s="14"/>
      <c r="L185" s="14"/>
    </row>
    <row r="186" spans="2:12" ht="12.75" customHeight="1" x14ac:dyDescent="0.2">
      <c r="B186" s="9"/>
      <c r="C186" s="9"/>
      <c r="D186" s="9"/>
      <c r="E186" s="14"/>
      <c r="F186" s="14"/>
      <c r="G186" s="14"/>
      <c r="H186" s="14"/>
      <c r="I186" s="14"/>
      <c r="J186" s="14"/>
      <c r="K186" s="14"/>
      <c r="L186" s="14"/>
    </row>
    <row r="187" spans="2:12" ht="12.75" customHeight="1" x14ac:dyDescent="0.2">
      <c r="B187" s="9"/>
      <c r="C187" s="9"/>
      <c r="D187" s="9"/>
      <c r="E187" s="14"/>
      <c r="F187" s="14"/>
      <c r="G187" s="14"/>
      <c r="H187" s="14"/>
      <c r="I187" s="14"/>
      <c r="J187" s="14"/>
      <c r="K187" s="14"/>
      <c r="L187" s="14"/>
    </row>
    <row r="188" spans="2:12" ht="12.75" customHeight="1" x14ac:dyDescent="0.2">
      <c r="B188" s="9"/>
      <c r="C188" s="9"/>
      <c r="D188" s="9"/>
      <c r="E188" s="14"/>
      <c r="F188" s="14"/>
      <c r="G188" s="14"/>
      <c r="H188" s="14"/>
      <c r="I188" s="14"/>
      <c r="J188" s="14"/>
      <c r="K188" s="14"/>
      <c r="L188" s="14"/>
    </row>
    <row r="189" spans="2:12" ht="12.75" customHeight="1" x14ac:dyDescent="0.2">
      <c r="B189" s="9"/>
      <c r="C189" s="9"/>
      <c r="D189" s="9"/>
      <c r="E189" s="14"/>
      <c r="F189" s="14"/>
      <c r="G189" s="14"/>
      <c r="H189" s="14"/>
      <c r="I189" s="14"/>
      <c r="J189" s="14"/>
      <c r="K189" s="14"/>
      <c r="L189" s="14"/>
    </row>
    <row r="190" spans="2:12" ht="12.75" customHeight="1" x14ac:dyDescent="0.2">
      <c r="B190" s="14"/>
      <c r="C190" s="14"/>
      <c r="D190" s="14"/>
      <c r="E190" s="14"/>
      <c r="F190" s="14"/>
      <c r="G190" s="14"/>
      <c r="H190" s="14"/>
      <c r="I190" s="14"/>
      <c r="J190" s="14"/>
      <c r="K190" s="14"/>
      <c r="L190" s="14"/>
    </row>
    <row r="191" spans="2:12" ht="12.75" customHeight="1" x14ac:dyDescent="0.2">
      <c r="B191" s="14"/>
      <c r="C191" s="14"/>
      <c r="D191" s="14"/>
      <c r="E191" s="14"/>
      <c r="F191" s="14"/>
      <c r="G191" s="14"/>
      <c r="H191" s="14"/>
      <c r="I191" s="14"/>
      <c r="J191" s="14"/>
      <c r="K191" s="14"/>
      <c r="L191" s="14"/>
    </row>
    <row r="192" spans="2:12" ht="12.75" customHeight="1" x14ac:dyDescent="0.2">
      <c r="B192" s="14"/>
      <c r="C192" s="14"/>
      <c r="D192" s="14"/>
      <c r="E192" s="14"/>
      <c r="F192" s="14"/>
      <c r="G192" s="14"/>
      <c r="H192" s="14"/>
      <c r="I192" s="14"/>
      <c r="J192" s="14"/>
      <c r="K192" s="14"/>
      <c r="L192" s="14"/>
    </row>
    <row r="193" spans="2:12" ht="12.75" customHeight="1" x14ac:dyDescent="0.2">
      <c r="B193" s="14"/>
      <c r="C193" s="14"/>
      <c r="D193" s="14"/>
      <c r="E193" s="14"/>
      <c r="F193" s="14"/>
      <c r="G193" s="14"/>
      <c r="H193" s="14"/>
      <c r="I193" s="14"/>
      <c r="J193" s="14"/>
      <c r="K193" s="14"/>
      <c r="L193" s="14"/>
    </row>
    <row r="194" spans="2:12" ht="12.75" customHeight="1" x14ac:dyDescent="0.2">
      <c r="B194" s="9"/>
      <c r="C194" s="9"/>
      <c r="D194" s="9"/>
      <c r="E194" s="14"/>
      <c r="F194" s="14"/>
      <c r="G194" s="14"/>
      <c r="H194" s="14"/>
      <c r="I194" s="14"/>
      <c r="J194" s="14"/>
      <c r="K194" s="14"/>
      <c r="L194" s="14"/>
    </row>
    <row r="195" spans="2:12" ht="12.75" customHeight="1" x14ac:dyDescent="0.2">
      <c r="B195" s="9"/>
      <c r="C195" s="9"/>
      <c r="D195" s="9"/>
      <c r="E195" s="14"/>
      <c r="F195" s="14"/>
      <c r="G195" s="14"/>
      <c r="H195" s="14"/>
      <c r="I195" s="14"/>
      <c r="J195" s="14"/>
      <c r="K195" s="14"/>
      <c r="L195" s="14"/>
    </row>
    <row r="196" spans="2:12" ht="12.75" customHeight="1" x14ac:dyDescent="0.2">
      <c r="B196" s="9"/>
      <c r="C196" s="9"/>
      <c r="D196" s="9"/>
      <c r="E196" s="14"/>
      <c r="F196" s="14"/>
      <c r="G196" s="14"/>
      <c r="H196" s="14"/>
      <c r="I196" s="14"/>
      <c r="J196" s="14"/>
      <c r="K196" s="14"/>
      <c r="L196" s="14"/>
    </row>
    <row r="197" spans="2:12" ht="12.75" customHeight="1" x14ac:dyDescent="0.2">
      <c r="B197" s="9"/>
      <c r="C197" s="9"/>
      <c r="D197" s="9"/>
      <c r="E197" s="14"/>
      <c r="F197" s="14"/>
      <c r="G197" s="14"/>
      <c r="H197" s="14"/>
      <c r="I197" s="14"/>
      <c r="J197" s="14"/>
      <c r="K197" s="14"/>
      <c r="L197" s="14"/>
    </row>
    <row r="198" spans="2:12" ht="12.75" customHeight="1" x14ac:dyDescent="0.2">
      <c r="B198" s="14"/>
      <c r="C198" s="14"/>
      <c r="D198" s="9"/>
      <c r="E198" s="14"/>
      <c r="F198" s="14"/>
      <c r="G198" s="14"/>
      <c r="H198" s="14"/>
      <c r="I198" s="14"/>
      <c r="J198" s="14"/>
      <c r="K198" s="14"/>
      <c r="L198" s="14"/>
    </row>
    <row r="199" spans="2:12" ht="12.75" customHeight="1" x14ac:dyDescent="0.2">
      <c r="B199" s="9"/>
      <c r="C199" s="9"/>
      <c r="D199" s="9"/>
      <c r="E199" s="14"/>
      <c r="F199" s="14"/>
      <c r="G199" s="14"/>
      <c r="H199" s="14"/>
      <c r="I199" s="14"/>
      <c r="J199" s="14"/>
      <c r="K199" s="14"/>
      <c r="L199" s="14"/>
    </row>
    <row r="200" spans="2:12" ht="12.75" customHeight="1" x14ac:dyDescent="0.2">
      <c r="B200" s="9"/>
      <c r="C200" s="9"/>
      <c r="D200" s="9"/>
      <c r="E200" s="14"/>
      <c r="F200" s="14"/>
      <c r="G200" s="14"/>
      <c r="H200" s="14"/>
      <c r="I200" s="14"/>
      <c r="J200" s="14"/>
      <c r="K200" s="14"/>
      <c r="L200" s="14"/>
    </row>
    <row r="201" spans="2:12" ht="12.75" customHeight="1" x14ac:dyDescent="0.2">
      <c r="B201" s="9"/>
      <c r="C201" s="9"/>
      <c r="D201" s="9"/>
      <c r="E201" s="14"/>
      <c r="F201" s="14"/>
      <c r="G201" s="14"/>
      <c r="H201" s="14"/>
      <c r="I201" s="14"/>
      <c r="J201" s="14"/>
      <c r="K201" s="14"/>
      <c r="L201" s="14"/>
    </row>
    <row r="202" spans="2:12" ht="12.75" customHeight="1" x14ac:dyDescent="0.2">
      <c r="B202" s="14"/>
      <c r="C202" s="14"/>
      <c r="D202" s="9"/>
      <c r="E202" s="14"/>
      <c r="F202" s="14"/>
      <c r="G202" s="14"/>
      <c r="H202" s="14"/>
      <c r="I202" s="14"/>
      <c r="J202" s="14"/>
      <c r="K202" s="14"/>
      <c r="L202" s="14"/>
    </row>
    <row r="203" spans="2:12" ht="12.75" customHeight="1" x14ac:dyDescent="0.2">
      <c r="B203" s="9"/>
      <c r="C203" s="9"/>
      <c r="D203" s="9"/>
      <c r="E203" s="14"/>
      <c r="F203" s="14"/>
      <c r="G203" s="14"/>
      <c r="H203" s="14"/>
      <c r="I203" s="14"/>
      <c r="J203" s="14"/>
      <c r="K203" s="14"/>
      <c r="L203" s="14"/>
    </row>
    <row r="204" spans="2:12" ht="12.75" customHeight="1" x14ac:dyDescent="0.2">
      <c r="B204" s="9"/>
      <c r="C204" s="9"/>
      <c r="D204" s="9"/>
      <c r="E204" s="14"/>
      <c r="F204" s="14"/>
      <c r="G204" s="14"/>
      <c r="H204" s="14"/>
      <c r="I204" s="14"/>
      <c r="J204" s="14"/>
      <c r="K204" s="14"/>
      <c r="L204" s="14"/>
    </row>
    <row r="205" spans="2:12" ht="12.75" customHeight="1" x14ac:dyDescent="0.2">
      <c r="B205" s="14"/>
      <c r="C205" s="14"/>
      <c r="D205" s="14"/>
      <c r="E205" s="14"/>
      <c r="F205" s="14"/>
      <c r="G205" s="14"/>
      <c r="H205" s="14"/>
      <c r="I205" s="14"/>
      <c r="J205" s="14"/>
      <c r="K205" s="14"/>
      <c r="L205" s="14"/>
    </row>
    <row r="206" spans="2:12" ht="12.75" customHeight="1" x14ac:dyDescent="0.2">
      <c r="B206" s="14"/>
      <c r="C206" s="14"/>
      <c r="D206" s="14"/>
      <c r="E206" s="14"/>
      <c r="F206" s="14"/>
      <c r="G206" s="14"/>
      <c r="H206" s="14"/>
      <c r="I206" s="14"/>
      <c r="J206" s="14"/>
      <c r="K206" s="14"/>
      <c r="L206" s="14"/>
    </row>
    <row r="207" spans="2:12" ht="12.75" customHeight="1" x14ac:dyDescent="0.2">
      <c r="B207" s="14"/>
      <c r="C207" s="14"/>
      <c r="D207" s="14"/>
      <c r="E207" s="14"/>
      <c r="F207" s="14"/>
      <c r="G207" s="14"/>
      <c r="H207" s="14"/>
      <c r="I207" s="14"/>
      <c r="J207" s="14"/>
      <c r="K207" s="14"/>
      <c r="L207" s="14"/>
    </row>
    <row r="208" spans="2:12" ht="12.75" customHeight="1" x14ac:dyDescent="0.2">
      <c r="B208" s="14"/>
      <c r="C208" s="14"/>
      <c r="D208" s="14"/>
      <c r="E208" s="14"/>
      <c r="F208" s="14"/>
      <c r="G208" s="14"/>
      <c r="H208" s="14"/>
      <c r="I208" s="14"/>
      <c r="J208" s="14"/>
      <c r="K208" s="14"/>
      <c r="L208" s="14"/>
    </row>
    <row r="209" spans="2:12" ht="12.75" customHeight="1" x14ac:dyDescent="0.2">
      <c r="B209" s="9"/>
      <c r="C209" s="9"/>
      <c r="D209" s="9"/>
      <c r="E209" s="14"/>
      <c r="F209" s="14"/>
      <c r="G209" s="14"/>
      <c r="H209" s="14"/>
      <c r="I209" s="14"/>
      <c r="J209" s="14"/>
      <c r="K209" s="14"/>
      <c r="L209" s="14"/>
    </row>
    <row r="210" spans="2:12" ht="12.75" customHeight="1" x14ac:dyDescent="0.2">
      <c r="B210" s="14"/>
      <c r="C210" s="14"/>
      <c r="D210" s="14"/>
      <c r="E210" s="14"/>
      <c r="F210" s="14"/>
      <c r="G210" s="14"/>
      <c r="H210" s="14"/>
      <c r="I210" s="14"/>
      <c r="J210" s="14"/>
      <c r="K210" s="14"/>
      <c r="L210" s="14"/>
    </row>
    <row r="211" spans="2:12" ht="12.75" customHeight="1" x14ac:dyDescent="0.2">
      <c r="B211" s="14"/>
      <c r="C211" s="14"/>
      <c r="D211" s="14"/>
      <c r="E211" s="14"/>
      <c r="F211" s="14"/>
      <c r="G211" s="14"/>
      <c r="H211" s="14"/>
      <c r="I211" s="14"/>
      <c r="J211" s="14"/>
      <c r="K211" s="14"/>
      <c r="L211" s="14"/>
    </row>
    <row r="212" spans="2:12" ht="12.75" customHeight="1" x14ac:dyDescent="0.2">
      <c r="B212" s="9"/>
      <c r="C212" s="9"/>
      <c r="D212" s="9"/>
      <c r="E212" s="14"/>
      <c r="F212" s="14"/>
      <c r="G212" s="14"/>
      <c r="H212" s="14"/>
      <c r="I212" s="14"/>
      <c r="J212" s="14"/>
      <c r="K212" s="14"/>
      <c r="L212" s="14"/>
    </row>
    <row r="213" spans="2:12" ht="12.75" customHeight="1" x14ac:dyDescent="0.2">
      <c r="B213" s="14"/>
      <c r="C213" s="14"/>
      <c r="D213" s="14"/>
      <c r="E213" s="14"/>
      <c r="F213" s="14"/>
      <c r="G213" s="14"/>
      <c r="H213" s="14"/>
      <c r="I213" s="14"/>
      <c r="J213" s="14"/>
      <c r="K213" s="14"/>
      <c r="L213" s="14"/>
    </row>
    <row r="214" spans="2:12" ht="12.75" customHeight="1" x14ac:dyDescent="0.2">
      <c r="B214" s="9"/>
      <c r="C214" s="9"/>
      <c r="D214" s="9"/>
      <c r="E214" s="14"/>
      <c r="F214" s="14"/>
      <c r="G214" s="14"/>
      <c r="H214" s="14"/>
      <c r="I214" s="14"/>
      <c r="J214" s="14"/>
      <c r="K214" s="14"/>
      <c r="L214" s="14"/>
    </row>
    <row r="215" spans="2:12" ht="12.75" customHeight="1" x14ac:dyDescent="0.2">
      <c r="B215" s="9"/>
      <c r="C215" s="9"/>
      <c r="D215" s="9"/>
      <c r="E215" s="14"/>
      <c r="F215" s="14"/>
      <c r="G215" s="14"/>
      <c r="H215" s="14"/>
      <c r="I215" s="14"/>
      <c r="J215" s="14"/>
      <c r="K215" s="14"/>
      <c r="L215" s="14"/>
    </row>
    <row r="216" spans="2:12" ht="12.75" customHeight="1" x14ac:dyDescent="0.2">
      <c r="B216" s="14"/>
      <c r="C216" s="14"/>
      <c r="D216" s="14"/>
      <c r="E216" s="14"/>
      <c r="F216" s="14"/>
      <c r="G216" s="14"/>
      <c r="H216" s="14"/>
      <c r="I216" s="14"/>
      <c r="J216" s="14"/>
      <c r="K216" s="14"/>
      <c r="L216" s="14"/>
    </row>
    <row r="217" spans="2:12" ht="12.75" customHeight="1" x14ac:dyDescent="0.2">
      <c r="B217" s="9"/>
      <c r="C217" s="9"/>
      <c r="D217" s="9"/>
      <c r="E217" s="14"/>
      <c r="F217" s="14"/>
      <c r="G217" s="14"/>
      <c r="H217" s="14"/>
      <c r="I217" s="14"/>
      <c r="J217" s="14"/>
      <c r="K217" s="14"/>
      <c r="L217" s="14"/>
    </row>
    <row r="218" spans="2:12" ht="12.75" customHeight="1" x14ac:dyDescent="0.2">
      <c r="B218" s="9"/>
      <c r="C218" s="9"/>
      <c r="D218" s="9"/>
      <c r="E218" s="14"/>
      <c r="F218" s="14"/>
      <c r="G218" s="14"/>
      <c r="H218" s="14"/>
      <c r="I218" s="14"/>
      <c r="J218" s="14"/>
      <c r="K218" s="14"/>
      <c r="L218" s="14"/>
    </row>
    <row r="219" spans="2:12" ht="12.75" customHeight="1" x14ac:dyDescent="0.2">
      <c r="B219" s="14"/>
      <c r="C219" s="14"/>
      <c r="D219" s="14"/>
      <c r="E219" s="14"/>
      <c r="F219" s="14"/>
      <c r="G219" s="14"/>
      <c r="H219" s="14"/>
      <c r="I219" s="14"/>
      <c r="J219" s="14"/>
      <c r="K219" s="14"/>
      <c r="L219" s="14"/>
    </row>
    <row r="220" spans="2:12" ht="12.75" customHeight="1" x14ac:dyDescent="0.2">
      <c r="B220" s="14"/>
      <c r="C220" s="14"/>
      <c r="D220" s="14"/>
      <c r="E220" s="14"/>
      <c r="F220" s="14"/>
      <c r="G220" s="14"/>
      <c r="H220" s="14"/>
      <c r="I220" s="14"/>
      <c r="J220" s="14"/>
      <c r="K220" s="14"/>
      <c r="L220" s="14"/>
    </row>
    <row r="221" spans="2:12" ht="12.75" customHeight="1" x14ac:dyDescent="0.2">
      <c r="B221" s="14"/>
      <c r="C221" s="14"/>
      <c r="D221" s="14"/>
      <c r="E221" s="14"/>
      <c r="F221" s="14"/>
      <c r="G221" s="14"/>
      <c r="H221" s="14"/>
      <c r="I221" s="14"/>
      <c r="J221" s="14"/>
      <c r="K221" s="14"/>
      <c r="L221" s="14"/>
    </row>
    <row r="222" spans="2:12" ht="12.75" customHeight="1" x14ac:dyDescent="0.2">
      <c r="B222" s="14"/>
      <c r="C222" s="14"/>
      <c r="D222" s="14"/>
      <c r="E222" s="14"/>
      <c r="F222" s="14"/>
      <c r="G222" s="14"/>
      <c r="H222" s="14"/>
      <c r="I222" s="14"/>
      <c r="J222" s="14"/>
      <c r="K222" s="14"/>
      <c r="L222" s="14"/>
    </row>
    <row r="223" spans="2:12" ht="12.75" customHeight="1" x14ac:dyDescent="0.2">
      <c r="B223" s="14"/>
      <c r="C223" s="14"/>
      <c r="D223" s="14"/>
      <c r="E223" s="14"/>
      <c r="F223" s="14"/>
      <c r="G223" s="14"/>
      <c r="H223" s="14"/>
      <c r="I223" s="14"/>
      <c r="J223" s="14"/>
      <c r="K223" s="14"/>
      <c r="L223" s="14"/>
    </row>
    <row r="224" spans="2:12" ht="12.75" customHeight="1" x14ac:dyDescent="0.2">
      <c r="B224" s="14"/>
      <c r="C224" s="14"/>
      <c r="D224" s="14"/>
      <c r="E224" s="14"/>
      <c r="F224" s="14"/>
      <c r="G224" s="14"/>
      <c r="H224" s="14"/>
      <c r="I224" s="14"/>
      <c r="J224" s="14"/>
      <c r="K224" s="14"/>
      <c r="L224" s="14"/>
    </row>
    <row r="225" spans="2:12" ht="12.75" customHeight="1" x14ac:dyDescent="0.2">
      <c r="B225" s="14"/>
      <c r="C225" s="14"/>
      <c r="D225" s="14"/>
      <c r="E225" s="14"/>
      <c r="F225" s="14"/>
      <c r="G225" s="14"/>
      <c r="H225" s="14"/>
      <c r="I225" s="14"/>
      <c r="J225" s="14"/>
      <c r="K225" s="14"/>
      <c r="L225" s="14"/>
    </row>
    <row r="226" spans="2:12" ht="12.75" customHeight="1" x14ac:dyDescent="0.2">
      <c r="B226" s="14"/>
      <c r="C226" s="14"/>
      <c r="D226" s="14"/>
      <c r="E226" s="14"/>
      <c r="F226" s="14"/>
      <c r="G226" s="14"/>
      <c r="H226" s="14"/>
      <c r="I226" s="14"/>
      <c r="J226" s="14"/>
      <c r="K226" s="14"/>
      <c r="L226" s="14"/>
    </row>
    <row r="227" spans="2:12" ht="12.75" customHeight="1" x14ac:dyDescent="0.2">
      <c r="B227" s="14"/>
      <c r="C227" s="14"/>
      <c r="D227" s="14"/>
      <c r="E227" s="14"/>
      <c r="F227" s="14"/>
      <c r="G227" s="14"/>
      <c r="H227" s="14"/>
      <c r="I227" s="14"/>
      <c r="J227" s="14"/>
      <c r="K227" s="14"/>
      <c r="L227" s="14"/>
    </row>
    <row r="228" spans="2:12" ht="12.75" customHeight="1" x14ac:dyDescent="0.2">
      <c r="B228" s="14"/>
      <c r="C228" s="14"/>
      <c r="D228" s="14"/>
      <c r="E228" s="14"/>
      <c r="F228" s="14"/>
      <c r="G228" s="14"/>
      <c r="H228" s="14"/>
      <c r="I228" s="14"/>
      <c r="J228" s="14"/>
      <c r="K228" s="14"/>
      <c r="L228" s="14"/>
    </row>
    <row r="229" spans="2:12" ht="12.75" customHeight="1" x14ac:dyDescent="0.2">
      <c r="B229" s="14"/>
      <c r="C229" s="14"/>
      <c r="D229" s="14"/>
      <c r="E229" s="14"/>
      <c r="F229" s="14"/>
      <c r="G229" s="14"/>
      <c r="H229" s="14"/>
      <c r="I229" s="14"/>
      <c r="J229" s="14"/>
      <c r="K229" s="14"/>
      <c r="L229" s="14"/>
    </row>
    <row r="230" spans="2:12" ht="12.75" customHeight="1" x14ac:dyDescent="0.2">
      <c r="B230" s="14"/>
      <c r="C230" s="14"/>
      <c r="D230" s="14"/>
      <c r="E230" s="14"/>
      <c r="F230" s="14"/>
      <c r="G230" s="14"/>
      <c r="H230" s="14"/>
      <c r="I230" s="14"/>
      <c r="J230" s="14"/>
      <c r="K230" s="14"/>
      <c r="L230" s="14"/>
    </row>
    <row r="231" spans="2:12" ht="12.75" customHeight="1" x14ac:dyDescent="0.2">
      <c r="B231" s="14"/>
      <c r="C231" s="14"/>
      <c r="D231" s="14"/>
      <c r="E231" s="14"/>
      <c r="F231" s="14"/>
      <c r="G231" s="14"/>
      <c r="H231" s="14"/>
      <c r="I231" s="14"/>
      <c r="J231" s="14"/>
      <c r="K231" s="14"/>
      <c r="L231" s="14"/>
    </row>
    <row r="232" spans="2:12" ht="12.75" customHeight="1" x14ac:dyDescent="0.2">
      <c r="B232" s="14"/>
      <c r="C232" s="14"/>
      <c r="D232" s="14"/>
      <c r="E232" s="14"/>
      <c r="F232" s="14"/>
      <c r="G232" s="14"/>
      <c r="H232" s="14"/>
      <c r="I232" s="14"/>
      <c r="J232" s="14"/>
      <c r="K232" s="14"/>
      <c r="L232" s="14"/>
    </row>
    <row r="233" spans="2:12" ht="12.75" customHeight="1" x14ac:dyDescent="0.2">
      <c r="B233" s="14"/>
      <c r="C233" s="14"/>
      <c r="D233" s="14"/>
      <c r="E233" s="14"/>
      <c r="F233" s="14"/>
      <c r="G233" s="14"/>
      <c r="H233" s="14"/>
      <c r="I233" s="14"/>
      <c r="J233" s="14"/>
      <c r="K233" s="14"/>
      <c r="L233" s="14"/>
    </row>
    <row r="234" spans="2:12" ht="12.75" customHeight="1" x14ac:dyDescent="0.2">
      <c r="B234" s="14"/>
      <c r="C234" s="14"/>
      <c r="D234" s="14"/>
      <c r="E234" s="14"/>
      <c r="F234" s="14"/>
      <c r="G234" s="14"/>
      <c r="H234" s="14"/>
      <c r="I234" s="14"/>
      <c r="J234" s="14"/>
      <c r="K234" s="14"/>
      <c r="L234" s="14"/>
    </row>
    <row r="235" spans="2:12" ht="12.75" customHeight="1" x14ac:dyDescent="0.2">
      <c r="B235" s="14"/>
      <c r="C235" s="14"/>
      <c r="D235" s="14"/>
      <c r="E235" s="14"/>
      <c r="F235" s="14"/>
      <c r="G235" s="14"/>
      <c r="H235" s="14"/>
      <c r="I235" s="14"/>
      <c r="J235" s="14"/>
      <c r="K235" s="14"/>
      <c r="L235" s="14"/>
    </row>
    <row r="236" spans="2:12" ht="12.75" customHeight="1" x14ac:dyDescent="0.2">
      <c r="B236" s="14"/>
      <c r="C236" s="14"/>
      <c r="D236" s="14"/>
      <c r="E236" s="14"/>
      <c r="F236" s="14"/>
      <c r="G236" s="14"/>
      <c r="H236" s="14"/>
      <c r="I236" s="14"/>
      <c r="J236" s="14"/>
      <c r="K236" s="14"/>
      <c r="L236" s="14"/>
    </row>
    <row r="237" spans="2:12" ht="12.75" customHeight="1" x14ac:dyDescent="0.2">
      <c r="B237" s="14"/>
      <c r="C237" s="14"/>
      <c r="D237" s="14"/>
      <c r="E237" s="14"/>
      <c r="F237" s="14"/>
      <c r="G237" s="14"/>
      <c r="H237" s="14"/>
      <c r="I237" s="14"/>
      <c r="J237" s="14"/>
      <c r="K237" s="14"/>
      <c r="L237" s="14"/>
    </row>
    <row r="238" spans="2:12" ht="12.75" customHeight="1" x14ac:dyDescent="0.2">
      <c r="B238" s="14"/>
      <c r="C238" s="14"/>
      <c r="D238" s="14"/>
      <c r="E238" s="14"/>
      <c r="F238" s="14"/>
      <c r="G238" s="14"/>
      <c r="H238" s="14"/>
      <c r="I238" s="14"/>
      <c r="J238" s="14"/>
      <c r="K238" s="14"/>
      <c r="L238" s="14"/>
    </row>
    <row r="239" spans="2:12" ht="12.75" customHeight="1" x14ac:dyDescent="0.2">
      <c r="B239" s="14"/>
      <c r="C239" s="14"/>
      <c r="D239" s="14"/>
      <c r="E239" s="14"/>
      <c r="F239" s="14"/>
      <c r="G239" s="14"/>
      <c r="H239" s="14"/>
      <c r="I239" s="14"/>
      <c r="J239" s="14"/>
      <c r="K239" s="14"/>
      <c r="L239" s="14"/>
    </row>
    <row r="240" spans="2:12" ht="12.75" customHeight="1" x14ac:dyDescent="0.2">
      <c r="B240" s="14"/>
      <c r="C240" s="14"/>
      <c r="D240" s="14"/>
      <c r="E240" s="14"/>
      <c r="F240" s="14"/>
      <c r="G240" s="14"/>
      <c r="H240" s="14"/>
      <c r="I240" s="14"/>
      <c r="J240" s="14"/>
      <c r="K240" s="14"/>
      <c r="L240" s="14"/>
    </row>
    <row r="241" spans="2:12" ht="12.75" customHeight="1" x14ac:dyDescent="0.2">
      <c r="B241" s="14"/>
      <c r="C241" s="14"/>
      <c r="D241" s="14"/>
      <c r="E241" s="14"/>
      <c r="F241" s="14"/>
      <c r="G241" s="14"/>
      <c r="H241" s="14"/>
      <c r="I241" s="14"/>
      <c r="J241" s="14"/>
      <c r="K241" s="14"/>
      <c r="L241" s="14"/>
    </row>
    <row r="242" spans="2:12" ht="12.75" customHeight="1" x14ac:dyDescent="0.2">
      <c r="B242" s="14"/>
      <c r="C242" s="14"/>
      <c r="D242" s="14"/>
      <c r="E242" s="14"/>
      <c r="F242" s="14"/>
      <c r="G242" s="14"/>
      <c r="H242" s="14"/>
      <c r="I242" s="14"/>
      <c r="J242" s="14"/>
      <c r="K242" s="14"/>
      <c r="L242" s="14"/>
    </row>
    <row r="243" spans="2:12" ht="12.75" customHeight="1" x14ac:dyDescent="0.2">
      <c r="B243" s="14"/>
      <c r="C243" s="14"/>
      <c r="D243" s="14"/>
      <c r="E243" s="14"/>
      <c r="F243" s="14"/>
      <c r="G243" s="14"/>
      <c r="H243" s="14"/>
      <c r="I243" s="14"/>
      <c r="J243" s="14"/>
      <c r="K243" s="14"/>
      <c r="L243" s="14"/>
    </row>
    <row r="244" spans="2:12" ht="12.75" customHeight="1" x14ac:dyDescent="0.2">
      <c r="B244" s="14"/>
      <c r="C244" s="14"/>
      <c r="D244" s="14"/>
      <c r="E244" s="14"/>
      <c r="F244" s="14"/>
      <c r="G244" s="14"/>
      <c r="H244" s="14"/>
      <c r="I244" s="14"/>
      <c r="J244" s="14"/>
      <c r="K244" s="14"/>
      <c r="L244" s="14"/>
    </row>
    <row r="245" spans="2:12" ht="12.75" customHeight="1" x14ac:dyDescent="0.2">
      <c r="B245" s="14"/>
      <c r="C245" s="14"/>
      <c r="D245" s="14"/>
      <c r="E245" s="14"/>
      <c r="F245" s="14"/>
      <c r="G245" s="14"/>
      <c r="H245" s="14"/>
      <c r="I245" s="14"/>
      <c r="J245" s="14"/>
      <c r="K245" s="14"/>
      <c r="L245" s="14"/>
    </row>
    <row r="246" spans="2:12" ht="12.75" customHeight="1" x14ac:dyDescent="0.2">
      <c r="B246" s="14"/>
      <c r="C246" s="14"/>
      <c r="D246" s="14"/>
      <c r="E246" s="14"/>
      <c r="F246" s="14"/>
      <c r="G246" s="14"/>
      <c r="H246" s="14"/>
      <c r="I246" s="14"/>
      <c r="J246" s="14"/>
      <c r="K246" s="14"/>
      <c r="L246" s="14"/>
    </row>
    <row r="247" spans="2:12" ht="12.75" customHeight="1" x14ac:dyDescent="0.2">
      <c r="B247" s="14"/>
      <c r="C247" s="14"/>
      <c r="D247" s="14"/>
      <c r="E247" s="14"/>
      <c r="F247" s="14"/>
      <c r="G247" s="14"/>
      <c r="H247" s="14"/>
      <c r="I247" s="14"/>
      <c r="J247" s="14"/>
      <c r="K247" s="14"/>
      <c r="L247" s="14"/>
    </row>
    <row r="248" spans="2:12" ht="12.75" customHeight="1" x14ac:dyDescent="0.2">
      <c r="B248" s="14"/>
      <c r="C248" s="14"/>
      <c r="D248" s="14"/>
      <c r="E248" s="14"/>
      <c r="F248" s="14"/>
      <c r="G248" s="14"/>
      <c r="H248" s="14"/>
      <c r="I248" s="14"/>
      <c r="J248" s="14"/>
      <c r="K248" s="14"/>
      <c r="L248" s="14"/>
    </row>
    <row r="249" spans="2:12" ht="12.75" customHeight="1" x14ac:dyDescent="0.2">
      <c r="B249" s="14"/>
      <c r="C249" s="14"/>
      <c r="D249" s="14"/>
      <c r="E249" s="14"/>
      <c r="F249" s="14"/>
      <c r="G249" s="14"/>
      <c r="H249" s="14"/>
      <c r="I249" s="14"/>
      <c r="J249" s="14"/>
      <c r="K249" s="14"/>
      <c r="L249" s="14"/>
    </row>
    <row r="250" spans="2:12" ht="12.75" customHeight="1" x14ac:dyDescent="0.2">
      <c r="B250" s="14"/>
      <c r="C250" s="14"/>
      <c r="D250" s="14"/>
      <c r="E250" s="14"/>
      <c r="F250" s="14"/>
      <c r="G250" s="14"/>
      <c r="H250" s="14"/>
      <c r="I250" s="14"/>
      <c r="J250" s="14"/>
      <c r="K250" s="14"/>
      <c r="L250" s="14"/>
    </row>
    <row r="251" spans="2:12" ht="12.75" customHeight="1" x14ac:dyDescent="0.2">
      <c r="B251" s="14"/>
      <c r="C251" s="14"/>
      <c r="D251" s="14"/>
      <c r="E251" s="14"/>
      <c r="F251" s="14"/>
      <c r="G251" s="14"/>
      <c r="H251" s="14"/>
      <c r="I251" s="14"/>
      <c r="J251" s="14"/>
      <c r="K251" s="14"/>
      <c r="L251" s="14"/>
    </row>
    <row r="252" spans="2:12" ht="12.75" customHeight="1" x14ac:dyDescent="0.2">
      <c r="B252" s="14"/>
      <c r="C252" s="14"/>
      <c r="D252" s="14"/>
      <c r="E252" s="14"/>
      <c r="F252" s="14"/>
      <c r="G252" s="14"/>
      <c r="H252" s="14"/>
      <c r="I252" s="14"/>
      <c r="J252" s="14"/>
      <c r="K252" s="14"/>
      <c r="L252" s="14"/>
    </row>
    <row r="253" spans="2:12" ht="12.75" customHeight="1" x14ac:dyDescent="0.2">
      <c r="B253" s="14"/>
      <c r="C253" s="14"/>
      <c r="D253" s="14"/>
      <c r="E253" s="14"/>
      <c r="F253" s="14"/>
      <c r="G253" s="14"/>
      <c r="H253" s="14"/>
      <c r="I253" s="14"/>
      <c r="J253" s="14"/>
      <c r="K253" s="14"/>
      <c r="L253" s="14"/>
    </row>
    <row r="254" spans="2:12" ht="12.75" customHeight="1" x14ac:dyDescent="0.2">
      <c r="B254" s="14"/>
      <c r="C254" s="14"/>
      <c r="D254" s="14"/>
      <c r="E254" s="14"/>
      <c r="F254" s="14"/>
      <c r="G254" s="14"/>
      <c r="H254" s="14"/>
      <c r="I254" s="14"/>
      <c r="J254" s="14"/>
      <c r="K254" s="14"/>
      <c r="L254" s="14"/>
    </row>
    <row r="255" spans="2:12" ht="12.75" customHeight="1" x14ac:dyDescent="0.2">
      <c r="B255" s="14"/>
      <c r="C255" s="14"/>
      <c r="D255" s="14"/>
      <c r="E255" s="14"/>
      <c r="F255" s="14"/>
      <c r="G255" s="14"/>
      <c r="H255" s="14"/>
      <c r="I255" s="14"/>
      <c r="J255" s="14"/>
      <c r="K255" s="14"/>
      <c r="L255" s="14"/>
    </row>
    <row r="256" spans="2:12" ht="12.75" customHeight="1" x14ac:dyDescent="0.2">
      <c r="B256" s="14"/>
      <c r="C256" s="14"/>
      <c r="D256" s="14"/>
      <c r="E256" s="14"/>
      <c r="F256" s="14"/>
      <c r="G256" s="14"/>
      <c r="H256" s="14"/>
      <c r="I256" s="14"/>
      <c r="J256" s="14"/>
      <c r="K256" s="14"/>
      <c r="L256" s="14"/>
    </row>
    <row r="257" spans="2:12" ht="12.75" customHeight="1" x14ac:dyDescent="0.2">
      <c r="B257" s="14"/>
      <c r="C257" s="14"/>
      <c r="D257" s="14"/>
      <c r="E257" s="14"/>
      <c r="F257" s="14"/>
      <c r="G257" s="14"/>
      <c r="H257" s="14"/>
      <c r="I257" s="14"/>
      <c r="J257" s="14"/>
      <c r="K257" s="14"/>
      <c r="L257" s="14"/>
    </row>
    <row r="258" spans="2:12" ht="12.75" customHeight="1" x14ac:dyDescent="0.2">
      <c r="B258" s="14"/>
      <c r="C258" s="14"/>
      <c r="D258" s="14"/>
      <c r="E258" s="14"/>
      <c r="F258" s="14"/>
      <c r="G258" s="14"/>
      <c r="H258" s="14"/>
      <c r="I258" s="14"/>
      <c r="J258" s="14"/>
      <c r="K258" s="14"/>
      <c r="L258" s="14"/>
    </row>
    <row r="259" spans="2:12" ht="12.75" customHeight="1" x14ac:dyDescent="0.2">
      <c r="B259" s="14"/>
      <c r="C259" s="14"/>
      <c r="D259" s="14"/>
      <c r="E259" s="14"/>
      <c r="F259" s="14"/>
      <c r="G259" s="14"/>
      <c r="H259" s="14"/>
      <c r="I259" s="14"/>
      <c r="J259" s="14"/>
      <c r="K259" s="14"/>
      <c r="L259" s="14"/>
    </row>
    <row r="260" spans="2:12" ht="12.75" customHeight="1" x14ac:dyDescent="0.2">
      <c r="B260" s="14"/>
      <c r="C260" s="14"/>
      <c r="D260" s="14"/>
      <c r="E260" s="14"/>
      <c r="F260" s="14"/>
      <c r="G260" s="14"/>
      <c r="H260" s="14"/>
      <c r="I260" s="14"/>
      <c r="J260" s="14"/>
      <c r="K260" s="14"/>
      <c r="L260" s="14"/>
    </row>
    <row r="261" spans="2:12" ht="12.75" customHeight="1" x14ac:dyDescent="0.2">
      <c r="B261" s="14"/>
      <c r="C261" s="14"/>
      <c r="D261" s="14"/>
      <c r="E261" s="14"/>
      <c r="F261" s="14"/>
      <c r="G261" s="14"/>
      <c r="H261" s="14"/>
      <c r="I261" s="14"/>
      <c r="J261" s="14"/>
      <c r="K261" s="14"/>
      <c r="L261" s="14"/>
    </row>
    <row r="262" spans="2:12" ht="12.75" customHeight="1" x14ac:dyDescent="0.2">
      <c r="B262" s="14"/>
      <c r="C262" s="14"/>
      <c r="D262" s="14"/>
      <c r="E262" s="14"/>
      <c r="F262" s="14"/>
      <c r="G262" s="14"/>
      <c r="H262" s="14"/>
      <c r="I262" s="14"/>
      <c r="J262" s="14"/>
      <c r="K262" s="14"/>
      <c r="L262" s="14"/>
    </row>
    <row r="263" spans="2:12" ht="12.75" customHeight="1" x14ac:dyDescent="0.2">
      <c r="B263" s="14"/>
      <c r="C263" s="14"/>
      <c r="D263" s="14"/>
      <c r="E263" s="14"/>
      <c r="F263" s="14"/>
      <c r="G263" s="14"/>
      <c r="H263" s="14"/>
      <c r="I263" s="14"/>
      <c r="J263" s="14"/>
      <c r="K263" s="14"/>
      <c r="L263" s="14"/>
    </row>
    <row r="264" spans="2:12" ht="12.75" customHeight="1" x14ac:dyDescent="0.2">
      <c r="B264" s="14"/>
      <c r="C264" s="14"/>
      <c r="D264" s="14"/>
      <c r="E264" s="14"/>
      <c r="F264" s="14"/>
      <c r="G264" s="14"/>
      <c r="H264" s="14"/>
      <c r="I264" s="14"/>
      <c r="J264" s="14"/>
      <c r="K264" s="14"/>
      <c r="L264" s="14"/>
    </row>
    <row r="265" spans="2:12" ht="12.75" customHeight="1" x14ac:dyDescent="0.2">
      <c r="B265" s="14"/>
      <c r="C265" s="14"/>
      <c r="D265" s="14"/>
      <c r="E265" s="14"/>
      <c r="F265" s="14"/>
      <c r="G265" s="14"/>
      <c r="H265" s="14"/>
      <c r="I265" s="14"/>
      <c r="J265" s="14"/>
      <c r="K265" s="14"/>
      <c r="L265" s="14"/>
    </row>
    <row r="266" spans="2:12" ht="12.75" customHeight="1" x14ac:dyDescent="0.2">
      <c r="B266" s="14"/>
      <c r="C266" s="14"/>
      <c r="D266" s="14"/>
      <c r="E266" s="14"/>
      <c r="F266" s="14"/>
      <c r="G266" s="14"/>
      <c r="H266" s="14"/>
      <c r="I266" s="14"/>
      <c r="J266" s="14"/>
      <c r="K266" s="14"/>
      <c r="L266" s="14"/>
    </row>
    <row r="267" spans="2:12" ht="12.75" customHeight="1" x14ac:dyDescent="0.2">
      <c r="B267" s="14"/>
      <c r="C267" s="14"/>
      <c r="D267" s="14"/>
      <c r="E267" s="14"/>
      <c r="F267" s="14"/>
      <c r="G267" s="14"/>
      <c r="H267" s="14"/>
      <c r="I267" s="14"/>
      <c r="J267" s="14"/>
      <c r="K267" s="14"/>
      <c r="L267" s="14"/>
    </row>
    <row r="268" spans="2:12" ht="12.75" customHeight="1" x14ac:dyDescent="0.2">
      <c r="B268" s="14"/>
      <c r="C268" s="14"/>
      <c r="D268" s="14"/>
      <c r="E268" s="14"/>
      <c r="F268" s="14"/>
      <c r="G268" s="14"/>
      <c r="H268" s="14"/>
      <c r="I268" s="14"/>
      <c r="J268" s="14"/>
      <c r="K268" s="14"/>
      <c r="L268" s="14"/>
    </row>
    <row r="269" spans="2:12" ht="12.75" customHeight="1" x14ac:dyDescent="0.2">
      <c r="B269" s="14"/>
      <c r="C269" s="14"/>
      <c r="D269" s="14"/>
      <c r="E269" s="14"/>
      <c r="F269" s="14"/>
      <c r="G269" s="14"/>
      <c r="H269" s="14"/>
      <c r="I269" s="14"/>
      <c r="J269" s="14"/>
      <c r="K269" s="14"/>
      <c r="L269" s="14"/>
    </row>
    <row r="270" spans="2:12" ht="12.75" customHeight="1" x14ac:dyDescent="0.2">
      <c r="B270" s="14"/>
      <c r="C270" s="14"/>
      <c r="D270" s="14"/>
      <c r="E270" s="14"/>
      <c r="F270" s="14"/>
      <c r="G270" s="14"/>
      <c r="H270" s="14"/>
      <c r="I270" s="14"/>
      <c r="J270" s="14"/>
      <c r="K270" s="14"/>
      <c r="L270" s="14"/>
    </row>
    <row r="271" spans="2:12" ht="12.75" customHeight="1" x14ac:dyDescent="0.2">
      <c r="B271" s="14"/>
      <c r="C271" s="14"/>
      <c r="D271" s="14"/>
      <c r="E271" s="14"/>
      <c r="F271" s="14"/>
      <c r="G271" s="14"/>
      <c r="H271" s="14"/>
      <c r="I271" s="14"/>
      <c r="J271" s="14"/>
      <c r="K271" s="14"/>
      <c r="L271" s="14"/>
    </row>
    <row r="272" spans="2:12" ht="12.75" customHeight="1" x14ac:dyDescent="0.2">
      <c r="B272" s="14"/>
      <c r="C272" s="14"/>
      <c r="D272" s="14"/>
      <c r="E272" s="14"/>
      <c r="F272" s="14"/>
      <c r="G272" s="14"/>
      <c r="H272" s="14"/>
      <c r="I272" s="14"/>
      <c r="J272" s="14"/>
      <c r="K272" s="14"/>
      <c r="L272" s="14"/>
    </row>
    <row r="273" spans="2:12" ht="12.75" customHeight="1" x14ac:dyDescent="0.2">
      <c r="B273" s="14"/>
      <c r="C273" s="14"/>
      <c r="D273" s="14"/>
      <c r="E273" s="14"/>
      <c r="F273" s="14"/>
      <c r="G273" s="14"/>
      <c r="H273" s="14"/>
      <c r="I273" s="14"/>
      <c r="J273" s="14"/>
      <c r="K273" s="14"/>
      <c r="L273" s="14"/>
    </row>
    <row r="274" spans="2:12" ht="12.75" customHeight="1" x14ac:dyDescent="0.2">
      <c r="B274" s="14"/>
      <c r="C274" s="14"/>
      <c r="D274" s="14"/>
      <c r="E274" s="14"/>
      <c r="F274" s="14"/>
      <c r="G274" s="14"/>
      <c r="H274" s="14"/>
      <c r="I274" s="14"/>
      <c r="J274" s="14"/>
      <c r="K274" s="14"/>
      <c r="L274" s="14"/>
    </row>
    <row r="275" spans="2:12" ht="12.75" customHeight="1" x14ac:dyDescent="0.2">
      <c r="B275" s="14"/>
      <c r="C275" s="14"/>
      <c r="D275" s="14"/>
      <c r="E275" s="14"/>
      <c r="F275" s="14"/>
      <c r="G275" s="14"/>
      <c r="H275" s="14"/>
      <c r="I275" s="14"/>
      <c r="J275" s="14"/>
      <c r="K275" s="14"/>
      <c r="L275" s="14"/>
    </row>
    <row r="276" spans="2:12" ht="12.75" customHeight="1" x14ac:dyDescent="0.2">
      <c r="B276" s="14"/>
      <c r="C276" s="14"/>
      <c r="D276" s="14"/>
      <c r="E276" s="14"/>
      <c r="F276" s="14"/>
      <c r="G276" s="14"/>
      <c r="H276" s="14"/>
      <c r="I276" s="14"/>
      <c r="J276" s="14"/>
      <c r="K276" s="14"/>
      <c r="L276" s="14"/>
    </row>
    <row r="277" spans="2:12" ht="12.75" customHeight="1" x14ac:dyDescent="0.2">
      <c r="B277" s="14"/>
      <c r="C277" s="14"/>
      <c r="D277" s="14"/>
      <c r="E277" s="14"/>
      <c r="F277" s="14"/>
      <c r="G277" s="14"/>
      <c r="H277" s="14"/>
      <c r="I277" s="14"/>
      <c r="J277" s="14"/>
      <c r="K277" s="14"/>
      <c r="L277" s="14"/>
    </row>
    <row r="278" spans="2:12" ht="12.75" customHeight="1" x14ac:dyDescent="0.2">
      <c r="B278" s="14"/>
      <c r="C278" s="14"/>
      <c r="D278" s="14"/>
      <c r="E278" s="14"/>
      <c r="F278" s="14"/>
      <c r="G278" s="14"/>
      <c r="H278" s="14"/>
      <c r="I278" s="14"/>
      <c r="J278" s="14"/>
      <c r="K278" s="14"/>
      <c r="L278" s="14"/>
    </row>
    <row r="279" spans="2:12" ht="12.75" customHeight="1" x14ac:dyDescent="0.2">
      <c r="B279" s="14"/>
      <c r="C279" s="14"/>
      <c r="D279" s="14"/>
      <c r="E279" s="14"/>
      <c r="F279" s="14"/>
      <c r="G279" s="14"/>
      <c r="H279" s="14"/>
      <c r="I279" s="14"/>
      <c r="J279" s="14"/>
      <c r="K279" s="14"/>
      <c r="L279" s="14"/>
    </row>
    <row r="280" spans="2:12" ht="12.75" customHeight="1" x14ac:dyDescent="0.2">
      <c r="B280" s="14"/>
      <c r="C280" s="14"/>
      <c r="D280" s="14"/>
      <c r="E280" s="14"/>
      <c r="F280" s="14"/>
      <c r="G280" s="14"/>
      <c r="H280" s="14"/>
      <c r="I280" s="14"/>
      <c r="J280" s="14"/>
      <c r="K280" s="14"/>
      <c r="L280" s="14"/>
    </row>
    <row r="281" spans="2:12" ht="12.75" customHeight="1" x14ac:dyDescent="0.2">
      <c r="B281" s="14"/>
      <c r="C281" s="14"/>
      <c r="D281" s="14"/>
      <c r="E281" s="14"/>
      <c r="F281" s="14"/>
      <c r="G281" s="14"/>
      <c r="H281" s="14"/>
      <c r="I281" s="14"/>
      <c r="J281" s="14"/>
      <c r="K281" s="14"/>
      <c r="L281" s="14"/>
    </row>
    <row r="282" spans="2:12" ht="12.75" customHeight="1" x14ac:dyDescent="0.2">
      <c r="B282" s="14"/>
      <c r="C282" s="14"/>
      <c r="D282" s="14"/>
      <c r="E282" s="14"/>
      <c r="F282" s="14"/>
      <c r="G282" s="14"/>
      <c r="H282" s="14"/>
      <c r="I282" s="14"/>
      <c r="J282" s="14"/>
      <c r="K282" s="14"/>
      <c r="L282" s="14"/>
    </row>
    <row r="283" spans="2:12" ht="12.75" customHeight="1" x14ac:dyDescent="0.2">
      <c r="B283" s="14"/>
      <c r="C283" s="14"/>
      <c r="D283" s="14"/>
      <c r="E283" s="14"/>
      <c r="F283" s="14"/>
      <c r="G283" s="14"/>
      <c r="H283" s="14"/>
      <c r="I283" s="14"/>
      <c r="J283" s="14"/>
      <c r="K283" s="14"/>
      <c r="L283" s="14"/>
    </row>
    <row r="284" spans="2:12" ht="12.75" customHeight="1" x14ac:dyDescent="0.2">
      <c r="B284" s="14"/>
      <c r="C284" s="14"/>
      <c r="D284" s="14"/>
      <c r="E284" s="14"/>
      <c r="F284" s="14"/>
      <c r="G284" s="14"/>
      <c r="H284" s="14"/>
      <c r="I284" s="14"/>
      <c r="J284" s="14"/>
      <c r="K284" s="14"/>
      <c r="L284" s="14"/>
    </row>
    <row r="285" spans="2:12" ht="12.75" customHeight="1" x14ac:dyDescent="0.2">
      <c r="B285" s="14"/>
      <c r="C285" s="14"/>
      <c r="D285" s="14"/>
      <c r="E285" s="14"/>
      <c r="F285" s="14"/>
      <c r="G285" s="14"/>
      <c r="H285" s="14"/>
      <c r="I285" s="14"/>
      <c r="J285" s="14"/>
      <c r="K285" s="14"/>
      <c r="L285" s="14"/>
    </row>
    <row r="286" spans="2:12" ht="12.75" customHeight="1" x14ac:dyDescent="0.2">
      <c r="B286" s="14"/>
      <c r="C286" s="14"/>
      <c r="D286" s="14"/>
      <c r="E286" s="14"/>
      <c r="F286" s="14"/>
      <c r="G286" s="14"/>
      <c r="H286" s="14"/>
      <c r="I286" s="14"/>
      <c r="J286" s="14"/>
      <c r="K286" s="14"/>
      <c r="L286" s="14"/>
    </row>
    <row r="287" spans="2:12" ht="12.75" customHeight="1" x14ac:dyDescent="0.2">
      <c r="B287" s="14"/>
      <c r="C287" s="14"/>
      <c r="D287" s="14"/>
      <c r="E287" s="14"/>
      <c r="F287" s="14"/>
      <c r="G287" s="14"/>
      <c r="H287" s="14"/>
      <c r="I287" s="14"/>
      <c r="J287" s="14"/>
      <c r="K287" s="14"/>
      <c r="L287" s="14"/>
    </row>
    <row r="288" spans="2:12" ht="12.75" customHeight="1" x14ac:dyDescent="0.2">
      <c r="B288" s="14"/>
      <c r="C288" s="14"/>
      <c r="D288" s="14"/>
      <c r="E288" s="14"/>
      <c r="F288" s="14"/>
      <c r="G288" s="14"/>
      <c r="H288" s="14"/>
      <c r="I288" s="14"/>
      <c r="J288" s="14"/>
      <c r="K288" s="14"/>
      <c r="L288" s="14"/>
    </row>
    <row r="289" spans="2:12" ht="12.75" customHeight="1" x14ac:dyDescent="0.2">
      <c r="B289" s="14"/>
      <c r="C289" s="14"/>
      <c r="D289" s="14"/>
      <c r="E289" s="14"/>
      <c r="F289" s="14"/>
      <c r="G289" s="14"/>
      <c r="H289" s="14"/>
      <c r="I289" s="14"/>
      <c r="J289" s="14"/>
      <c r="K289" s="14"/>
      <c r="L289" s="14"/>
    </row>
    <row r="290" spans="2:12" ht="12.75" customHeight="1" x14ac:dyDescent="0.2">
      <c r="B290" s="14"/>
      <c r="C290" s="14"/>
      <c r="D290" s="14"/>
      <c r="E290" s="14"/>
      <c r="F290" s="14"/>
      <c r="G290" s="14"/>
      <c r="H290" s="14"/>
      <c r="I290" s="14"/>
      <c r="J290" s="14"/>
      <c r="K290" s="14"/>
      <c r="L290" s="14"/>
    </row>
    <row r="291" spans="2:12" ht="12.75" customHeight="1" x14ac:dyDescent="0.2">
      <c r="B291" s="14"/>
      <c r="C291" s="14"/>
      <c r="D291" s="14"/>
      <c r="E291" s="14"/>
      <c r="F291" s="14"/>
      <c r="G291" s="14"/>
      <c r="H291" s="14"/>
      <c r="I291" s="14"/>
      <c r="J291" s="14"/>
      <c r="K291" s="14"/>
      <c r="L291" s="14"/>
    </row>
    <row r="292" spans="2:12" ht="12.75" customHeight="1" x14ac:dyDescent="0.2">
      <c r="B292" s="14"/>
      <c r="C292" s="14"/>
      <c r="D292" s="14"/>
      <c r="E292" s="14"/>
      <c r="F292" s="14"/>
      <c r="G292" s="14"/>
      <c r="H292" s="14"/>
      <c r="I292" s="14"/>
      <c r="J292" s="14"/>
      <c r="K292" s="14"/>
      <c r="L292" s="14"/>
    </row>
    <row r="293" spans="2:12" ht="12.75" customHeight="1" x14ac:dyDescent="0.2">
      <c r="B293" s="14"/>
      <c r="C293" s="14"/>
      <c r="D293" s="14"/>
      <c r="E293" s="14"/>
      <c r="F293" s="14"/>
      <c r="G293" s="14"/>
      <c r="H293" s="14"/>
      <c r="I293" s="14"/>
      <c r="J293" s="14"/>
      <c r="K293" s="14"/>
      <c r="L293" s="14"/>
    </row>
    <row r="294" spans="2:12" ht="12.75" customHeight="1" x14ac:dyDescent="0.2">
      <c r="B294" s="14"/>
      <c r="C294" s="14"/>
      <c r="D294" s="14"/>
      <c r="E294" s="14"/>
      <c r="F294" s="14"/>
      <c r="G294" s="14"/>
      <c r="H294" s="14"/>
      <c r="I294" s="14"/>
      <c r="J294" s="14"/>
      <c r="K294" s="14"/>
      <c r="L294" s="14"/>
    </row>
    <row r="295" spans="2:12" ht="12.75" customHeight="1" x14ac:dyDescent="0.2">
      <c r="B295" s="14"/>
      <c r="C295" s="14"/>
      <c r="D295" s="14"/>
      <c r="E295" s="14"/>
      <c r="F295" s="14"/>
      <c r="G295" s="14"/>
      <c r="H295" s="14"/>
      <c r="I295" s="14"/>
      <c r="J295" s="14"/>
      <c r="K295" s="14"/>
      <c r="L295" s="14"/>
    </row>
    <row r="296" spans="2:12" ht="12.75" customHeight="1" x14ac:dyDescent="0.2">
      <c r="B296" s="14"/>
      <c r="C296" s="14"/>
      <c r="D296" s="14"/>
      <c r="E296" s="14"/>
      <c r="F296" s="14"/>
      <c r="G296" s="14"/>
      <c r="H296" s="14"/>
      <c r="I296" s="14"/>
      <c r="J296" s="14"/>
      <c r="K296" s="14"/>
      <c r="L296" s="14"/>
    </row>
    <row r="297" spans="2:12" ht="12.75" customHeight="1" x14ac:dyDescent="0.2">
      <c r="B297" s="14"/>
      <c r="C297" s="14"/>
      <c r="D297" s="14"/>
      <c r="E297" s="14"/>
      <c r="F297" s="14"/>
      <c r="G297" s="14"/>
      <c r="H297" s="14"/>
      <c r="I297" s="14"/>
      <c r="J297" s="14"/>
      <c r="K297" s="14"/>
      <c r="L297" s="14"/>
    </row>
    <row r="298" spans="2:12" ht="12.75" customHeight="1" x14ac:dyDescent="0.2">
      <c r="B298" s="14"/>
      <c r="C298" s="14"/>
      <c r="D298" s="14"/>
      <c r="E298" s="14"/>
      <c r="F298" s="14"/>
      <c r="G298" s="14"/>
      <c r="H298" s="14"/>
      <c r="I298" s="14"/>
      <c r="J298" s="14"/>
      <c r="K298" s="14"/>
      <c r="L298" s="14"/>
    </row>
    <row r="299" spans="2:12" ht="12.75" customHeight="1" x14ac:dyDescent="0.2">
      <c r="B299" s="14"/>
      <c r="C299" s="14"/>
      <c r="D299" s="14"/>
      <c r="E299" s="14"/>
      <c r="F299" s="14"/>
      <c r="G299" s="14"/>
      <c r="H299" s="14"/>
      <c r="I299" s="14"/>
      <c r="J299" s="14"/>
      <c r="K299" s="14"/>
      <c r="L299" s="14"/>
    </row>
    <row r="300" spans="2:12" ht="12.75" customHeight="1" x14ac:dyDescent="0.2">
      <c r="B300" s="14"/>
      <c r="C300" s="14"/>
      <c r="D300" s="14"/>
      <c r="E300" s="14"/>
      <c r="F300" s="14"/>
      <c r="G300" s="14"/>
      <c r="H300" s="14"/>
      <c r="I300" s="14"/>
      <c r="J300" s="14"/>
      <c r="K300" s="14"/>
      <c r="L300" s="14"/>
    </row>
    <row r="301" spans="2:12" ht="12.75" customHeight="1" x14ac:dyDescent="0.2">
      <c r="B301" s="14"/>
      <c r="C301" s="14"/>
      <c r="D301" s="14"/>
      <c r="E301" s="14"/>
      <c r="F301" s="14"/>
      <c r="G301" s="14"/>
      <c r="H301" s="14"/>
      <c r="I301" s="14"/>
      <c r="J301" s="14"/>
      <c r="K301" s="14"/>
      <c r="L301" s="14"/>
    </row>
    <row r="302" spans="2:12" ht="12.75" customHeight="1" x14ac:dyDescent="0.2">
      <c r="B302" s="14"/>
      <c r="C302" s="14"/>
      <c r="D302" s="14"/>
      <c r="E302" s="14"/>
      <c r="F302" s="14"/>
      <c r="G302" s="14"/>
      <c r="H302" s="14"/>
      <c r="I302" s="14"/>
      <c r="J302" s="14"/>
      <c r="K302" s="14"/>
      <c r="L302" s="14"/>
    </row>
    <row r="303" spans="2:12" ht="12.75" customHeight="1" x14ac:dyDescent="0.2">
      <c r="B303" s="14"/>
      <c r="C303" s="14"/>
      <c r="D303" s="14"/>
      <c r="E303" s="14"/>
      <c r="F303" s="14"/>
      <c r="G303" s="14"/>
      <c r="H303" s="14"/>
      <c r="I303" s="14"/>
      <c r="J303" s="14"/>
      <c r="K303" s="14"/>
      <c r="L303" s="14"/>
    </row>
    <row r="304" spans="2:12" ht="12.75" customHeight="1" x14ac:dyDescent="0.2">
      <c r="B304" s="14"/>
      <c r="C304" s="14"/>
      <c r="D304" s="14"/>
      <c r="E304" s="14"/>
      <c r="F304" s="14"/>
      <c r="G304" s="14"/>
      <c r="H304" s="14"/>
      <c r="I304" s="14"/>
      <c r="J304" s="14"/>
      <c r="K304" s="14"/>
      <c r="L304" s="14"/>
    </row>
    <row r="305" spans="2:12" ht="12.75" customHeight="1" x14ac:dyDescent="0.2">
      <c r="B305" s="14"/>
      <c r="C305" s="14"/>
      <c r="D305" s="14"/>
      <c r="E305" s="14"/>
      <c r="F305" s="14"/>
      <c r="G305" s="14"/>
      <c r="H305" s="14"/>
      <c r="I305" s="14"/>
      <c r="J305" s="14"/>
      <c r="K305" s="14"/>
      <c r="L305" s="14"/>
    </row>
    <row r="306" spans="2:12" ht="12.75" customHeight="1" x14ac:dyDescent="0.2">
      <c r="B306" s="14"/>
      <c r="C306" s="14"/>
      <c r="D306" s="14"/>
      <c r="E306" s="14"/>
      <c r="F306" s="14"/>
      <c r="G306" s="14"/>
      <c r="H306" s="14"/>
      <c r="I306" s="14"/>
      <c r="J306" s="14"/>
      <c r="K306" s="14"/>
      <c r="L306" s="14"/>
    </row>
    <row r="307" spans="2:12" ht="12.75" customHeight="1" x14ac:dyDescent="0.2">
      <c r="B307" s="14"/>
      <c r="C307" s="14"/>
      <c r="D307" s="14"/>
      <c r="E307" s="14"/>
      <c r="F307" s="14"/>
      <c r="G307" s="14"/>
      <c r="H307" s="14"/>
      <c r="I307" s="14"/>
      <c r="J307" s="14"/>
      <c r="K307" s="14"/>
      <c r="L307" s="14"/>
    </row>
    <row r="308" spans="2:12" ht="12.75" customHeight="1" x14ac:dyDescent="0.2">
      <c r="B308" s="14"/>
      <c r="C308" s="14"/>
      <c r="D308" s="14"/>
      <c r="E308" s="14"/>
      <c r="F308" s="14"/>
      <c r="G308" s="14"/>
      <c r="H308" s="14"/>
      <c r="I308" s="14"/>
      <c r="J308" s="14"/>
      <c r="K308" s="14"/>
      <c r="L308" s="14"/>
    </row>
    <row r="309" spans="2:12" ht="12.75" customHeight="1" x14ac:dyDescent="0.2">
      <c r="B309" s="14"/>
      <c r="C309" s="14"/>
      <c r="D309" s="14"/>
      <c r="E309" s="14"/>
      <c r="F309" s="14"/>
      <c r="G309" s="14"/>
      <c r="H309" s="14"/>
      <c r="I309" s="14"/>
      <c r="J309" s="14"/>
      <c r="K309" s="14"/>
      <c r="L309" s="14"/>
    </row>
    <row r="310" spans="2:12" ht="12.75" customHeight="1" x14ac:dyDescent="0.2">
      <c r="B310" s="14"/>
      <c r="C310" s="14"/>
      <c r="D310" s="14"/>
      <c r="E310" s="14"/>
      <c r="F310" s="14"/>
      <c r="G310" s="14"/>
      <c r="H310" s="14"/>
      <c r="I310" s="14"/>
      <c r="J310" s="14"/>
      <c r="K310" s="14"/>
      <c r="L310" s="14"/>
    </row>
    <row r="311" spans="2:12" ht="12.75" customHeight="1" x14ac:dyDescent="0.2">
      <c r="B311" s="14"/>
      <c r="C311" s="14"/>
      <c r="D311" s="14"/>
      <c r="E311" s="14"/>
      <c r="F311" s="14"/>
      <c r="G311" s="14"/>
      <c r="H311" s="14"/>
      <c r="I311" s="14"/>
      <c r="J311" s="14"/>
      <c r="K311" s="14"/>
      <c r="L311" s="14"/>
    </row>
    <row r="312" spans="2:12" ht="12.75" customHeight="1" x14ac:dyDescent="0.2">
      <c r="B312" s="14"/>
      <c r="C312" s="14"/>
      <c r="D312" s="14"/>
      <c r="E312" s="14"/>
      <c r="F312" s="14"/>
      <c r="G312" s="14"/>
      <c r="H312" s="14"/>
      <c r="I312" s="14"/>
      <c r="J312" s="14"/>
      <c r="K312" s="14"/>
      <c r="L312" s="14"/>
    </row>
    <row r="313" spans="2:12" ht="12.75" customHeight="1" x14ac:dyDescent="0.2">
      <c r="B313" s="14"/>
      <c r="C313" s="14"/>
      <c r="D313" s="14"/>
      <c r="E313" s="14"/>
      <c r="F313" s="14"/>
      <c r="G313" s="14"/>
      <c r="H313" s="14"/>
      <c r="I313" s="14"/>
      <c r="J313" s="14"/>
      <c r="K313" s="14"/>
      <c r="L313" s="14"/>
    </row>
    <row r="314" spans="2:12" ht="12.75" customHeight="1" x14ac:dyDescent="0.2">
      <c r="B314" s="14"/>
      <c r="C314" s="14"/>
      <c r="D314" s="14"/>
      <c r="E314" s="14"/>
      <c r="F314" s="14"/>
      <c r="G314" s="14"/>
      <c r="H314" s="14"/>
      <c r="I314" s="14"/>
      <c r="J314" s="14"/>
      <c r="K314" s="14"/>
      <c r="L314" s="14"/>
    </row>
    <row r="315" spans="2:12" ht="12.75" customHeight="1" x14ac:dyDescent="0.2">
      <c r="B315" s="14"/>
      <c r="C315" s="14"/>
      <c r="D315" s="14"/>
      <c r="E315" s="14"/>
      <c r="F315" s="14"/>
      <c r="G315" s="14"/>
      <c r="H315" s="14"/>
      <c r="I315" s="14"/>
      <c r="J315" s="14"/>
      <c r="K315" s="14"/>
      <c r="L315" s="14"/>
    </row>
    <row r="316" spans="2:12" ht="12.75" customHeight="1" x14ac:dyDescent="0.2">
      <c r="B316" s="14"/>
      <c r="C316" s="14"/>
      <c r="D316" s="14"/>
      <c r="E316" s="14"/>
      <c r="F316" s="14"/>
      <c r="G316" s="14"/>
      <c r="H316" s="14"/>
      <c r="I316" s="14"/>
      <c r="J316" s="14"/>
      <c r="K316" s="14"/>
      <c r="L316" s="14"/>
    </row>
    <row r="317" spans="2:12" ht="12.75" customHeight="1" x14ac:dyDescent="0.2">
      <c r="B317" s="14"/>
      <c r="C317" s="14"/>
      <c r="D317" s="14"/>
      <c r="E317" s="14"/>
      <c r="F317" s="14"/>
      <c r="G317" s="14"/>
      <c r="H317" s="14"/>
      <c r="I317" s="14"/>
      <c r="J317" s="14"/>
      <c r="K317" s="14"/>
      <c r="L317" s="14"/>
    </row>
    <row r="318" spans="2:12" ht="12.75" customHeight="1" x14ac:dyDescent="0.2">
      <c r="B318" s="14"/>
      <c r="C318" s="14"/>
      <c r="D318" s="14"/>
      <c r="E318" s="14"/>
      <c r="F318" s="14"/>
      <c r="G318" s="14"/>
      <c r="H318" s="14"/>
      <c r="I318" s="14"/>
      <c r="J318" s="14"/>
      <c r="K318" s="14"/>
      <c r="L318" s="14"/>
    </row>
    <row r="319" spans="2:12" ht="12.75" customHeight="1" x14ac:dyDescent="0.2">
      <c r="B319" s="14"/>
      <c r="C319" s="14"/>
      <c r="D319" s="14"/>
      <c r="E319" s="14"/>
      <c r="F319" s="14"/>
      <c r="G319" s="14"/>
      <c r="H319" s="14"/>
      <c r="I319" s="14"/>
      <c r="J319" s="14"/>
      <c r="K319" s="14"/>
      <c r="L319" s="14"/>
    </row>
    <row r="320" spans="2:12" ht="12.75" customHeight="1" x14ac:dyDescent="0.2">
      <c r="B320" s="14"/>
      <c r="C320" s="14"/>
      <c r="D320" s="14"/>
      <c r="E320" s="14"/>
      <c r="F320" s="14"/>
      <c r="G320" s="14"/>
      <c r="H320" s="14"/>
      <c r="I320" s="14"/>
      <c r="J320" s="14"/>
      <c r="K320" s="14"/>
      <c r="L320" s="14"/>
    </row>
    <row r="321" spans="2:12" ht="12.75" customHeight="1" x14ac:dyDescent="0.2">
      <c r="B321" s="14"/>
      <c r="C321" s="14"/>
      <c r="D321" s="14"/>
      <c r="E321" s="14"/>
      <c r="F321" s="14"/>
      <c r="G321" s="14"/>
      <c r="H321" s="14"/>
      <c r="I321" s="14"/>
      <c r="J321" s="14"/>
      <c r="K321" s="14"/>
      <c r="L321" s="14"/>
    </row>
    <row r="322" spans="2:12" ht="12.75" customHeight="1" x14ac:dyDescent="0.2">
      <c r="B322" s="14"/>
      <c r="C322" s="14"/>
      <c r="D322" s="14"/>
      <c r="E322" s="14"/>
      <c r="F322" s="14"/>
      <c r="G322" s="14"/>
      <c r="H322" s="14"/>
      <c r="I322" s="14"/>
      <c r="J322" s="14"/>
      <c r="K322" s="14"/>
      <c r="L322" s="14"/>
    </row>
    <row r="323" spans="2:12" ht="12.75" customHeight="1" x14ac:dyDescent="0.2">
      <c r="B323" s="14"/>
      <c r="C323" s="14"/>
      <c r="D323" s="14"/>
      <c r="E323" s="14"/>
      <c r="F323" s="14"/>
      <c r="G323" s="14"/>
      <c r="H323" s="14"/>
      <c r="I323" s="14"/>
      <c r="J323" s="14"/>
      <c r="K323" s="14"/>
      <c r="L323" s="14"/>
    </row>
    <row r="324" spans="2:12" ht="12.75" customHeight="1" x14ac:dyDescent="0.2">
      <c r="B324" s="14"/>
      <c r="C324" s="14"/>
      <c r="D324" s="14"/>
      <c r="E324" s="14"/>
      <c r="F324" s="14"/>
      <c r="G324" s="14"/>
      <c r="H324" s="14"/>
      <c r="I324" s="14"/>
      <c r="J324" s="14"/>
      <c r="K324" s="14"/>
      <c r="L324" s="14"/>
    </row>
    <row r="325" spans="2:12" ht="12.75" customHeight="1" x14ac:dyDescent="0.2">
      <c r="B325" s="14"/>
      <c r="C325" s="14"/>
      <c r="D325" s="14"/>
      <c r="E325" s="14"/>
      <c r="F325" s="14"/>
      <c r="G325" s="14"/>
      <c r="H325" s="14"/>
      <c r="I325" s="14"/>
      <c r="J325" s="14"/>
      <c r="K325" s="14"/>
      <c r="L325" s="14"/>
    </row>
    <row r="326" spans="2:12" ht="12.75" customHeight="1" x14ac:dyDescent="0.2">
      <c r="B326" s="14"/>
      <c r="C326" s="14"/>
      <c r="D326" s="14"/>
      <c r="E326" s="14"/>
      <c r="F326" s="14"/>
      <c r="G326" s="14"/>
      <c r="H326" s="14"/>
      <c r="I326" s="14"/>
      <c r="J326" s="14"/>
      <c r="K326" s="14"/>
      <c r="L326" s="14"/>
    </row>
    <row r="327" spans="2:12" ht="12.75" customHeight="1" x14ac:dyDescent="0.2">
      <c r="B327" s="14"/>
      <c r="C327" s="14"/>
      <c r="D327" s="14"/>
      <c r="E327" s="14"/>
      <c r="F327" s="14"/>
      <c r="G327" s="14"/>
      <c r="H327" s="14"/>
      <c r="I327" s="14"/>
      <c r="J327" s="14"/>
      <c r="K327" s="14"/>
      <c r="L327" s="14"/>
    </row>
    <row r="328" spans="2:12" ht="12.75" customHeight="1" x14ac:dyDescent="0.2">
      <c r="B328" s="14"/>
      <c r="C328" s="14"/>
      <c r="D328" s="14"/>
      <c r="E328" s="14"/>
      <c r="F328" s="14"/>
      <c r="G328" s="14"/>
      <c r="H328" s="14"/>
      <c r="I328" s="14"/>
      <c r="J328" s="14"/>
      <c r="K328" s="14"/>
      <c r="L328" s="14"/>
    </row>
    <row r="329" spans="2:12" ht="12.75" customHeight="1" x14ac:dyDescent="0.2">
      <c r="B329" s="14"/>
      <c r="C329" s="14"/>
      <c r="D329" s="14"/>
      <c r="E329" s="14"/>
      <c r="F329" s="14"/>
      <c r="G329" s="14"/>
      <c r="H329" s="14"/>
      <c r="I329" s="14"/>
      <c r="J329" s="14"/>
      <c r="K329" s="14"/>
      <c r="L329" s="14"/>
    </row>
    <row r="330" spans="2:12" ht="12.75" customHeight="1" x14ac:dyDescent="0.2">
      <c r="B330" s="14"/>
      <c r="C330" s="14"/>
      <c r="D330" s="14"/>
      <c r="E330" s="14"/>
      <c r="F330" s="14"/>
      <c r="G330" s="14"/>
      <c r="H330" s="14"/>
      <c r="I330" s="14"/>
      <c r="J330" s="14"/>
      <c r="K330" s="14"/>
      <c r="L330" s="14"/>
    </row>
    <row r="331" spans="2:12" ht="12.75" customHeight="1" x14ac:dyDescent="0.2">
      <c r="B331" s="14"/>
      <c r="C331" s="14"/>
      <c r="D331" s="14"/>
      <c r="E331" s="14"/>
      <c r="F331" s="14"/>
      <c r="G331" s="14"/>
      <c r="H331" s="14"/>
      <c r="I331" s="14"/>
      <c r="J331" s="14"/>
      <c r="K331" s="14"/>
      <c r="L331" s="14"/>
    </row>
    <row r="332" spans="2:12" ht="12.75" customHeight="1" x14ac:dyDescent="0.2">
      <c r="B332" s="14"/>
      <c r="C332" s="14"/>
      <c r="D332" s="14"/>
      <c r="E332" s="14"/>
      <c r="F332" s="14"/>
      <c r="G332" s="14"/>
      <c r="H332" s="14"/>
      <c r="I332" s="14"/>
      <c r="J332" s="14"/>
      <c r="K332" s="14"/>
      <c r="L332" s="14"/>
    </row>
    <row r="333" spans="2:12" ht="12.75" customHeight="1" x14ac:dyDescent="0.2">
      <c r="B333" s="14"/>
      <c r="C333" s="14"/>
      <c r="D333" s="14"/>
      <c r="E333" s="14"/>
      <c r="F333" s="14"/>
      <c r="G333" s="14"/>
      <c r="H333" s="14"/>
      <c r="I333" s="14"/>
      <c r="J333" s="14"/>
      <c r="K333" s="14"/>
      <c r="L333" s="14"/>
    </row>
    <row r="334" spans="2:12" ht="12.75" customHeight="1" x14ac:dyDescent="0.2">
      <c r="B334" s="14"/>
      <c r="C334" s="14"/>
      <c r="D334" s="14"/>
      <c r="E334" s="14"/>
      <c r="F334" s="14"/>
      <c r="G334" s="14"/>
      <c r="H334" s="14"/>
      <c r="I334" s="14"/>
      <c r="J334" s="14"/>
      <c r="K334" s="14"/>
      <c r="L334" s="14"/>
    </row>
    <row r="335" spans="2:12" ht="12.75" customHeight="1" x14ac:dyDescent="0.2">
      <c r="B335" s="14"/>
      <c r="C335" s="14"/>
      <c r="D335" s="14"/>
      <c r="E335" s="14"/>
      <c r="F335" s="14"/>
      <c r="G335" s="14"/>
      <c r="H335" s="14"/>
      <c r="I335" s="14"/>
      <c r="J335" s="14"/>
      <c r="K335" s="14"/>
      <c r="L335" s="14"/>
    </row>
    <row r="336" spans="2:12" ht="12.75" customHeight="1" x14ac:dyDescent="0.2">
      <c r="B336" s="14"/>
      <c r="C336" s="14"/>
      <c r="D336" s="14"/>
      <c r="E336" s="14"/>
      <c r="F336" s="14"/>
      <c r="G336" s="14"/>
      <c r="H336" s="14"/>
      <c r="I336" s="14"/>
      <c r="J336" s="14"/>
      <c r="K336" s="14"/>
      <c r="L336" s="14"/>
    </row>
    <row r="337" spans="2:12" ht="12.75" customHeight="1" x14ac:dyDescent="0.2">
      <c r="B337" s="14"/>
      <c r="C337" s="14"/>
      <c r="D337" s="14"/>
      <c r="E337" s="14"/>
      <c r="F337" s="14"/>
      <c r="G337" s="14"/>
      <c r="H337" s="14"/>
      <c r="I337" s="14"/>
      <c r="J337" s="14"/>
      <c r="K337" s="14"/>
      <c r="L337" s="14"/>
    </row>
    <row r="338" spans="2:12" ht="12.75" customHeight="1" x14ac:dyDescent="0.2">
      <c r="B338" s="14"/>
      <c r="C338" s="14"/>
      <c r="D338" s="14"/>
      <c r="E338" s="14"/>
      <c r="F338" s="14"/>
      <c r="G338" s="14"/>
      <c r="H338" s="14"/>
      <c r="I338" s="14"/>
      <c r="J338" s="14"/>
      <c r="K338" s="14"/>
      <c r="L338" s="14"/>
    </row>
    <row r="339" spans="2:12" ht="12.75" customHeight="1" x14ac:dyDescent="0.2">
      <c r="B339" s="14"/>
      <c r="C339" s="14"/>
      <c r="D339" s="14"/>
      <c r="E339" s="14"/>
      <c r="F339" s="14"/>
      <c r="G339" s="14"/>
      <c r="H339" s="14"/>
      <c r="I339" s="14"/>
      <c r="J339" s="14"/>
      <c r="K339" s="14"/>
      <c r="L339" s="14"/>
    </row>
    <row r="340" spans="2:12" ht="12.75" customHeight="1" x14ac:dyDescent="0.2">
      <c r="B340" s="14"/>
      <c r="C340" s="14"/>
      <c r="D340" s="14"/>
      <c r="E340" s="14"/>
      <c r="F340" s="14"/>
      <c r="G340" s="14"/>
      <c r="H340" s="14"/>
      <c r="I340" s="14"/>
      <c r="J340" s="14"/>
      <c r="K340" s="14"/>
      <c r="L340" s="14"/>
    </row>
    <row r="341" spans="2:12" ht="12.75" customHeight="1" x14ac:dyDescent="0.2">
      <c r="B341" s="14"/>
      <c r="C341" s="14"/>
      <c r="D341" s="14"/>
      <c r="E341" s="14"/>
      <c r="F341" s="14"/>
      <c r="G341" s="14"/>
      <c r="H341" s="14"/>
      <c r="I341" s="14"/>
      <c r="J341" s="14"/>
      <c r="K341" s="14"/>
      <c r="L341" s="14"/>
    </row>
    <row r="342" spans="2:12" ht="12.75" customHeight="1" x14ac:dyDescent="0.2">
      <c r="B342" s="14"/>
      <c r="C342" s="14"/>
      <c r="D342" s="14"/>
      <c r="E342" s="14"/>
      <c r="F342" s="14"/>
      <c r="G342" s="14"/>
      <c r="H342" s="14"/>
      <c r="I342" s="14"/>
      <c r="J342" s="14"/>
      <c r="K342" s="14"/>
      <c r="L342" s="14"/>
    </row>
    <row r="343" spans="2:12" ht="12.75" customHeight="1" x14ac:dyDescent="0.2">
      <c r="B343" s="14"/>
      <c r="C343" s="14"/>
      <c r="D343" s="14"/>
      <c r="E343" s="14"/>
      <c r="F343" s="14"/>
      <c r="G343" s="14"/>
      <c r="H343" s="14"/>
      <c r="I343" s="14"/>
      <c r="J343" s="14"/>
      <c r="K343" s="14"/>
      <c r="L343" s="14"/>
    </row>
    <row r="344" spans="2:12" ht="12.75" customHeight="1" x14ac:dyDescent="0.2">
      <c r="B344" s="14"/>
      <c r="C344" s="14"/>
      <c r="D344" s="14"/>
      <c r="E344" s="14"/>
      <c r="F344" s="14"/>
      <c r="G344" s="14"/>
      <c r="H344" s="14"/>
      <c r="I344" s="14"/>
      <c r="J344" s="14"/>
      <c r="K344" s="14"/>
      <c r="L344" s="14"/>
    </row>
    <row r="345" spans="2:12" ht="12.75" customHeight="1" x14ac:dyDescent="0.2">
      <c r="B345" s="14"/>
      <c r="C345" s="14"/>
      <c r="D345" s="14"/>
      <c r="E345" s="14"/>
      <c r="F345" s="14"/>
      <c r="G345" s="14"/>
      <c r="H345" s="14"/>
      <c r="I345" s="14"/>
      <c r="J345" s="14"/>
      <c r="K345" s="14"/>
      <c r="L345" s="14"/>
    </row>
    <row r="346" spans="2:12" ht="12.75" customHeight="1" x14ac:dyDescent="0.2">
      <c r="B346" s="14"/>
      <c r="C346" s="14"/>
      <c r="D346" s="14"/>
      <c r="E346" s="14"/>
      <c r="F346" s="14"/>
      <c r="G346" s="14"/>
      <c r="H346" s="14"/>
      <c r="I346" s="14"/>
      <c r="J346" s="14"/>
      <c r="K346" s="14"/>
      <c r="L346" s="14"/>
    </row>
    <row r="347" spans="2:12" ht="12.75" customHeight="1" x14ac:dyDescent="0.2">
      <c r="B347" s="14"/>
      <c r="C347" s="14"/>
      <c r="D347" s="14"/>
      <c r="E347" s="14"/>
      <c r="F347" s="14"/>
      <c r="G347" s="14"/>
      <c r="H347" s="14"/>
      <c r="I347" s="14"/>
      <c r="J347" s="14"/>
      <c r="K347" s="14"/>
      <c r="L347" s="14"/>
    </row>
    <row r="348" spans="2:12" ht="12.75" customHeight="1" x14ac:dyDescent="0.2">
      <c r="B348" s="14"/>
      <c r="C348" s="14"/>
      <c r="D348" s="14"/>
      <c r="E348" s="14"/>
      <c r="F348" s="14"/>
      <c r="G348" s="14"/>
      <c r="H348" s="14"/>
      <c r="I348" s="14"/>
      <c r="J348" s="14"/>
      <c r="K348" s="14"/>
      <c r="L348" s="14"/>
    </row>
    <row r="349" spans="2:12" ht="12.75" customHeight="1" x14ac:dyDescent="0.2">
      <c r="B349" s="14"/>
      <c r="C349" s="14"/>
      <c r="D349" s="14"/>
      <c r="E349" s="14"/>
      <c r="F349" s="14"/>
      <c r="G349" s="14"/>
      <c r="H349" s="14"/>
      <c r="I349" s="14"/>
      <c r="J349" s="14"/>
      <c r="K349" s="14"/>
      <c r="L349" s="14"/>
    </row>
    <row r="350" spans="2:12" ht="12.75" customHeight="1" x14ac:dyDescent="0.2">
      <c r="B350" s="14"/>
      <c r="C350" s="14"/>
      <c r="D350" s="14"/>
      <c r="E350" s="14"/>
      <c r="F350" s="14"/>
      <c r="G350" s="14"/>
      <c r="H350" s="14"/>
      <c r="I350" s="14"/>
      <c r="J350" s="14"/>
      <c r="K350" s="14"/>
      <c r="L350" s="14"/>
    </row>
    <row r="351" spans="2:12" ht="12.75" customHeight="1" x14ac:dyDescent="0.2">
      <c r="B351" s="14"/>
      <c r="C351" s="14"/>
      <c r="D351" s="14"/>
      <c r="E351" s="14"/>
      <c r="F351" s="14"/>
      <c r="G351" s="14"/>
      <c r="H351" s="14"/>
      <c r="I351" s="14"/>
      <c r="J351" s="14"/>
      <c r="K351" s="14"/>
      <c r="L351" s="14"/>
    </row>
    <row r="352" spans="2:12" ht="12.75" customHeight="1" x14ac:dyDescent="0.2">
      <c r="B352" s="14"/>
      <c r="C352" s="14"/>
      <c r="D352" s="14"/>
      <c r="E352" s="14"/>
      <c r="F352" s="14"/>
      <c r="G352" s="14"/>
      <c r="H352" s="14"/>
      <c r="I352" s="14"/>
      <c r="J352" s="14"/>
      <c r="K352" s="14"/>
      <c r="L352" s="14"/>
    </row>
    <row r="353" spans="2:12" ht="12.75" customHeight="1" x14ac:dyDescent="0.2">
      <c r="B353" s="14"/>
      <c r="C353" s="14"/>
      <c r="D353" s="14"/>
      <c r="E353" s="14"/>
      <c r="F353" s="14"/>
      <c r="G353" s="14"/>
      <c r="H353" s="14"/>
      <c r="I353" s="14"/>
      <c r="J353" s="14"/>
      <c r="K353" s="14"/>
      <c r="L353" s="14"/>
    </row>
    <row r="354" spans="2:12" ht="12.75" customHeight="1" x14ac:dyDescent="0.2">
      <c r="B354" s="14"/>
      <c r="C354" s="14"/>
      <c r="D354" s="14"/>
      <c r="E354" s="14"/>
      <c r="F354" s="14"/>
      <c r="G354" s="14"/>
      <c r="H354" s="14"/>
      <c r="I354" s="14"/>
      <c r="J354" s="14"/>
      <c r="K354" s="14"/>
      <c r="L354" s="14"/>
    </row>
    <row r="355" spans="2:12" ht="12.75" customHeight="1" x14ac:dyDescent="0.2">
      <c r="B355" s="14"/>
      <c r="C355" s="14"/>
      <c r="D355" s="14"/>
      <c r="E355" s="14"/>
      <c r="F355" s="14"/>
      <c r="G355" s="14"/>
      <c r="H355" s="14"/>
      <c r="I355" s="14"/>
      <c r="J355" s="14"/>
      <c r="K355" s="14"/>
      <c r="L355" s="14"/>
    </row>
    <row r="356" spans="2:12" ht="12.75" customHeight="1" x14ac:dyDescent="0.2">
      <c r="B356" s="14"/>
      <c r="C356" s="14"/>
      <c r="D356" s="14"/>
      <c r="E356" s="14"/>
      <c r="F356" s="14"/>
      <c r="G356" s="14"/>
      <c r="H356" s="14"/>
      <c r="I356" s="14"/>
      <c r="J356" s="14"/>
      <c r="K356" s="14"/>
      <c r="L356" s="14"/>
    </row>
    <row r="357" spans="2:12" ht="12.75" customHeight="1" x14ac:dyDescent="0.2">
      <c r="B357" s="14"/>
      <c r="C357" s="14"/>
      <c r="D357" s="14"/>
      <c r="E357" s="14"/>
      <c r="F357" s="14"/>
      <c r="G357" s="14"/>
      <c r="H357" s="14"/>
      <c r="I357" s="14"/>
      <c r="J357" s="14"/>
      <c r="K357" s="14"/>
      <c r="L357" s="14"/>
    </row>
    <row r="358" spans="2:12" ht="12.75" customHeight="1" x14ac:dyDescent="0.2">
      <c r="B358" s="14"/>
      <c r="C358" s="14"/>
      <c r="D358" s="14"/>
      <c r="E358" s="14"/>
      <c r="F358" s="14"/>
      <c r="G358" s="14"/>
      <c r="H358" s="14"/>
      <c r="I358" s="14"/>
      <c r="J358" s="14"/>
      <c r="K358" s="14"/>
      <c r="L358" s="14"/>
    </row>
    <row r="359" spans="2:12" ht="12.75" customHeight="1" x14ac:dyDescent="0.2">
      <c r="B359" s="14"/>
      <c r="C359" s="14"/>
      <c r="D359" s="14"/>
      <c r="E359" s="14"/>
      <c r="F359" s="14"/>
      <c r="G359" s="14"/>
      <c r="H359" s="14"/>
      <c r="I359" s="14"/>
      <c r="J359" s="14"/>
      <c r="K359" s="14"/>
      <c r="L359" s="14"/>
    </row>
    <row r="360" spans="2:12" ht="12.75" customHeight="1" x14ac:dyDescent="0.2">
      <c r="B360" s="14"/>
      <c r="C360" s="14"/>
      <c r="D360" s="14"/>
      <c r="E360" s="14"/>
      <c r="F360" s="14"/>
      <c r="G360" s="14"/>
      <c r="H360" s="14"/>
      <c r="I360" s="14"/>
      <c r="J360" s="14"/>
      <c r="K360" s="14"/>
      <c r="L360" s="14"/>
    </row>
    <row r="361" spans="2:12" ht="12.75" customHeight="1" x14ac:dyDescent="0.2">
      <c r="B361" s="14"/>
      <c r="C361" s="14"/>
      <c r="D361" s="14"/>
      <c r="E361" s="14"/>
      <c r="F361" s="14"/>
      <c r="G361" s="14"/>
      <c r="H361" s="14"/>
      <c r="I361" s="14"/>
      <c r="J361" s="14"/>
      <c r="K361" s="14"/>
      <c r="L361" s="14"/>
    </row>
    <row r="362" spans="2:12" ht="12.75" customHeight="1" x14ac:dyDescent="0.2">
      <c r="B362" s="14"/>
      <c r="C362" s="14"/>
      <c r="D362" s="14"/>
      <c r="E362" s="14"/>
      <c r="F362" s="14"/>
      <c r="G362" s="14"/>
      <c r="H362" s="14"/>
      <c r="I362" s="14"/>
      <c r="J362" s="14"/>
      <c r="K362" s="14"/>
      <c r="L362" s="14"/>
    </row>
    <row r="363" spans="2:12" ht="12.75" customHeight="1" x14ac:dyDescent="0.2">
      <c r="B363" s="14"/>
      <c r="C363" s="14"/>
      <c r="D363" s="14"/>
      <c r="E363" s="14"/>
      <c r="F363" s="14"/>
      <c r="G363" s="14"/>
      <c r="H363" s="14"/>
      <c r="I363" s="14"/>
      <c r="J363" s="14"/>
      <c r="K363" s="14"/>
      <c r="L363" s="14"/>
    </row>
    <row r="364" spans="2:12" ht="12.75" customHeight="1" x14ac:dyDescent="0.2">
      <c r="B364" s="14"/>
      <c r="C364" s="14"/>
      <c r="D364" s="14"/>
      <c r="E364" s="14"/>
      <c r="F364" s="14"/>
      <c r="G364" s="14"/>
      <c r="H364" s="14"/>
      <c r="I364" s="14"/>
      <c r="J364" s="14"/>
      <c r="K364" s="14"/>
      <c r="L364" s="14"/>
    </row>
    <row r="365" spans="2:12" ht="12.75" customHeight="1" x14ac:dyDescent="0.2">
      <c r="B365" s="14"/>
      <c r="C365" s="14"/>
      <c r="D365" s="14"/>
      <c r="E365" s="14"/>
      <c r="F365" s="14"/>
      <c r="G365" s="14"/>
      <c r="H365" s="14"/>
      <c r="I365" s="14"/>
      <c r="J365" s="14"/>
      <c r="K365" s="14"/>
      <c r="L365" s="14"/>
    </row>
    <row r="366" spans="2:12" ht="12.75" customHeight="1" x14ac:dyDescent="0.2">
      <c r="B366" s="14"/>
      <c r="C366" s="14"/>
      <c r="D366" s="14"/>
      <c r="E366" s="14"/>
      <c r="F366" s="14"/>
      <c r="G366" s="14"/>
      <c r="H366" s="14"/>
      <c r="I366" s="14"/>
      <c r="J366" s="14"/>
      <c r="K366" s="14"/>
      <c r="L366" s="14"/>
    </row>
    <row r="367" spans="2:12" ht="12.75" customHeight="1" x14ac:dyDescent="0.2">
      <c r="B367" s="14"/>
      <c r="C367" s="14"/>
      <c r="D367" s="14"/>
      <c r="E367" s="14"/>
      <c r="F367" s="14"/>
      <c r="G367" s="14"/>
      <c r="H367" s="14"/>
      <c r="I367" s="14"/>
      <c r="J367" s="14"/>
      <c r="K367" s="14"/>
      <c r="L367" s="14"/>
    </row>
    <row r="368" spans="2:12" ht="12.75" customHeight="1" x14ac:dyDescent="0.2">
      <c r="B368" s="14"/>
      <c r="C368" s="14"/>
      <c r="D368" s="14"/>
      <c r="E368" s="14"/>
      <c r="F368" s="14"/>
      <c r="G368" s="14"/>
      <c r="H368" s="14"/>
      <c r="I368" s="14"/>
      <c r="J368" s="14"/>
      <c r="K368" s="14"/>
      <c r="L368" s="14"/>
    </row>
    <row r="369" spans="2:12" ht="12.75" customHeight="1" x14ac:dyDescent="0.2">
      <c r="B369" s="14"/>
      <c r="C369" s="14"/>
      <c r="D369" s="14"/>
      <c r="E369" s="14"/>
      <c r="F369" s="14"/>
      <c r="G369" s="14"/>
      <c r="H369" s="14"/>
      <c r="I369" s="14"/>
      <c r="J369" s="14"/>
      <c r="K369" s="14"/>
      <c r="L369" s="14"/>
    </row>
    <row r="370" spans="2:12" ht="12.75" customHeight="1" x14ac:dyDescent="0.2">
      <c r="B370" s="14"/>
      <c r="C370" s="14"/>
      <c r="D370" s="14"/>
      <c r="E370" s="14"/>
      <c r="F370" s="14"/>
      <c r="G370" s="14"/>
      <c r="H370" s="14"/>
      <c r="I370" s="14"/>
      <c r="J370" s="14"/>
      <c r="K370" s="14"/>
      <c r="L370" s="14"/>
    </row>
    <row r="371" spans="2:12" ht="12.75" customHeight="1" x14ac:dyDescent="0.2">
      <c r="B371" s="14"/>
      <c r="C371" s="14"/>
      <c r="D371" s="14"/>
      <c r="E371" s="14"/>
      <c r="F371" s="14"/>
      <c r="G371" s="14"/>
      <c r="H371" s="14"/>
      <c r="I371" s="14"/>
      <c r="J371" s="14"/>
      <c r="K371" s="14"/>
      <c r="L371" s="14"/>
    </row>
    <row r="372" spans="2:12" ht="12.75" customHeight="1" x14ac:dyDescent="0.2">
      <c r="B372" s="14"/>
      <c r="C372" s="14"/>
      <c r="D372" s="14"/>
      <c r="E372" s="14"/>
      <c r="F372" s="14"/>
      <c r="G372" s="14"/>
      <c r="H372" s="14"/>
      <c r="I372" s="14"/>
      <c r="J372" s="14"/>
      <c r="K372" s="14"/>
      <c r="L372" s="14"/>
    </row>
    <row r="373" spans="2:12" ht="12.75" customHeight="1" x14ac:dyDescent="0.2">
      <c r="B373" s="14"/>
      <c r="C373" s="14"/>
      <c r="D373" s="14"/>
      <c r="E373" s="14"/>
      <c r="F373" s="14"/>
      <c r="G373" s="14"/>
      <c r="H373" s="14"/>
      <c r="I373" s="14"/>
      <c r="J373" s="14"/>
      <c r="K373" s="14"/>
      <c r="L373" s="14"/>
    </row>
    <row r="374" spans="2:12" ht="12.75" customHeight="1" x14ac:dyDescent="0.2">
      <c r="B374" s="14"/>
      <c r="C374" s="14"/>
      <c r="D374" s="14"/>
      <c r="E374" s="14"/>
      <c r="F374" s="14"/>
      <c r="G374" s="14"/>
      <c r="H374" s="14"/>
      <c r="I374" s="14"/>
      <c r="J374" s="14"/>
      <c r="K374" s="14"/>
      <c r="L374" s="14"/>
    </row>
    <row r="375" spans="2:12" ht="12.75" customHeight="1" x14ac:dyDescent="0.2">
      <c r="B375" s="14"/>
      <c r="C375" s="14"/>
      <c r="D375" s="14"/>
      <c r="E375" s="14"/>
      <c r="F375" s="14"/>
      <c r="G375" s="14"/>
      <c r="H375" s="14"/>
      <c r="I375" s="14"/>
      <c r="J375" s="14"/>
      <c r="K375" s="14"/>
      <c r="L375" s="14"/>
    </row>
    <row r="376" spans="2:12" ht="12.75" customHeight="1" x14ac:dyDescent="0.2">
      <c r="B376" s="14"/>
      <c r="C376" s="14"/>
      <c r="D376" s="14"/>
      <c r="E376" s="14"/>
      <c r="F376" s="14"/>
      <c r="G376" s="14"/>
      <c r="H376" s="14"/>
      <c r="I376" s="14"/>
      <c r="J376" s="14"/>
      <c r="K376" s="14"/>
      <c r="L376" s="14"/>
    </row>
    <row r="377" spans="2:12" ht="12.75" customHeight="1" x14ac:dyDescent="0.2">
      <c r="B377" s="14"/>
      <c r="C377" s="14"/>
      <c r="D377" s="14"/>
      <c r="E377" s="14"/>
      <c r="F377" s="14"/>
      <c r="G377" s="14"/>
      <c r="H377" s="14"/>
      <c r="I377" s="14"/>
      <c r="J377" s="14"/>
      <c r="K377" s="14"/>
      <c r="L377" s="14"/>
    </row>
    <row r="378" spans="2:12" ht="12.75" customHeight="1" x14ac:dyDescent="0.2">
      <c r="B378" s="14"/>
      <c r="C378" s="14"/>
      <c r="D378" s="14"/>
      <c r="E378" s="14"/>
      <c r="F378" s="14"/>
      <c r="G378" s="14"/>
      <c r="H378" s="14"/>
      <c r="I378" s="14"/>
      <c r="J378" s="14"/>
      <c r="K378" s="14"/>
      <c r="L378" s="14"/>
    </row>
    <row r="379" spans="2:12" ht="12.75" customHeight="1" x14ac:dyDescent="0.2">
      <c r="B379" s="14"/>
      <c r="C379" s="14"/>
      <c r="D379" s="14"/>
      <c r="E379" s="14"/>
      <c r="F379" s="14"/>
      <c r="G379" s="14"/>
      <c r="H379" s="14"/>
      <c r="I379" s="14"/>
      <c r="J379" s="14"/>
      <c r="K379" s="14"/>
      <c r="L379" s="14"/>
    </row>
    <row r="380" spans="2:12" ht="12.75" customHeight="1" x14ac:dyDescent="0.2">
      <c r="B380" s="14"/>
      <c r="C380" s="14"/>
      <c r="D380" s="14"/>
      <c r="E380" s="14"/>
      <c r="F380" s="14"/>
      <c r="G380" s="14"/>
      <c r="H380" s="14"/>
      <c r="I380" s="14"/>
      <c r="J380" s="14"/>
      <c r="K380" s="14"/>
      <c r="L380" s="14"/>
    </row>
    <row r="381" spans="2:12" ht="12.75" customHeight="1" x14ac:dyDescent="0.2">
      <c r="B381" s="14"/>
      <c r="C381" s="14"/>
      <c r="D381" s="14"/>
      <c r="E381" s="14"/>
      <c r="F381" s="14"/>
      <c r="G381" s="14"/>
      <c r="H381" s="14"/>
      <c r="I381" s="14"/>
      <c r="J381" s="14"/>
      <c r="K381" s="14"/>
      <c r="L381" s="14"/>
    </row>
    <row r="382" spans="2:12" ht="12.75" customHeight="1" x14ac:dyDescent="0.2">
      <c r="B382" s="14"/>
      <c r="C382" s="14"/>
      <c r="D382" s="14"/>
      <c r="E382" s="14"/>
      <c r="F382" s="14"/>
      <c r="G382" s="14"/>
      <c r="H382" s="14"/>
      <c r="I382" s="14"/>
      <c r="J382" s="14"/>
      <c r="K382" s="14"/>
      <c r="L382" s="14"/>
    </row>
    <row r="383" spans="2:12" ht="12.75" customHeight="1" x14ac:dyDescent="0.2">
      <c r="B383" s="14"/>
      <c r="C383" s="14"/>
      <c r="D383" s="14"/>
      <c r="E383" s="14"/>
      <c r="F383" s="14"/>
      <c r="G383" s="14"/>
      <c r="H383" s="14"/>
      <c r="I383" s="14"/>
      <c r="J383" s="14"/>
      <c r="K383" s="14"/>
      <c r="L383" s="14"/>
    </row>
    <row r="384" spans="2:12" ht="12.75" customHeight="1" x14ac:dyDescent="0.2">
      <c r="B384" s="14"/>
      <c r="C384" s="14"/>
      <c r="D384" s="14"/>
      <c r="E384" s="14"/>
      <c r="F384" s="14"/>
      <c r="G384" s="14"/>
      <c r="H384" s="14"/>
      <c r="I384" s="14"/>
      <c r="J384" s="14"/>
      <c r="K384" s="14"/>
      <c r="L384" s="14"/>
    </row>
    <row r="385" spans="2:12" ht="12.75" customHeight="1" x14ac:dyDescent="0.2">
      <c r="B385" s="14"/>
      <c r="C385" s="14"/>
      <c r="D385" s="14"/>
      <c r="E385" s="14"/>
      <c r="F385" s="14"/>
      <c r="G385" s="14"/>
      <c r="H385" s="14"/>
      <c r="I385" s="14"/>
      <c r="J385" s="14"/>
      <c r="K385" s="14"/>
      <c r="L385" s="14"/>
    </row>
    <row r="386" spans="2:12" ht="12.75" customHeight="1" x14ac:dyDescent="0.2">
      <c r="B386" s="14"/>
      <c r="C386" s="14"/>
      <c r="D386" s="14"/>
      <c r="E386" s="14"/>
      <c r="F386" s="14"/>
      <c r="G386" s="14"/>
      <c r="H386" s="14"/>
      <c r="I386" s="14"/>
      <c r="J386" s="14"/>
      <c r="K386" s="14"/>
      <c r="L386" s="14"/>
    </row>
    <row r="387" spans="2:12" ht="12.75" customHeight="1" x14ac:dyDescent="0.2">
      <c r="B387" s="14"/>
      <c r="C387" s="14"/>
      <c r="D387" s="14"/>
      <c r="E387" s="14"/>
      <c r="F387" s="14"/>
      <c r="G387" s="14"/>
      <c r="H387" s="14"/>
      <c r="I387" s="14"/>
      <c r="J387" s="14"/>
      <c r="K387" s="14"/>
      <c r="L387" s="14"/>
    </row>
    <row r="388" spans="2:12" ht="12.75" customHeight="1" x14ac:dyDescent="0.2">
      <c r="B388" s="14"/>
      <c r="C388" s="14"/>
      <c r="D388" s="14"/>
      <c r="E388" s="14"/>
      <c r="F388" s="14"/>
      <c r="G388" s="14"/>
      <c r="H388" s="14"/>
      <c r="I388" s="14"/>
      <c r="J388" s="14"/>
      <c r="K388" s="14"/>
      <c r="L388" s="14"/>
    </row>
    <row r="389" spans="2:12" ht="12.75" customHeight="1" x14ac:dyDescent="0.2">
      <c r="B389" s="14"/>
      <c r="C389" s="14"/>
      <c r="D389" s="14"/>
      <c r="E389" s="14"/>
      <c r="F389" s="14"/>
      <c r="G389" s="14"/>
      <c r="H389" s="14"/>
      <c r="I389" s="14"/>
      <c r="J389" s="14"/>
      <c r="K389" s="14"/>
      <c r="L389" s="14"/>
    </row>
    <row r="390" spans="2:12" ht="12.75" customHeight="1" x14ac:dyDescent="0.2">
      <c r="B390" s="14"/>
      <c r="C390" s="14"/>
      <c r="D390" s="14"/>
      <c r="E390" s="14"/>
      <c r="F390" s="14"/>
      <c r="G390" s="14"/>
      <c r="H390" s="14"/>
      <c r="I390" s="14"/>
      <c r="J390" s="14"/>
      <c r="K390" s="14"/>
      <c r="L390" s="14"/>
    </row>
    <row r="391" spans="2:12" ht="12.75" customHeight="1" x14ac:dyDescent="0.2">
      <c r="B391" s="14"/>
      <c r="C391" s="14"/>
      <c r="D391" s="14"/>
      <c r="E391" s="14"/>
      <c r="F391" s="14"/>
      <c r="G391" s="14"/>
      <c r="H391" s="14"/>
      <c r="I391" s="14"/>
      <c r="J391" s="14"/>
      <c r="K391" s="14"/>
      <c r="L391" s="14"/>
    </row>
    <row r="392" spans="2:12" ht="12.75" customHeight="1" x14ac:dyDescent="0.2">
      <c r="B392" s="14"/>
      <c r="C392" s="14"/>
      <c r="D392" s="14"/>
      <c r="E392" s="14"/>
      <c r="F392" s="14"/>
      <c r="G392" s="14"/>
      <c r="H392" s="14"/>
      <c r="I392" s="14"/>
      <c r="J392" s="14"/>
      <c r="K392" s="14"/>
      <c r="L392" s="14"/>
    </row>
    <row r="393" spans="2:12" ht="12.75" customHeight="1" x14ac:dyDescent="0.2">
      <c r="B393" s="14"/>
      <c r="C393" s="14"/>
      <c r="D393" s="14"/>
      <c r="E393" s="14"/>
      <c r="F393" s="14"/>
      <c r="G393" s="14"/>
      <c r="H393" s="14"/>
      <c r="I393" s="14"/>
      <c r="J393" s="14"/>
      <c r="K393" s="14"/>
      <c r="L393" s="14"/>
    </row>
    <row r="394" spans="2:12" ht="12.75" customHeight="1" x14ac:dyDescent="0.2">
      <c r="B394" s="14"/>
      <c r="C394" s="14"/>
      <c r="D394" s="14"/>
      <c r="E394" s="14"/>
      <c r="F394" s="14"/>
      <c r="G394" s="14"/>
      <c r="H394" s="14"/>
      <c r="I394" s="14"/>
      <c r="J394" s="14"/>
      <c r="K394" s="14"/>
      <c r="L394" s="14"/>
    </row>
    <row r="395" spans="2:12" ht="12.75" customHeight="1" x14ac:dyDescent="0.2">
      <c r="B395" s="14"/>
      <c r="C395" s="14"/>
      <c r="D395" s="14"/>
      <c r="E395" s="14"/>
      <c r="F395" s="14"/>
      <c r="G395" s="14"/>
      <c r="H395" s="14"/>
      <c r="I395" s="14"/>
      <c r="J395" s="14"/>
      <c r="K395" s="14"/>
      <c r="L395" s="14"/>
    </row>
    <row r="396" spans="2:12" ht="12.75" customHeight="1" x14ac:dyDescent="0.2">
      <c r="B396" s="14"/>
      <c r="C396" s="14"/>
      <c r="D396" s="14"/>
      <c r="E396" s="14"/>
      <c r="F396" s="14"/>
      <c r="G396" s="14"/>
      <c r="H396" s="14"/>
      <c r="I396" s="14"/>
      <c r="J396" s="14"/>
      <c r="K396" s="14"/>
      <c r="L396" s="14"/>
    </row>
    <row r="397" spans="2:12" ht="12.75" customHeight="1" x14ac:dyDescent="0.2">
      <c r="B397" s="14"/>
      <c r="C397" s="14"/>
      <c r="D397" s="14"/>
      <c r="E397" s="14"/>
      <c r="F397" s="14"/>
      <c r="G397" s="14"/>
      <c r="H397" s="14"/>
      <c r="I397" s="14"/>
      <c r="J397" s="14"/>
      <c r="K397" s="14"/>
      <c r="L397" s="14"/>
    </row>
    <row r="398" spans="2:12" ht="12.75" customHeight="1" x14ac:dyDescent="0.2">
      <c r="B398" s="14"/>
      <c r="C398" s="14"/>
      <c r="D398" s="14"/>
      <c r="E398" s="14"/>
      <c r="F398" s="14"/>
      <c r="G398" s="14"/>
      <c r="H398" s="14"/>
      <c r="I398" s="14"/>
      <c r="J398" s="14"/>
      <c r="K398" s="14"/>
      <c r="L398" s="14"/>
    </row>
    <row r="399" spans="2:12" ht="12.75" customHeight="1" x14ac:dyDescent="0.2">
      <c r="B399" s="14"/>
      <c r="C399" s="14"/>
      <c r="D399" s="14"/>
      <c r="E399" s="14"/>
      <c r="F399" s="14"/>
      <c r="G399" s="14"/>
      <c r="H399" s="14"/>
      <c r="I399" s="14"/>
      <c r="J399" s="14"/>
      <c r="K399" s="14"/>
      <c r="L399" s="14"/>
    </row>
    <row r="400" spans="2:12" ht="12.75" customHeight="1" x14ac:dyDescent="0.2">
      <c r="B400" s="14"/>
      <c r="C400" s="14"/>
      <c r="D400" s="14"/>
      <c r="E400" s="14"/>
      <c r="F400" s="14"/>
      <c r="G400" s="14"/>
      <c r="H400" s="14"/>
      <c r="I400" s="14"/>
      <c r="J400" s="14"/>
      <c r="K400" s="14"/>
      <c r="L400" s="14"/>
    </row>
    <row r="401" spans="2:12" ht="12.75" customHeight="1" x14ac:dyDescent="0.2">
      <c r="B401" s="14"/>
      <c r="C401" s="14"/>
      <c r="D401" s="14"/>
      <c r="E401" s="14"/>
      <c r="F401" s="14"/>
      <c r="G401" s="14"/>
      <c r="H401" s="14"/>
      <c r="I401" s="14"/>
      <c r="J401" s="14"/>
      <c r="K401" s="14"/>
      <c r="L401" s="14"/>
    </row>
    <row r="402" spans="2:12" ht="12.75" customHeight="1" x14ac:dyDescent="0.2">
      <c r="B402" s="14"/>
      <c r="C402" s="14"/>
      <c r="D402" s="14"/>
      <c r="E402" s="14"/>
      <c r="F402" s="14"/>
      <c r="G402" s="14"/>
      <c r="H402" s="14"/>
      <c r="I402" s="14"/>
      <c r="J402" s="14"/>
      <c r="K402" s="14"/>
      <c r="L402" s="14"/>
    </row>
    <row r="403" spans="2:12" ht="12.75" customHeight="1" x14ac:dyDescent="0.2">
      <c r="B403" s="14"/>
      <c r="C403" s="14"/>
      <c r="D403" s="14"/>
      <c r="E403" s="14"/>
      <c r="F403" s="14"/>
      <c r="G403" s="14"/>
      <c r="H403" s="14"/>
      <c r="I403" s="14"/>
      <c r="J403" s="14"/>
      <c r="K403" s="14"/>
      <c r="L403" s="14"/>
    </row>
    <row r="404" spans="2:12" ht="12.75" customHeight="1" x14ac:dyDescent="0.2">
      <c r="B404" s="14"/>
      <c r="C404" s="14"/>
      <c r="D404" s="14"/>
      <c r="E404" s="14"/>
      <c r="F404" s="14"/>
      <c r="G404" s="14"/>
      <c r="H404" s="14"/>
      <c r="I404" s="14"/>
      <c r="J404" s="14"/>
      <c r="K404" s="14"/>
      <c r="L404" s="14"/>
    </row>
    <row r="405" spans="2:12" ht="12.75" customHeight="1" x14ac:dyDescent="0.2">
      <c r="B405" s="14"/>
      <c r="C405" s="14"/>
      <c r="D405" s="14"/>
      <c r="E405" s="14"/>
      <c r="F405" s="14"/>
      <c r="G405" s="14"/>
      <c r="H405" s="14"/>
      <c r="I405" s="14"/>
      <c r="J405" s="14"/>
      <c r="K405" s="14"/>
      <c r="L405" s="14"/>
    </row>
    <row r="406" spans="2:12" ht="12.75" customHeight="1" x14ac:dyDescent="0.2">
      <c r="B406" s="14"/>
      <c r="C406" s="14"/>
      <c r="D406" s="14"/>
      <c r="E406" s="14"/>
      <c r="F406" s="14"/>
      <c r="G406" s="14"/>
      <c r="H406" s="14"/>
      <c r="I406" s="14"/>
      <c r="J406" s="14"/>
      <c r="K406" s="14"/>
      <c r="L406" s="14"/>
    </row>
    <row r="407" spans="2:12" ht="12.75" customHeight="1" x14ac:dyDescent="0.2">
      <c r="B407" s="14"/>
      <c r="C407" s="14"/>
      <c r="D407" s="14"/>
      <c r="E407" s="14"/>
      <c r="F407" s="14"/>
      <c r="G407" s="14"/>
      <c r="H407" s="14"/>
      <c r="I407" s="14"/>
      <c r="J407" s="14"/>
      <c r="K407" s="14"/>
      <c r="L407" s="14"/>
    </row>
    <row r="408" spans="2:12" ht="12.75" customHeight="1" x14ac:dyDescent="0.2">
      <c r="B408" s="14"/>
      <c r="C408" s="14"/>
      <c r="D408" s="14"/>
      <c r="E408" s="14"/>
      <c r="F408" s="14"/>
      <c r="G408" s="14"/>
      <c r="H408" s="14"/>
      <c r="I408" s="14"/>
      <c r="J408" s="14"/>
      <c r="K408" s="14"/>
      <c r="L408" s="14"/>
    </row>
    <row r="409" spans="2:12" ht="12.75" customHeight="1" x14ac:dyDescent="0.2">
      <c r="B409" s="14"/>
      <c r="C409" s="14"/>
      <c r="D409" s="14"/>
      <c r="E409" s="14"/>
      <c r="F409" s="14"/>
      <c r="G409" s="14"/>
      <c r="H409" s="14"/>
      <c r="I409" s="14"/>
      <c r="J409" s="14"/>
      <c r="K409" s="14"/>
      <c r="L409" s="14"/>
    </row>
    <row r="410" spans="2:12" ht="12.75" customHeight="1" x14ac:dyDescent="0.2">
      <c r="B410" s="14"/>
      <c r="C410" s="14"/>
      <c r="D410" s="14"/>
      <c r="E410" s="14"/>
      <c r="F410" s="14"/>
      <c r="G410" s="14"/>
      <c r="H410" s="14"/>
      <c r="I410" s="14"/>
      <c r="J410" s="14"/>
      <c r="K410" s="14"/>
      <c r="L410" s="14"/>
    </row>
    <row r="411" spans="2:12" ht="12.75" customHeight="1" x14ac:dyDescent="0.2">
      <c r="B411" s="14"/>
      <c r="C411" s="14"/>
      <c r="D411" s="14"/>
      <c r="E411" s="14"/>
      <c r="F411" s="14"/>
      <c r="G411" s="14"/>
      <c r="H411" s="14"/>
      <c r="I411" s="14"/>
      <c r="J411" s="14"/>
      <c r="K411" s="14"/>
      <c r="L411" s="14"/>
    </row>
    <row r="412" spans="2:12" ht="12.75" customHeight="1" x14ac:dyDescent="0.2">
      <c r="B412" s="14"/>
      <c r="C412" s="14"/>
      <c r="D412" s="14"/>
      <c r="E412" s="14"/>
      <c r="F412" s="14"/>
      <c r="G412" s="14"/>
      <c r="H412" s="14"/>
      <c r="I412" s="14"/>
      <c r="J412" s="14"/>
      <c r="K412" s="14"/>
      <c r="L412" s="14"/>
    </row>
    <row r="413" spans="2:12" ht="12.75" customHeight="1" x14ac:dyDescent="0.2">
      <c r="B413" s="14"/>
      <c r="C413" s="14"/>
      <c r="D413" s="14"/>
      <c r="E413" s="14"/>
      <c r="F413" s="14"/>
      <c r="G413" s="14"/>
      <c r="H413" s="14"/>
      <c r="I413" s="14"/>
      <c r="J413" s="14"/>
      <c r="K413" s="14"/>
      <c r="L413" s="14"/>
    </row>
    <row r="414" spans="2:12" ht="12.75" customHeight="1" x14ac:dyDescent="0.2">
      <c r="B414" s="14"/>
      <c r="C414" s="14"/>
      <c r="D414" s="14"/>
      <c r="E414" s="14"/>
      <c r="F414" s="14"/>
      <c r="G414" s="14"/>
      <c r="H414" s="14"/>
      <c r="I414" s="14"/>
      <c r="J414" s="14"/>
      <c r="K414" s="14"/>
      <c r="L414" s="14"/>
    </row>
    <row r="415" spans="2:12" ht="12.75" customHeight="1" x14ac:dyDescent="0.2">
      <c r="B415" s="14"/>
      <c r="C415" s="14"/>
      <c r="D415" s="14"/>
      <c r="E415" s="14"/>
      <c r="F415" s="14"/>
      <c r="G415" s="14"/>
      <c r="H415" s="14"/>
      <c r="I415" s="14"/>
      <c r="J415" s="14"/>
      <c r="K415" s="14"/>
      <c r="L415" s="14"/>
    </row>
    <row r="416" spans="2:12" ht="12.75" customHeight="1" x14ac:dyDescent="0.2">
      <c r="B416" s="14"/>
      <c r="C416" s="14"/>
      <c r="D416" s="14"/>
      <c r="E416" s="14"/>
      <c r="F416" s="14"/>
      <c r="G416" s="14"/>
      <c r="H416" s="14"/>
      <c r="I416" s="14"/>
      <c r="J416" s="14"/>
      <c r="K416" s="14"/>
      <c r="L416" s="14"/>
    </row>
    <row r="417" spans="2:12" ht="12.75" customHeight="1" x14ac:dyDescent="0.2">
      <c r="B417" s="14"/>
      <c r="C417" s="14"/>
      <c r="D417" s="14"/>
      <c r="E417" s="14"/>
      <c r="F417" s="14"/>
      <c r="G417" s="14"/>
      <c r="H417" s="14"/>
      <c r="I417" s="14"/>
      <c r="J417" s="14"/>
      <c r="K417" s="14"/>
      <c r="L417" s="14"/>
    </row>
    <row r="418" spans="2:12" ht="12.75" customHeight="1" x14ac:dyDescent="0.2">
      <c r="B418" s="14"/>
      <c r="C418" s="14"/>
      <c r="D418" s="14"/>
      <c r="E418" s="14"/>
      <c r="F418" s="14"/>
      <c r="G418" s="14"/>
      <c r="H418" s="14"/>
      <c r="I418" s="14"/>
      <c r="J418" s="14"/>
      <c r="K418" s="14"/>
      <c r="L418" s="14"/>
    </row>
    <row r="419" spans="2:12" ht="12.75" customHeight="1" x14ac:dyDescent="0.2">
      <c r="B419" s="14"/>
      <c r="C419" s="14"/>
      <c r="D419" s="14"/>
      <c r="E419" s="14"/>
      <c r="F419" s="14"/>
      <c r="G419" s="14"/>
      <c r="H419" s="14"/>
      <c r="I419" s="14"/>
      <c r="J419" s="14"/>
      <c r="K419" s="14"/>
      <c r="L419" s="14"/>
    </row>
    <row r="420" spans="2:12" ht="12.75" customHeight="1" x14ac:dyDescent="0.2">
      <c r="B420" s="14"/>
      <c r="C420" s="14"/>
      <c r="D420" s="14"/>
      <c r="E420" s="14"/>
      <c r="F420" s="14"/>
      <c r="G420" s="14"/>
      <c r="H420" s="14"/>
      <c r="I420" s="14"/>
      <c r="J420" s="14"/>
      <c r="K420" s="14"/>
      <c r="L420" s="14"/>
    </row>
    <row r="421" spans="2:12" ht="12.75" customHeight="1" x14ac:dyDescent="0.2">
      <c r="B421" s="14"/>
      <c r="C421" s="14"/>
      <c r="D421" s="14"/>
      <c r="E421" s="14"/>
      <c r="F421" s="14"/>
      <c r="G421" s="14"/>
      <c r="H421" s="14"/>
      <c r="I421" s="14"/>
      <c r="J421" s="14"/>
      <c r="K421" s="14"/>
      <c r="L421" s="14"/>
    </row>
    <row r="422" spans="2:12" ht="12.75" customHeight="1" x14ac:dyDescent="0.2">
      <c r="B422" s="14"/>
      <c r="C422" s="14"/>
      <c r="D422" s="14"/>
      <c r="E422" s="14"/>
      <c r="F422" s="14"/>
      <c r="G422" s="14"/>
      <c r="H422" s="14"/>
      <c r="I422" s="14"/>
      <c r="J422" s="14"/>
      <c r="K422" s="14"/>
      <c r="L422" s="14"/>
    </row>
    <row r="423" spans="2:12" ht="12.75" customHeight="1" x14ac:dyDescent="0.2">
      <c r="B423" s="14"/>
      <c r="C423" s="14"/>
      <c r="D423" s="14"/>
      <c r="E423" s="14"/>
      <c r="F423" s="14"/>
      <c r="G423" s="14"/>
      <c r="H423" s="14"/>
      <c r="I423" s="14"/>
      <c r="J423" s="14"/>
      <c r="K423" s="14"/>
      <c r="L423" s="14"/>
    </row>
    <row r="424" spans="2:12" ht="12.75" customHeight="1" x14ac:dyDescent="0.2">
      <c r="B424" s="14"/>
      <c r="C424" s="14"/>
      <c r="D424" s="14"/>
      <c r="E424" s="14"/>
      <c r="F424" s="14"/>
      <c r="G424" s="14"/>
      <c r="H424" s="14"/>
      <c r="I424" s="14"/>
      <c r="J424" s="14"/>
      <c r="K424" s="14"/>
      <c r="L424" s="14"/>
    </row>
    <row r="425" spans="2:12" ht="12.75" customHeight="1" x14ac:dyDescent="0.2">
      <c r="B425" s="14"/>
      <c r="C425" s="14"/>
      <c r="D425" s="14"/>
      <c r="E425" s="14"/>
      <c r="F425" s="14"/>
      <c r="G425" s="14"/>
      <c r="H425" s="14"/>
      <c r="I425" s="14"/>
      <c r="J425" s="14"/>
      <c r="K425" s="14"/>
      <c r="L425" s="14"/>
    </row>
    <row r="426" spans="2:12" ht="12.75" customHeight="1" x14ac:dyDescent="0.2">
      <c r="B426" s="14"/>
      <c r="C426" s="14"/>
      <c r="D426" s="14"/>
      <c r="E426" s="14"/>
      <c r="F426" s="14"/>
      <c r="G426" s="14"/>
      <c r="H426" s="14"/>
      <c r="I426" s="14"/>
      <c r="J426" s="14"/>
      <c r="K426" s="14"/>
      <c r="L426" s="14"/>
    </row>
    <row r="427" spans="2:12" ht="12.75" customHeight="1" x14ac:dyDescent="0.2">
      <c r="B427" s="14"/>
      <c r="C427" s="14"/>
      <c r="D427" s="14"/>
      <c r="E427" s="14"/>
      <c r="F427" s="14"/>
      <c r="G427" s="14"/>
      <c r="H427" s="14"/>
      <c r="I427" s="14"/>
      <c r="J427" s="14"/>
      <c r="K427" s="14"/>
      <c r="L427" s="14"/>
    </row>
    <row r="428" spans="2:12" ht="12.75" customHeight="1" x14ac:dyDescent="0.2">
      <c r="B428" s="14"/>
      <c r="C428" s="14"/>
      <c r="D428" s="14"/>
      <c r="E428" s="14"/>
      <c r="F428" s="14"/>
      <c r="G428" s="14"/>
      <c r="H428" s="14"/>
      <c r="I428" s="14"/>
      <c r="J428" s="14"/>
      <c r="K428" s="14"/>
      <c r="L428" s="14"/>
    </row>
    <row r="429" spans="2:12" ht="12.75" customHeight="1" x14ac:dyDescent="0.2">
      <c r="B429" s="14"/>
      <c r="C429" s="14"/>
      <c r="D429" s="14"/>
      <c r="E429" s="14"/>
      <c r="F429" s="14"/>
      <c r="G429" s="14"/>
      <c r="H429" s="14"/>
      <c r="I429" s="14"/>
      <c r="J429" s="14"/>
      <c r="K429" s="14"/>
      <c r="L429" s="14"/>
    </row>
    <row r="430" spans="2:12" ht="12.75" customHeight="1" x14ac:dyDescent="0.2">
      <c r="B430" s="14"/>
      <c r="C430" s="14"/>
      <c r="D430" s="14"/>
      <c r="E430" s="14"/>
      <c r="F430" s="14"/>
      <c r="G430" s="14"/>
      <c r="H430" s="14"/>
      <c r="I430" s="14"/>
      <c r="J430" s="14"/>
      <c r="K430" s="14"/>
      <c r="L430" s="14"/>
    </row>
    <row r="431" spans="2:12" ht="12.75" customHeight="1" x14ac:dyDescent="0.2">
      <c r="B431" s="14"/>
      <c r="C431" s="14"/>
      <c r="D431" s="14"/>
      <c r="E431" s="14"/>
      <c r="F431" s="14"/>
      <c r="G431" s="14"/>
      <c r="H431" s="14"/>
      <c r="I431" s="14"/>
      <c r="J431" s="14"/>
      <c r="K431" s="14"/>
      <c r="L431" s="14"/>
    </row>
    <row r="432" spans="2:12" ht="12.75" customHeight="1" x14ac:dyDescent="0.2">
      <c r="B432" s="14"/>
      <c r="C432" s="14"/>
      <c r="D432" s="14"/>
      <c r="E432" s="14"/>
      <c r="F432" s="14"/>
      <c r="G432" s="14"/>
      <c r="H432" s="14"/>
      <c r="I432" s="14"/>
      <c r="J432" s="14"/>
      <c r="K432" s="14"/>
      <c r="L432" s="14"/>
    </row>
    <row r="433" spans="2:12" ht="12.75" customHeight="1" x14ac:dyDescent="0.2">
      <c r="B433" s="14"/>
      <c r="C433" s="14"/>
      <c r="D433" s="14"/>
      <c r="E433" s="14"/>
      <c r="F433" s="14"/>
      <c r="G433" s="14"/>
      <c r="H433" s="14"/>
      <c r="I433" s="14"/>
      <c r="J433" s="14"/>
      <c r="K433" s="14"/>
      <c r="L433" s="14"/>
    </row>
    <row r="434" spans="2:12" ht="12.75" customHeight="1" x14ac:dyDescent="0.2">
      <c r="B434" s="14"/>
      <c r="C434" s="14"/>
      <c r="D434" s="14"/>
      <c r="E434" s="14"/>
      <c r="F434" s="14"/>
      <c r="G434" s="14"/>
      <c r="H434" s="14"/>
      <c r="I434" s="14"/>
      <c r="J434" s="14"/>
      <c r="K434" s="14"/>
      <c r="L434" s="14"/>
    </row>
    <row r="435" spans="2:12" ht="12.75" customHeight="1" x14ac:dyDescent="0.2">
      <c r="B435" s="14"/>
      <c r="C435" s="14"/>
      <c r="D435" s="14"/>
      <c r="E435" s="14"/>
      <c r="F435" s="14"/>
      <c r="G435" s="14"/>
      <c r="H435" s="14"/>
      <c r="I435" s="14"/>
      <c r="J435" s="14"/>
      <c r="K435" s="14"/>
      <c r="L435" s="14"/>
    </row>
    <row r="436" spans="2:12" ht="12.75" customHeight="1" x14ac:dyDescent="0.2">
      <c r="B436" s="14"/>
      <c r="C436" s="14"/>
      <c r="D436" s="14"/>
      <c r="E436" s="14"/>
      <c r="F436" s="14"/>
      <c r="G436" s="14"/>
      <c r="H436" s="14"/>
      <c r="I436" s="14"/>
      <c r="J436" s="14"/>
      <c r="K436" s="14"/>
      <c r="L436" s="14"/>
    </row>
    <row r="437" spans="2:12" ht="12.75" customHeight="1" x14ac:dyDescent="0.2">
      <c r="B437" s="14"/>
      <c r="C437" s="14"/>
      <c r="D437" s="14"/>
      <c r="E437" s="14"/>
      <c r="F437" s="14"/>
      <c r="G437" s="14"/>
      <c r="H437" s="14"/>
      <c r="I437" s="14"/>
      <c r="J437" s="14"/>
      <c r="K437" s="14"/>
      <c r="L437" s="14"/>
    </row>
    <row r="438" spans="2:12" ht="12.75" customHeight="1" x14ac:dyDescent="0.2">
      <c r="B438" s="14"/>
      <c r="C438" s="14"/>
      <c r="D438" s="14"/>
      <c r="E438" s="14"/>
      <c r="F438" s="14"/>
      <c r="G438" s="14"/>
      <c r="H438" s="14"/>
      <c r="I438" s="14"/>
      <c r="J438" s="14"/>
      <c r="K438" s="14"/>
      <c r="L438" s="14"/>
    </row>
    <row r="439" spans="2:12" ht="12.75" customHeight="1" x14ac:dyDescent="0.2">
      <c r="B439" s="14"/>
      <c r="C439" s="14"/>
      <c r="D439" s="14"/>
      <c r="E439" s="14"/>
      <c r="F439" s="14"/>
      <c r="G439" s="14"/>
      <c r="H439" s="14"/>
      <c r="I439" s="14"/>
      <c r="J439" s="14"/>
      <c r="K439" s="14"/>
      <c r="L439" s="14"/>
    </row>
    <row r="440" spans="2:12" ht="12.75" customHeight="1" x14ac:dyDescent="0.2">
      <c r="B440" s="14"/>
      <c r="C440" s="14"/>
      <c r="D440" s="14"/>
      <c r="E440" s="14"/>
      <c r="F440" s="14"/>
      <c r="G440" s="14"/>
      <c r="H440" s="14"/>
      <c r="I440" s="14"/>
      <c r="J440" s="14"/>
      <c r="K440" s="14"/>
      <c r="L440" s="14"/>
    </row>
    <row r="441" spans="2:12" ht="12.75" customHeight="1" x14ac:dyDescent="0.2">
      <c r="B441" s="14"/>
      <c r="C441" s="14"/>
      <c r="D441" s="14"/>
      <c r="E441" s="14"/>
      <c r="F441" s="14"/>
      <c r="G441" s="14"/>
      <c r="H441" s="14"/>
      <c r="I441" s="14"/>
      <c r="J441" s="14"/>
      <c r="K441" s="14"/>
      <c r="L441" s="14"/>
    </row>
    <row r="442" spans="2:12" ht="12.75" customHeight="1" x14ac:dyDescent="0.2">
      <c r="B442" s="14"/>
      <c r="C442" s="14"/>
      <c r="D442" s="14"/>
      <c r="E442" s="14"/>
      <c r="F442" s="14"/>
      <c r="G442" s="14"/>
      <c r="H442" s="14"/>
      <c r="I442" s="14"/>
      <c r="J442" s="14"/>
      <c r="K442" s="14"/>
      <c r="L442" s="14"/>
    </row>
    <row r="443" spans="2:12" ht="12.75" customHeight="1" x14ac:dyDescent="0.2">
      <c r="B443" s="14"/>
      <c r="C443" s="14"/>
      <c r="D443" s="14"/>
      <c r="E443" s="14"/>
      <c r="F443" s="14"/>
      <c r="G443" s="14"/>
      <c r="H443" s="14"/>
      <c r="I443" s="14"/>
      <c r="J443" s="14"/>
      <c r="K443" s="14"/>
      <c r="L443" s="14"/>
    </row>
    <row r="444" spans="2:12" ht="12.75" customHeight="1" x14ac:dyDescent="0.2">
      <c r="B444" s="14"/>
      <c r="C444" s="14"/>
      <c r="D444" s="14"/>
      <c r="E444" s="14"/>
      <c r="F444" s="14"/>
      <c r="G444" s="14"/>
      <c r="H444" s="14"/>
      <c r="I444" s="14"/>
      <c r="J444" s="14"/>
      <c r="K444" s="14"/>
      <c r="L444" s="14"/>
    </row>
    <row r="445" spans="2:12" ht="12.75" customHeight="1" x14ac:dyDescent="0.2">
      <c r="B445" s="14"/>
      <c r="C445" s="14"/>
      <c r="D445" s="14"/>
      <c r="E445" s="14"/>
      <c r="F445" s="14"/>
      <c r="G445" s="14"/>
      <c r="H445" s="14"/>
      <c r="I445" s="14"/>
      <c r="J445" s="14"/>
      <c r="K445" s="14"/>
      <c r="L445" s="14"/>
    </row>
    <row r="446" spans="2:12" ht="12.75" customHeight="1" x14ac:dyDescent="0.2">
      <c r="B446" s="14"/>
      <c r="C446" s="14"/>
      <c r="D446" s="14"/>
      <c r="E446" s="14"/>
      <c r="F446" s="14"/>
      <c r="G446" s="14"/>
      <c r="H446" s="14"/>
      <c r="I446" s="14"/>
      <c r="J446" s="14"/>
      <c r="K446" s="14"/>
      <c r="L446" s="14"/>
    </row>
    <row r="447" spans="2:12" ht="12.75" customHeight="1" x14ac:dyDescent="0.2">
      <c r="B447" s="14"/>
      <c r="C447" s="14"/>
      <c r="D447" s="14"/>
      <c r="E447" s="14"/>
      <c r="F447" s="14"/>
      <c r="G447" s="14"/>
      <c r="H447" s="14"/>
      <c r="I447" s="14"/>
      <c r="J447" s="14"/>
      <c r="K447" s="14"/>
      <c r="L447" s="14"/>
    </row>
    <row r="448" spans="2:12" ht="12.75" customHeight="1" x14ac:dyDescent="0.2">
      <c r="B448" s="14"/>
      <c r="C448" s="14"/>
      <c r="D448" s="14"/>
      <c r="E448" s="14"/>
      <c r="F448" s="14"/>
      <c r="G448" s="14"/>
      <c r="H448" s="14"/>
      <c r="I448" s="14"/>
      <c r="J448" s="14"/>
      <c r="K448" s="14"/>
      <c r="L448" s="14"/>
    </row>
    <row r="449" spans="2:12" ht="12.75" customHeight="1" x14ac:dyDescent="0.2">
      <c r="B449" s="14"/>
      <c r="C449" s="14"/>
      <c r="D449" s="14"/>
      <c r="E449" s="14"/>
      <c r="F449" s="14"/>
      <c r="G449" s="14"/>
      <c r="H449" s="14"/>
      <c r="I449" s="14"/>
      <c r="J449" s="14"/>
      <c r="K449" s="14"/>
      <c r="L449" s="14"/>
    </row>
    <row r="450" spans="2:12" ht="12.75" customHeight="1" x14ac:dyDescent="0.2">
      <c r="B450" s="14"/>
      <c r="C450" s="14"/>
      <c r="D450" s="14"/>
      <c r="E450" s="14"/>
      <c r="F450" s="14"/>
      <c r="G450" s="14"/>
      <c r="H450" s="14"/>
      <c r="I450" s="14"/>
      <c r="J450" s="14"/>
      <c r="K450" s="14"/>
      <c r="L450" s="14"/>
    </row>
    <row r="451" spans="2:12" ht="12.75" customHeight="1" x14ac:dyDescent="0.2">
      <c r="B451" s="14"/>
      <c r="C451" s="14"/>
      <c r="D451" s="14"/>
      <c r="E451" s="14"/>
      <c r="F451" s="14"/>
      <c r="G451" s="14"/>
      <c r="H451" s="14"/>
      <c r="I451" s="14"/>
      <c r="J451" s="14"/>
      <c r="K451" s="14"/>
      <c r="L451" s="14"/>
    </row>
    <row r="452" spans="2:12" ht="12.75" customHeight="1" x14ac:dyDescent="0.2">
      <c r="B452" s="14"/>
      <c r="C452" s="14"/>
      <c r="D452" s="14"/>
      <c r="E452" s="14"/>
      <c r="F452" s="14"/>
      <c r="G452" s="14"/>
      <c r="H452" s="14"/>
      <c r="I452" s="14"/>
      <c r="J452" s="14"/>
      <c r="K452" s="14"/>
      <c r="L452" s="14"/>
    </row>
    <row r="453" spans="2:12" ht="12.75" customHeight="1" x14ac:dyDescent="0.2">
      <c r="B453" s="14"/>
      <c r="C453" s="14"/>
      <c r="D453" s="14"/>
      <c r="E453" s="14"/>
      <c r="F453" s="14"/>
      <c r="G453" s="14"/>
      <c r="H453" s="14"/>
      <c r="I453" s="14"/>
      <c r="J453" s="14"/>
      <c r="K453" s="14"/>
      <c r="L453" s="14"/>
    </row>
    <row r="454" spans="2:12" ht="12.75" customHeight="1" x14ac:dyDescent="0.2">
      <c r="B454" s="14"/>
      <c r="C454" s="14"/>
      <c r="D454" s="14"/>
      <c r="E454" s="14"/>
      <c r="F454" s="14"/>
      <c r="G454" s="14"/>
      <c r="H454" s="14"/>
      <c r="I454" s="14"/>
      <c r="J454" s="14"/>
      <c r="K454" s="14"/>
      <c r="L454" s="14"/>
    </row>
    <row r="455" spans="2:12" ht="12.75" customHeight="1" x14ac:dyDescent="0.2">
      <c r="B455" s="14"/>
      <c r="C455" s="14"/>
      <c r="D455" s="14"/>
      <c r="E455" s="14"/>
      <c r="F455" s="14"/>
      <c r="G455" s="14"/>
      <c r="H455" s="14"/>
      <c r="I455" s="14"/>
      <c r="J455" s="14"/>
      <c r="K455" s="14"/>
      <c r="L455" s="14"/>
    </row>
    <row r="456" spans="2:12" ht="12.75" customHeight="1" x14ac:dyDescent="0.2">
      <c r="B456" s="14"/>
      <c r="C456" s="14"/>
      <c r="D456" s="14"/>
      <c r="E456" s="14"/>
      <c r="F456" s="14"/>
      <c r="G456" s="14"/>
      <c r="H456" s="14"/>
      <c r="I456" s="14"/>
      <c r="J456" s="14"/>
      <c r="K456" s="14"/>
      <c r="L456" s="14"/>
    </row>
    <row r="457" spans="2:12" ht="12.75" customHeight="1" x14ac:dyDescent="0.2">
      <c r="B457" s="14"/>
      <c r="C457" s="14"/>
      <c r="D457" s="14"/>
      <c r="E457" s="14"/>
      <c r="F457" s="14"/>
      <c r="G457" s="14"/>
      <c r="H457" s="14"/>
      <c r="I457" s="14"/>
      <c r="J457" s="14"/>
      <c r="K457" s="14"/>
      <c r="L457" s="14"/>
    </row>
    <row r="458" spans="2:12" ht="12.75" customHeight="1" x14ac:dyDescent="0.2">
      <c r="B458" s="14"/>
      <c r="C458" s="14"/>
      <c r="D458" s="14"/>
      <c r="E458" s="14"/>
      <c r="F458" s="14"/>
      <c r="G458" s="14"/>
      <c r="H458" s="14"/>
      <c r="I458" s="14"/>
      <c r="J458" s="14"/>
      <c r="K458" s="14"/>
      <c r="L458" s="14"/>
    </row>
    <row r="459" spans="2:12" ht="12.75" customHeight="1" x14ac:dyDescent="0.2">
      <c r="B459" s="14"/>
      <c r="C459" s="14"/>
      <c r="D459" s="14"/>
      <c r="E459" s="14"/>
      <c r="F459" s="14"/>
      <c r="G459" s="14"/>
      <c r="H459" s="14"/>
      <c r="I459" s="14"/>
      <c r="J459" s="14"/>
      <c r="K459" s="14"/>
      <c r="L459" s="14"/>
    </row>
    <row r="460" spans="2:12" ht="12.75" customHeight="1" x14ac:dyDescent="0.2">
      <c r="B460" s="14"/>
      <c r="C460" s="14"/>
      <c r="D460" s="14"/>
      <c r="E460" s="14"/>
      <c r="F460" s="14"/>
      <c r="G460" s="14"/>
      <c r="H460" s="14"/>
      <c r="I460" s="14"/>
      <c r="J460" s="14"/>
      <c r="K460" s="14"/>
      <c r="L460" s="14"/>
    </row>
    <row r="461" spans="2:12" ht="12.75" customHeight="1" x14ac:dyDescent="0.2">
      <c r="B461" s="14"/>
      <c r="C461" s="14"/>
      <c r="D461" s="14"/>
      <c r="E461" s="14"/>
      <c r="F461" s="14"/>
      <c r="G461" s="14"/>
      <c r="H461" s="14"/>
      <c r="I461" s="14"/>
      <c r="J461" s="14"/>
      <c r="K461" s="14"/>
      <c r="L461" s="14"/>
    </row>
    <row r="462" spans="2:12" ht="12.75" customHeight="1" x14ac:dyDescent="0.2">
      <c r="B462" s="14"/>
      <c r="C462" s="14"/>
      <c r="D462" s="14"/>
      <c r="E462" s="14"/>
      <c r="F462" s="14"/>
      <c r="G462" s="14"/>
      <c r="H462" s="14"/>
      <c r="I462" s="14"/>
      <c r="J462" s="14"/>
      <c r="K462" s="14"/>
      <c r="L462" s="14"/>
    </row>
    <row r="463" spans="2:12" ht="12.75" customHeight="1" x14ac:dyDescent="0.2">
      <c r="B463" s="14"/>
      <c r="C463" s="14"/>
      <c r="D463" s="14"/>
      <c r="E463" s="14"/>
      <c r="F463" s="14"/>
      <c r="G463" s="14"/>
      <c r="H463" s="14"/>
      <c r="I463" s="14"/>
      <c r="J463" s="14"/>
      <c r="K463" s="14"/>
      <c r="L463" s="14"/>
    </row>
    <row r="464" spans="2:12" ht="12.75" customHeight="1" x14ac:dyDescent="0.2">
      <c r="B464" s="14"/>
      <c r="C464" s="14"/>
      <c r="D464" s="14"/>
      <c r="E464" s="14"/>
      <c r="F464" s="14"/>
      <c r="G464" s="14"/>
      <c r="H464" s="14"/>
      <c r="I464" s="14"/>
      <c r="J464" s="14"/>
      <c r="K464" s="14"/>
      <c r="L464" s="14"/>
    </row>
    <row r="465" spans="2:12" ht="12.75" customHeight="1" x14ac:dyDescent="0.2">
      <c r="B465" s="14"/>
      <c r="C465" s="14"/>
      <c r="D465" s="14"/>
      <c r="E465" s="14"/>
      <c r="F465" s="14"/>
      <c r="G465" s="14"/>
      <c r="H465" s="14"/>
      <c r="I465" s="14"/>
      <c r="J465" s="14"/>
      <c r="K465" s="14"/>
      <c r="L465" s="14"/>
    </row>
    <row r="466" spans="2:12" ht="12.75" customHeight="1" x14ac:dyDescent="0.2">
      <c r="B466" s="14"/>
      <c r="C466" s="14"/>
      <c r="D466" s="14"/>
      <c r="E466" s="14"/>
      <c r="F466" s="14"/>
      <c r="G466" s="14"/>
      <c r="H466" s="14"/>
      <c r="I466" s="14"/>
      <c r="J466" s="14"/>
      <c r="K466" s="14"/>
      <c r="L466" s="14"/>
    </row>
    <row r="467" spans="2:12" ht="12.75" customHeight="1" x14ac:dyDescent="0.2">
      <c r="B467" s="14"/>
      <c r="C467" s="14"/>
      <c r="D467" s="14"/>
      <c r="E467" s="14"/>
      <c r="F467" s="14"/>
      <c r="G467" s="14"/>
      <c r="H467" s="14"/>
      <c r="I467" s="14"/>
      <c r="J467" s="14"/>
      <c r="K467" s="14"/>
      <c r="L467" s="14"/>
    </row>
    <row r="468" spans="2:12" ht="12.75" customHeight="1" x14ac:dyDescent="0.2">
      <c r="B468" s="14"/>
      <c r="C468" s="14"/>
      <c r="D468" s="14"/>
      <c r="E468" s="14"/>
      <c r="F468" s="14"/>
      <c r="G468" s="14"/>
      <c r="H468" s="14"/>
      <c r="I468" s="14"/>
      <c r="J468" s="14"/>
      <c r="K468" s="14"/>
      <c r="L468" s="14"/>
    </row>
    <row r="469" spans="2:12" ht="12.75" customHeight="1" x14ac:dyDescent="0.2">
      <c r="B469" s="14"/>
      <c r="C469" s="14"/>
      <c r="D469" s="14"/>
      <c r="E469" s="14"/>
      <c r="F469" s="14"/>
      <c r="G469" s="14"/>
      <c r="H469" s="14"/>
      <c r="I469" s="14"/>
      <c r="J469" s="14"/>
      <c r="K469" s="14"/>
      <c r="L469" s="14"/>
    </row>
    <row r="470" spans="2:12" ht="12.75" customHeight="1" x14ac:dyDescent="0.2">
      <c r="B470" s="14"/>
      <c r="C470" s="14"/>
      <c r="D470" s="14"/>
      <c r="E470" s="14"/>
      <c r="F470" s="14"/>
      <c r="G470" s="14"/>
      <c r="H470" s="14"/>
      <c r="I470" s="14"/>
      <c r="J470" s="14"/>
      <c r="K470" s="14"/>
      <c r="L470" s="14"/>
    </row>
    <row r="471" spans="2:12" ht="12.75" customHeight="1" x14ac:dyDescent="0.2">
      <c r="B471" s="14"/>
      <c r="C471" s="14"/>
      <c r="D471" s="14"/>
      <c r="E471" s="14"/>
      <c r="F471" s="14"/>
      <c r="G471" s="14"/>
      <c r="H471" s="14"/>
      <c r="I471" s="14"/>
      <c r="J471" s="14"/>
      <c r="K471" s="14"/>
      <c r="L471" s="14"/>
    </row>
    <row r="472" spans="2:12" ht="12.75" customHeight="1" x14ac:dyDescent="0.2">
      <c r="B472" s="14"/>
      <c r="C472" s="14"/>
      <c r="D472" s="14"/>
      <c r="E472" s="14"/>
      <c r="F472" s="14"/>
      <c r="G472" s="14"/>
      <c r="H472" s="14"/>
      <c r="I472" s="14"/>
      <c r="J472" s="14"/>
      <c r="K472" s="14"/>
      <c r="L472" s="14"/>
    </row>
    <row r="473" spans="2:12" ht="12.75" customHeight="1" x14ac:dyDescent="0.2">
      <c r="B473" s="14"/>
      <c r="C473" s="14"/>
      <c r="D473" s="14"/>
      <c r="E473" s="14"/>
      <c r="F473" s="14"/>
      <c r="G473" s="14"/>
      <c r="H473" s="14"/>
      <c r="I473" s="14"/>
      <c r="J473" s="14"/>
      <c r="K473" s="14"/>
      <c r="L473" s="14"/>
    </row>
    <row r="474" spans="2:12" ht="12.75" customHeight="1" x14ac:dyDescent="0.2">
      <c r="B474" s="14"/>
      <c r="C474" s="14"/>
      <c r="D474" s="14"/>
      <c r="E474" s="14"/>
      <c r="F474" s="14"/>
      <c r="G474" s="14"/>
      <c r="H474" s="14"/>
      <c r="I474" s="14"/>
      <c r="J474" s="14"/>
      <c r="K474" s="14"/>
      <c r="L474" s="14"/>
    </row>
    <row r="475" spans="2:12" ht="12.75" customHeight="1" x14ac:dyDescent="0.2">
      <c r="B475" s="14"/>
      <c r="C475" s="14"/>
      <c r="D475" s="14"/>
      <c r="E475" s="14"/>
      <c r="F475" s="14"/>
      <c r="G475" s="14"/>
      <c r="H475" s="14"/>
      <c r="I475" s="14"/>
      <c r="J475" s="14"/>
      <c r="K475" s="14"/>
      <c r="L475" s="14"/>
    </row>
    <row r="476" spans="2:12" ht="12.75" customHeight="1" x14ac:dyDescent="0.2">
      <c r="B476" s="14"/>
      <c r="C476" s="14"/>
      <c r="D476" s="14"/>
      <c r="E476" s="14"/>
      <c r="F476" s="14"/>
      <c r="G476" s="14"/>
      <c r="H476" s="14"/>
      <c r="I476" s="14"/>
      <c r="J476" s="14"/>
      <c r="K476" s="14"/>
      <c r="L476" s="14"/>
    </row>
    <row r="477" spans="2:12" ht="12.75" customHeight="1" x14ac:dyDescent="0.2">
      <c r="B477" s="14"/>
      <c r="C477" s="14"/>
      <c r="D477" s="14"/>
      <c r="E477" s="14"/>
      <c r="F477" s="14"/>
      <c r="G477" s="14"/>
      <c r="H477" s="14"/>
      <c r="I477" s="14"/>
      <c r="J477" s="14"/>
      <c r="K477" s="14"/>
      <c r="L477" s="14"/>
    </row>
    <row r="478" spans="2:12" ht="12.75" customHeight="1" x14ac:dyDescent="0.2">
      <c r="B478" s="14"/>
      <c r="C478" s="14"/>
      <c r="D478" s="14"/>
      <c r="E478" s="14"/>
      <c r="F478" s="14"/>
      <c r="G478" s="14"/>
      <c r="H478" s="14"/>
      <c r="I478" s="14"/>
      <c r="J478" s="14"/>
      <c r="K478" s="14"/>
      <c r="L478" s="14"/>
    </row>
    <row r="479" spans="2:12" ht="12.75" customHeight="1" x14ac:dyDescent="0.2">
      <c r="B479" s="14"/>
      <c r="C479" s="14"/>
      <c r="D479" s="14"/>
      <c r="E479" s="14"/>
      <c r="F479" s="14"/>
      <c r="G479" s="14"/>
      <c r="H479" s="14"/>
      <c r="I479" s="14"/>
      <c r="J479" s="14"/>
      <c r="K479" s="14"/>
      <c r="L479" s="14"/>
    </row>
    <row r="480" spans="2:12" ht="12.75" customHeight="1" x14ac:dyDescent="0.2">
      <c r="B480" s="14"/>
      <c r="C480" s="14"/>
      <c r="D480" s="14"/>
      <c r="E480" s="14"/>
      <c r="F480" s="14"/>
      <c r="G480" s="14"/>
      <c r="H480" s="14"/>
      <c r="I480" s="14"/>
      <c r="J480" s="14"/>
      <c r="K480" s="14"/>
      <c r="L480" s="14"/>
    </row>
    <row r="481" spans="2:12" ht="12.75" customHeight="1" x14ac:dyDescent="0.2">
      <c r="B481" s="14"/>
      <c r="C481" s="14"/>
      <c r="D481" s="14"/>
      <c r="E481" s="14"/>
      <c r="F481" s="14"/>
      <c r="G481" s="14"/>
      <c r="H481" s="14"/>
      <c r="I481" s="14"/>
      <c r="J481" s="14"/>
      <c r="K481" s="14"/>
      <c r="L481" s="14"/>
    </row>
    <row r="482" spans="2:12" ht="12.75" customHeight="1" x14ac:dyDescent="0.2">
      <c r="B482" s="14"/>
      <c r="C482" s="14"/>
      <c r="D482" s="14"/>
      <c r="E482" s="14"/>
      <c r="F482" s="14"/>
      <c r="G482" s="14"/>
      <c r="H482" s="14"/>
      <c r="I482" s="14"/>
      <c r="J482" s="14"/>
      <c r="K482" s="14"/>
      <c r="L482" s="14"/>
    </row>
    <row r="483" spans="2:12" ht="12.75" customHeight="1" x14ac:dyDescent="0.2">
      <c r="B483" s="14"/>
      <c r="C483" s="14"/>
      <c r="D483" s="14"/>
      <c r="E483" s="14"/>
      <c r="F483" s="14"/>
      <c r="G483" s="14"/>
      <c r="H483" s="14"/>
      <c r="I483" s="14"/>
      <c r="J483" s="14"/>
      <c r="K483" s="14"/>
      <c r="L483" s="14"/>
    </row>
    <row r="484" spans="2:12" ht="12.75" customHeight="1" x14ac:dyDescent="0.2">
      <c r="B484" s="14"/>
      <c r="C484" s="14"/>
      <c r="D484" s="14"/>
      <c r="E484" s="14"/>
      <c r="F484" s="14"/>
      <c r="G484" s="14"/>
      <c r="H484" s="14"/>
      <c r="I484" s="14"/>
      <c r="J484" s="14"/>
      <c r="K484" s="14"/>
      <c r="L484" s="14"/>
    </row>
    <row r="485" spans="2:12" ht="12.75" customHeight="1" x14ac:dyDescent="0.2">
      <c r="B485" s="14"/>
      <c r="C485" s="14"/>
      <c r="D485" s="14"/>
      <c r="E485" s="14"/>
      <c r="F485" s="14"/>
      <c r="G485" s="14"/>
      <c r="H485" s="14"/>
      <c r="I485" s="14"/>
      <c r="J485" s="14"/>
      <c r="K485" s="14"/>
      <c r="L485" s="14"/>
    </row>
    <row r="486" spans="2:12" ht="12.75" customHeight="1" x14ac:dyDescent="0.2">
      <c r="B486" s="14"/>
      <c r="C486" s="14"/>
      <c r="D486" s="14"/>
      <c r="E486" s="14"/>
      <c r="F486" s="14"/>
      <c r="G486" s="14"/>
      <c r="H486" s="14"/>
      <c r="I486" s="14"/>
      <c r="J486" s="14"/>
      <c r="K486" s="14"/>
      <c r="L486" s="14"/>
    </row>
    <row r="487" spans="2:12" ht="12.75" customHeight="1" x14ac:dyDescent="0.2">
      <c r="B487" s="14"/>
      <c r="C487" s="14"/>
      <c r="D487" s="14"/>
      <c r="E487" s="14"/>
      <c r="F487" s="14"/>
      <c r="G487" s="14"/>
      <c r="H487" s="14"/>
      <c r="I487" s="14"/>
      <c r="J487" s="14"/>
      <c r="K487" s="14"/>
      <c r="L487" s="14"/>
    </row>
    <row r="488" spans="2:12" ht="12.75" customHeight="1" x14ac:dyDescent="0.2">
      <c r="B488" s="14"/>
      <c r="C488" s="14"/>
      <c r="D488" s="14"/>
      <c r="E488" s="14"/>
      <c r="F488" s="14"/>
      <c r="G488" s="14"/>
      <c r="H488" s="14"/>
      <c r="I488" s="14"/>
      <c r="J488" s="14"/>
      <c r="K488" s="14"/>
      <c r="L488" s="14"/>
    </row>
    <row r="489" spans="2:12" ht="12.75" customHeight="1" x14ac:dyDescent="0.2">
      <c r="B489" s="14"/>
      <c r="C489" s="14"/>
      <c r="D489" s="14"/>
      <c r="E489" s="14"/>
      <c r="F489" s="14"/>
      <c r="G489" s="14"/>
      <c r="H489" s="14"/>
      <c r="I489" s="14"/>
      <c r="J489" s="14"/>
      <c r="K489" s="14"/>
      <c r="L489" s="14"/>
    </row>
    <row r="490" spans="2:12" ht="12.75" customHeight="1" x14ac:dyDescent="0.2">
      <c r="B490" s="14"/>
      <c r="C490" s="14"/>
      <c r="D490" s="14"/>
      <c r="E490" s="14"/>
      <c r="F490" s="14"/>
      <c r="G490" s="14"/>
      <c r="H490" s="14"/>
      <c r="I490" s="14"/>
      <c r="J490" s="14"/>
      <c r="K490" s="14"/>
      <c r="L490" s="14"/>
    </row>
    <row r="491" spans="2:12" ht="12.75" customHeight="1" x14ac:dyDescent="0.2">
      <c r="B491" s="14"/>
      <c r="C491" s="14"/>
      <c r="D491" s="14"/>
      <c r="E491" s="14"/>
      <c r="F491" s="14"/>
      <c r="G491" s="14"/>
      <c r="H491" s="14"/>
      <c r="I491" s="14"/>
      <c r="J491" s="14"/>
      <c r="K491" s="14"/>
      <c r="L491" s="14"/>
    </row>
    <row r="492" spans="2:12" ht="12.75" customHeight="1" x14ac:dyDescent="0.2">
      <c r="B492" s="14"/>
      <c r="C492" s="14"/>
      <c r="D492" s="14"/>
      <c r="E492" s="14"/>
      <c r="F492" s="14"/>
      <c r="G492" s="14"/>
      <c r="H492" s="14"/>
      <c r="I492" s="14"/>
      <c r="J492" s="14"/>
      <c r="K492" s="14"/>
      <c r="L492" s="14"/>
    </row>
    <row r="493" spans="2:12" ht="12.75" customHeight="1" x14ac:dyDescent="0.2">
      <c r="B493" s="14"/>
      <c r="C493" s="14"/>
      <c r="D493" s="14"/>
      <c r="E493" s="14"/>
      <c r="F493" s="14"/>
      <c r="G493" s="14"/>
      <c r="H493" s="14"/>
      <c r="I493" s="14"/>
      <c r="J493" s="14"/>
      <c r="K493" s="14"/>
      <c r="L493" s="14"/>
    </row>
    <row r="494" spans="2:12" ht="12.75" customHeight="1" x14ac:dyDescent="0.2">
      <c r="B494" s="14"/>
      <c r="C494" s="14"/>
      <c r="D494" s="14"/>
      <c r="E494" s="14"/>
      <c r="F494" s="14"/>
      <c r="G494" s="14"/>
      <c r="H494" s="14"/>
      <c r="I494" s="14"/>
      <c r="J494" s="14"/>
      <c r="K494" s="14"/>
      <c r="L494" s="14"/>
    </row>
    <row r="495" spans="2:12" ht="12.75" customHeight="1" x14ac:dyDescent="0.2">
      <c r="B495" s="14"/>
      <c r="C495" s="14"/>
      <c r="D495" s="14"/>
      <c r="E495" s="14"/>
      <c r="F495" s="14"/>
      <c r="G495" s="14"/>
      <c r="H495" s="14"/>
      <c r="I495" s="14"/>
      <c r="J495" s="14"/>
      <c r="K495" s="14"/>
      <c r="L495" s="14"/>
    </row>
    <row r="496" spans="2:12" ht="12.75" customHeight="1" x14ac:dyDescent="0.2">
      <c r="B496" s="14"/>
      <c r="C496" s="14"/>
      <c r="D496" s="14"/>
      <c r="E496" s="14"/>
      <c r="F496" s="14"/>
      <c r="G496" s="14"/>
      <c r="H496" s="14"/>
      <c r="I496" s="14"/>
      <c r="J496" s="14"/>
      <c r="K496" s="14"/>
      <c r="L496" s="14"/>
    </row>
    <row r="497" spans="2:12" ht="12.75" customHeight="1" x14ac:dyDescent="0.2">
      <c r="B497" s="14"/>
      <c r="C497" s="14"/>
      <c r="D497" s="14"/>
      <c r="E497" s="14"/>
      <c r="F497" s="14"/>
      <c r="G497" s="14"/>
      <c r="H497" s="14"/>
      <c r="I497" s="14"/>
      <c r="J497" s="14"/>
      <c r="K497" s="14"/>
      <c r="L497" s="14"/>
    </row>
    <row r="498" spans="2:12" ht="12.75" customHeight="1" x14ac:dyDescent="0.2">
      <c r="B498" s="14"/>
      <c r="C498" s="14"/>
      <c r="D498" s="14"/>
      <c r="E498" s="14"/>
      <c r="F498" s="14"/>
      <c r="G498" s="14"/>
      <c r="H498" s="14"/>
      <c r="I498" s="14"/>
      <c r="J498" s="14"/>
      <c r="K498" s="14"/>
      <c r="L498" s="14"/>
    </row>
    <row r="499" spans="2:12" ht="12.75" customHeight="1" x14ac:dyDescent="0.2">
      <c r="B499" s="14"/>
      <c r="C499" s="14"/>
      <c r="D499" s="14"/>
      <c r="E499" s="14"/>
      <c r="F499" s="14"/>
      <c r="G499" s="14"/>
      <c r="H499" s="14"/>
      <c r="I499" s="14"/>
      <c r="J499" s="14"/>
      <c r="K499" s="14"/>
      <c r="L499" s="14"/>
    </row>
    <row r="500" spans="2:12" ht="12.75" customHeight="1" x14ac:dyDescent="0.2">
      <c r="B500" s="14"/>
      <c r="C500" s="14"/>
      <c r="D500" s="14"/>
      <c r="E500" s="14"/>
      <c r="F500" s="14"/>
      <c r="G500" s="14"/>
      <c r="H500" s="14"/>
      <c r="I500" s="14"/>
      <c r="J500" s="14"/>
      <c r="K500" s="14"/>
      <c r="L500" s="14"/>
    </row>
    <row r="501" spans="2:12" ht="12.75" customHeight="1" x14ac:dyDescent="0.2">
      <c r="B501" s="14"/>
      <c r="C501" s="14"/>
      <c r="D501" s="14"/>
      <c r="E501" s="14"/>
      <c r="F501" s="14"/>
      <c r="G501" s="14"/>
      <c r="H501" s="14"/>
      <c r="I501" s="14"/>
      <c r="J501" s="14"/>
      <c r="K501" s="14"/>
      <c r="L501" s="14"/>
    </row>
    <row r="502" spans="2:12" ht="12.75" customHeight="1" x14ac:dyDescent="0.2">
      <c r="B502" s="14"/>
      <c r="C502" s="14"/>
      <c r="D502" s="14"/>
      <c r="E502" s="14"/>
      <c r="F502" s="14"/>
      <c r="G502" s="14"/>
      <c r="H502" s="14"/>
      <c r="I502" s="14"/>
      <c r="J502" s="14"/>
      <c r="K502" s="14"/>
      <c r="L502" s="14"/>
    </row>
    <row r="503" spans="2:12" ht="12.75" customHeight="1" x14ac:dyDescent="0.2">
      <c r="B503" s="14"/>
      <c r="C503" s="14"/>
      <c r="D503" s="14"/>
      <c r="E503" s="14"/>
      <c r="F503" s="14"/>
      <c r="G503" s="14"/>
      <c r="H503" s="14"/>
      <c r="I503" s="14"/>
      <c r="J503" s="14"/>
      <c r="K503" s="14"/>
      <c r="L503" s="14"/>
    </row>
    <row r="504" spans="2:12" ht="12.75" customHeight="1" x14ac:dyDescent="0.2">
      <c r="B504" s="14"/>
      <c r="C504" s="14"/>
      <c r="D504" s="14"/>
      <c r="E504" s="14"/>
      <c r="F504" s="14"/>
      <c r="G504" s="14"/>
      <c r="H504" s="14"/>
      <c r="I504" s="14"/>
      <c r="J504" s="14"/>
      <c r="K504" s="14"/>
      <c r="L504" s="14"/>
    </row>
    <row r="505" spans="2:12" ht="12.75" customHeight="1" x14ac:dyDescent="0.2">
      <c r="B505" s="14"/>
      <c r="C505" s="14"/>
      <c r="D505" s="14"/>
      <c r="E505" s="14"/>
      <c r="F505" s="14"/>
      <c r="G505" s="14"/>
      <c r="H505" s="14"/>
      <c r="I505" s="14"/>
      <c r="J505" s="14"/>
      <c r="K505" s="14"/>
      <c r="L505" s="14"/>
    </row>
    <row r="506" spans="2:12" ht="12.75" customHeight="1" x14ac:dyDescent="0.2">
      <c r="B506" s="14"/>
      <c r="C506" s="14"/>
      <c r="D506" s="14"/>
      <c r="E506" s="14"/>
      <c r="F506" s="14"/>
      <c r="G506" s="14"/>
      <c r="H506" s="14"/>
      <c r="I506" s="14"/>
      <c r="J506" s="14"/>
      <c r="K506" s="14"/>
      <c r="L506" s="14"/>
    </row>
    <row r="507" spans="2:12" ht="12.75" customHeight="1" x14ac:dyDescent="0.2">
      <c r="B507" s="14"/>
      <c r="C507" s="14"/>
      <c r="D507" s="14"/>
      <c r="E507" s="14"/>
      <c r="F507" s="14"/>
      <c r="G507" s="14"/>
      <c r="H507" s="14"/>
      <c r="I507" s="14"/>
      <c r="J507" s="14"/>
      <c r="K507" s="14"/>
      <c r="L507" s="14"/>
    </row>
    <row r="508" spans="2:12" ht="12.75" customHeight="1" x14ac:dyDescent="0.2">
      <c r="B508" s="14"/>
      <c r="C508" s="14"/>
      <c r="D508" s="14"/>
      <c r="E508" s="14"/>
      <c r="F508" s="14"/>
      <c r="G508" s="14"/>
      <c r="H508" s="14"/>
      <c r="I508" s="14"/>
      <c r="J508" s="14"/>
      <c r="K508" s="14"/>
      <c r="L508" s="14"/>
    </row>
    <row r="509" spans="2:12" ht="12.75" customHeight="1" x14ac:dyDescent="0.2">
      <c r="B509" s="14"/>
      <c r="C509" s="14"/>
      <c r="D509" s="14"/>
      <c r="E509" s="14"/>
      <c r="F509" s="14"/>
      <c r="G509" s="14"/>
      <c r="H509" s="14"/>
      <c r="I509" s="14"/>
      <c r="J509" s="14"/>
      <c r="K509" s="14"/>
      <c r="L509" s="14"/>
    </row>
    <row r="510" spans="2:12" ht="12.75" customHeight="1" x14ac:dyDescent="0.2">
      <c r="B510" s="14"/>
      <c r="C510" s="14"/>
      <c r="D510" s="14"/>
      <c r="E510" s="14"/>
      <c r="F510" s="14"/>
      <c r="G510" s="14"/>
      <c r="H510" s="14"/>
      <c r="I510" s="14"/>
      <c r="J510" s="14"/>
      <c r="K510" s="14"/>
      <c r="L510" s="14"/>
    </row>
    <row r="511" spans="2:12" ht="12.75" customHeight="1" x14ac:dyDescent="0.2">
      <c r="B511" s="14"/>
      <c r="C511" s="14"/>
      <c r="D511" s="14"/>
      <c r="E511" s="14"/>
      <c r="F511" s="14"/>
      <c r="G511" s="14"/>
      <c r="H511" s="14"/>
      <c r="I511" s="14"/>
      <c r="J511" s="14"/>
      <c r="K511" s="14"/>
      <c r="L511" s="14"/>
    </row>
    <row r="512" spans="2:12" ht="12.75" customHeight="1" x14ac:dyDescent="0.2">
      <c r="B512" s="14"/>
      <c r="C512" s="14"/>
      <c r="D512" s="14"/>
      <c r="E512" s="14"/>
      <c r="F512" s="14"/>
      <c r="G512" s="14"/>
      <c r="H512" s="14"/>
      <c r="I512" s="14"/>
      <c r="J512" s="14"/>
      <c r="K512" s="14"/>
      <c r="L512" s="14"/>
    </row>
    <row r="513" spans="2:12" ht="12.75" customHeight="1" x14ac:dyDescent="0.2">
      <c r="B513" s="14"/>
      <c r="C513" s="14"/>
      <c r="D513" s="14"/>
      <c r="E513" s="14"/>
      <c r="F513" s="14"/>
      <c r="G513" s="14"/>
      <c r="H513" s="14"/>
      <c r="I513" s="14"/>
      <c r="J513" s="14"/>
      <c r="K513" s="14"/>
      <c r="L513" s="14"/>
    </row>
    <row r="514" spans="2:12" ht="12.75" customHeight="1" x14ac:dyDescent="0.2">
      <c r="B514" s="14"/>
      <c r="C514" s="14"/>
      <c r="D514" s="14"/>
      <c r="E514" s="14"/>
      <c r="F514" s="14"/>
      <c r="G514" s="14"/>
      <c r="H514" s="14"/>
      <c r="I514" s="14"/>
      <c r="J514" s="14"/>
      <c r="K514" s="14"/>
      <c r="L514" s="14"/>
    </row>
    <row r="515" spans="2:12" ht="12.75" customHeight="1" x14ac:dyDescent="0.2">
      <c r="B515" s="14"/>
      <c r="C515" s="14"/>
      <c r="D515" s="14"/>
      <c r="E515" s="14"/>
      <c r="F515" s="14"/>
      <c r="G515" s="14"/>
      <c r="H515" s="14"/>
      <c r="I515" s="14"/>
      <c r="J515" s="14"/>
      <c r="K515" s="14"/>
      <c r="L515" s="14"/>
    </row>
    <row r="516" spans="2:12" ht="12.75" customHeight="1" x14ac:dyDescent="0.2">
      <c r="B516" s="14"/>
      <c r="C516" s="14"/>
      <c r="D516" s="14"/>
      <c r="E516" s="14"/>
      <c r="F516" s="14"/>
      <c r="G516" s="14"/>
      <c r="H516" s="14"/>
      <c r="I516" s="14"/>
      <c r="J516" s="14"/>
      <c r="K516" s="14"/>
      <c r="L516" s="14"/>
    </row>
    <row r="517" spans="2:12" ht="12.75" customHeight="1" x14ac:dyDescent="0.2">
      <c r="B517" s="14"/>
      <c r="C517" s="14"/>
      <c r="D517" s="14"/>
      <c r="E517" s="14"/>
      <c r="F517" s="14"/>
      <c r="G517" s="14"/>
      <c r="H517" s="14"/>
      <c r="I517" s="14"/>
      <c r="J517" s="14"/>
      <c r="K517" s="14"/>
      <c r="L517" s="14"/>
    </row>
    <row r="518" spans="2:12" ht="12.75" customHeight="1" x14ac:dyDescent="0.2">
      <c r="B518" s="14"/>
      <c r="C518" s="14"/>
      <c r="D518" s="14"/>
      <c r="E518" s="14"/>
      <c r="F518" s="14"/>
      <c r="G518" s="14"/>
      <c r="H518" s="14"/>
      <c r="I518" s="14"/>
      <c r="J518" s="14"/>
      <c r="K518" s="14"/>
      <c r="L518" s="14"/>
    </row>
    <row r="519" spans="2:12" ht="12.75" customHeight="1" x14ac:dyDescent="0.2">
      <c r="B519" s="14"/>
      <c r="C519" s="14"/>
      <c r="D519" s="14"/>
      <c r="E519" s="14"/>
      <c r="F519" s="14"/>
      <c r="G519" s="14"/>
      <c r="H519" s="14"/>
      <c r="I519" s="14"/>
      <c r="J519" s="14"/>
      <c r="K519" s="14"/>
      <c r="L519" s="14"/>
    </row>
    <row r="520" spans="2:12" ht="12.75" customHeight="1" x14ac:dyDescent="0.2">
      <c r="B520" s="14"/>
      <c r="C520" s="14"/>
      <c r="D520" s="14"/>
      <c r="E520" s="14"/>
      <c r="F520" s="14"/>
      <c r="G520" s="14"/>
      <c r="H520" s="14"/>
      <c r="I520" s="14"/>
      <c r="J520" s="14"/>
      <c r="K520" s="14"/>
      <c r="L520" s="14"/>
    </row>
    <row r="521" spans="2:12" ht="12.75" customHeight="1" x14ac:dyDescent="0.2">
      <c r="B521" s="14"/>
      <c r="C521" s="14"/>
      <c r="D521" s="14"/>
      <c r="E521" s="14"/>
      <c r="F521" s="14"/>
      <c r="G521" s="14"/>
      <c r="H521" s="14"/>
      <c r="I521" s="14"/>
      <c r="J521" s="14"/>
      <c r="K521" s="14"/>
      <c r="L521" s="14"/>
    </row>
    <row r="522" spans="2:12" ht="12.75" customHeight="1" x14ac:dyDescent="0.2">
      <c r="B522" s="14"/>
      <c r="C522" s="14"/>
      <c r="D522" s="14"/>
      <c r="E522" s="14"/>
      <c r="F522" s="14"/>
      <c r="G522" s="14"/>
      <c r="H522" s="14"/>
      <c r="I522" s="14"/>
      <c r="J522" s="14"/>
      <c r="K522" s="14"/>
      <c r="L522" s="14"/>
    </row>
    <row r="523" spans="2:12" ht="12.75" customHeight="1" x14ac:dyDescent="0.2">
      <c r="B523" s="14"/>
      <c r="C523" s="14"/>
      <c r="D523" s="14"/>
      <c r="E523" s="14"/>
      <c r="F523" s="14"/>
      <c r="G523" s="14"/>
      <c r="H523" s="14"/>
      <c r="I523" s="14"/>
      <c r="J523" s="14"/>
      <c r="K523" s="14"/>
      <c r="L523" s="14"/>
    </row>
    <row r="524" spans="2:12" ht="12.75" customHeight="1" x14ac:dyDescent="0.2">
      <c r="B524" s="14"/>
      <c r="C524" s="14"/>
      <c r="D524" s="14"/>
      <c r="E524" s="14"/>
      <c r="F524" s="14"/>
      <c r="G524" s="14"/>
      <c r="H524" s="14"/>
      <c r="I524" s="14"/>
      <c r="J524" s="14"/>
      <c r="K524" s="14"/>
      <c r="L524" s="14"/>
    </row>
    <row r="525" spans="2:12" ht="12.75" customHeight="1" x14ac:dyDescent="0.2">
      <c r="B525" s="14"/>
      <c r="C525" s="14"/>
      <c r="D525" s="14"/>
      <c r="E525" s="14"/>
      <c r="F525" s="14"/>
      <c r="G525" s="14"/>
      <c r="H525" s="14"/>
      <c r="I525" s="14"/>
      <c r="J525" s="14"/>
      <c r="K525" s="14"/>
      <c r="L525" s="14"/>
    </row>
    <row r="526" spans="2:12" ht="12.75" customHeight="1" x14ac:dyDescent="0.2">
      <c r="B526" s="14"/>
      <c r="C526" s="14"/>
      <c r="D526" s="14"/>
      <c r="E526" s="14"/>
      <c r="F526" s="14"/>
      <c r="G526" s="14"/>
      <c r="H526" s="14"/>
      <c r="I526" s="14"/>
      <c r="J526" s="14"/>
      <c r="K526" s="14"/>
      <c r="L526" s="14"/>
    </row>
    <row r="527" spans="2:12" ht="12.75" customHeight="1" x14ac:dyDescent="0.2">
      <c r="B527" s="14"/>
      <c r="C527" s="14"/>
      <c r="D527" s="14"/>
      <c r="E527" s="14"/>
      <c r="F527" s="14"/>
      <c r="G527" s="14"/>
      <c r="H527" s="14"/>
      <c r="I527" s="14"/>
      <c r="J527" s="14"/>
      <c r="K527" s="14"/>
      <c r="L527" s="14"/>
    </row>
    <row r="528" spans="2:12" ht="12.75" customHeight="1" x14ac:dyDescent="0.2">
      <c r="B528" s="14"/>
      <c r="C528" s="14"/>
      <c r="D528" s="14"/>
      <c r="E528" s="14"/>
      <c r="F528" s="14"/>
      <c r="G528" s="14"/>
      <c r="H528" s="14"/>
      <c r="I528" s="14"/>
      <c r="J528" s="14"/>
      <c r="K528" s="14"/>
      <c r="L528" s="14"/>
    </row>
    <row r="529" spans="2:12" ht="12.75" customHeight="1" x14ac:dyDescent="0.2">
      <c r="B529" s="14"/>
      <c r="C529" s="14"/>
      <c r="D529" s="14"/>
      <c r="E529" s="14"/>
      <c r="F529" s="14"/>
      <c r="G529" s="14"/>
      <c r="H529" s="14"/>
      <c r="I529" s="14"/>
      <c r="J529" s="14"/>
      <c r="K529" s="14"/>
      <c r="L529" s="14"/>
    </row>
    <row r="530" spans="2:12" ht="12.75" customHeight="1" x14ac:dyDescent="0.2">
      <c r="B530" s="14"/>
      <c r="C530" s="14"/>
      <c r="D530" s="14"/>
      <c r="E530" s="14"/>
      <c r="F530" s="14"/>
      <c r="G530" s="14"/>
      <c r="H530" s="14"/>
      <c r="I530" s="14"/>
      <c r="J530" s="14"/>
      <c r="K530" s="14"/>
      <c r="L530" s="14"/>
    </row>
    <row r="531" spans="2:12" ht="12.75" customHeight="1" x14ac:dyDescent="0.2">
      <c r="B531" s="14"/>
      <c r="C531" s="14"/>
      <c r="D531" s="14"/>
      <c r="E531" s="14"/>
      <c r="F531" s="14"/>
      <c r="G531" s="14"/>
      <c r="H531" s="14"/>
      <c r="I531" s="14"/>
      <c r="J531" s="14"/>
      <c r="K531" s="14"/>
      <c r="L531" s="14"/>
    </row>
    <row r="532" spans="2:12" ht="12.75" customHeight="1" x14ac:dyDescent="0.2">
      <c r="B532" s="14"/>
      <c r="C532" s="14"/>
      <c r="D532" s="14"/>
      <c r="E532" s="14"/>
      <c r="F532" s="14"/>
      <c r="G532" s="14"/>
      <c r="H532" s="14"/>
      <c r="I532" s="14"/>
      <c r="J532" s="14"/>
      <c r="K532" s="14"/>
      <c r="L532" s="14"/>
    </row>
    <row r="533" spans="2:12" ht="12.75" customHeight="1" x14ac:dyDescent="0.2">
      <c r="B533" s="14"/>
      <c r="C533" s="14"/>
      <c r="D533" s="14"/>
      <c r="E533" s="14"/>
      <c r="F533" s="14"/>
      <c r="G533" s="14"/>
      <c r="H533" s="14"/>
      <c r="I533" s="14"/>
      <c r="J533" s="14"/>
      <c r="K533" s="14"/>
      <c r="L533" s="14"/>
    </row>
    <row r="534" spans="2:12" ht="12.75" customHeight="1" x14ac:dyDescent="0.2">
      <c r="B534" s="14"/>
      <c r="C534" s="14"/>
      <c r="D534" s="14"/>
      <c r="E534" s="14"/>
      <c r="F534" s="14"/>
      <c r="G534" s="14"/>
      <c r="H534" s="14"/>
      <c r="I534" s="14"/>
      <c r="J534" s="14"/>
      <c r="K534" s="14"/>
      <c r="L534" s="14"/>
    </row>
    <row r="535" spans="2:12" ht="12.75" customHeight="1" x14ac:dyDescent="0.2">
      <c r="B535" s="14"/>
      <c r="C535" s="14"/>
      <c r="D535" s="14"/>
      <c r="E535" s="14"/>
      <c r="F535" s="14"/>
      <c r="G535" s="14"/>
      <c r="H535" s="14"/>
      <c r="I535" s="14"/>
      <c r="J535" s="14"/>
      <c r="K535" s="14"/>
      <c r="L535" s="14"/>
    </row>
    <row r="536" spans="2:12" ht="12.75" customHeight="1" x14ac:dyDescent="0.2">
      <c r="B536" s="14"/>
      <c r="C536" s="14"/>
      <c r="D536" s="14"/>
      <c r="E536" s="14"/>
      <c r="F536" s="14"/>
      <c r="G536" s="14"/>
      <c r="H536" s="14"/>
      <c r="I536" s="14"/>
      <c r="J536" s="14"/>
      <c r="K536" s="14"/>
      <c r="L536" s="14"/>
    </row>
    <row r="537" spans="2:12" ht="12.75" customHeight="1" x14ac:dyDescent="0.2">
      <c r="B537" s="14"/>
      <c r="C537" s="14"/>
      <c r="D537" s="14"/>
      <c r="E537" s="14"/>
      <c r="F537" s="14"/>
      <c r="G537" s="14"/>
      <c r="H537" s="14"/>
      <c r="I537" s="14"/>
      <c r="J537" s="14"/>
      <c r="K537" s="14"/>
      <c r="L537" s="14"/>
    </row>
    <row r="538" spans="2:12" ht="12.75" customHeight="1" x14ac:dyDescent="0.2">
      <c r="B538" s="14"/>
      <c r="C538" s="14"/>
      <c r="D538" s="14"/>
      <c r="E538" s="14"/>
      <c r="F538" s="14"/>
      <c r="G538" s="14"/>
      <c r="H538" s="14"/>
      <c r="I538" s="14"/>
      <c r="J538" s="14"/>
      <c r="K538" s="14"/>
      <c r="L538" s="14"/>
    </row>
    <row r="539" spans="2:12" ht="12.75" customHeight="1" x14ac:dyDescent="0.2">
      <c r="B539" s="14"/>
      <c r="C539" s="14"/>
      <c r="D539" s="14"/>
      <c r="E539" s="14"/>
      <c r="F539" s="14"/>
      <c r="G539" s="14"/>
      <c r="H539" s="14"/>
      <c r="I539" s="14"/>
      <c r="J539" s="14"/>
      <c r="K539" s="14"/>
      <c r="L539" s="14"/>
    </row>
    <row r="540" spans="2:12" ht="12.75" customHeight="1" x14ac:dyDescent="0.2">
      <c r="B540" s="14"/>
      <c r="C540" s="14"/>
      <c r="D540" s="14"/>
      <c r="E540" s="14"/>
      <c r="F540" s="14"/>
      <c r="G540" s="14"/>
      <c r="H540" s="14"/>
      <c r="I540" s="14"/>
      <c r="J540" s="14"/>
      <c r="K540" s="14"/>
      <c r="L540" s="14"/>
    </row>
    <row r="541" spans="2:12" ht="12.75" customHeight="1" x14ac:dyDescent="0.2">
      <c r="B541" s="14"/>
      <c r="C541" s="14"/>
      <c r="D541" s="14"/>
      <c r="E541" s="14"/>
      <c r="F541" s="14"/>
      <c r="G541" s="14"/>
      <c r="H541" s="14"/>
      <c r="I541" s="14"/>
      <c r="J541" s="14"/>
      <c r="K541" s="14"/>
      <c r="L541" s="14"/>
    </row>
    <row r="542" spans="2:12" ht="12.75" customHeight="1" x14ac:dyDescent="0.2">
      <c r="B542" s="14"/>
      <c r="C542" s="14"/>
      <c r="D542" s="14"/>
      <c r="E542" s="14"/>
      <c r="F542" s="14"/>
      <c r="G542" s="14"/>
      <c r="H542" s="14"/>
      <c r="I542" s="14"/>
      <c r="J542" s="14"/>
      <c r="K542" s="14"/>
      <c r="L542" s="14"/>
    </row>
    <row r="543" spans="2:12" ht="12.75" customHeight="1" x14ac:dyDescent="0.2">
      <c r="B543" s="14"/>
      <c r="C543" s="14"/>
      <c r="D543" s="14"/>
      <c r="E543" s="14"/>
      <c r="F543" s="14"/>
      <c r="G543" s="14"/>
      <c r="H543" s="14"/>
      <c r="I543" s="14"/>
      <c r="J543" s="14"/>
      <c r="K543" s="14"/>
      <c r="L543" s="14"/>
    </row>
    <row r="544" spans="2:12" ht="12.75" customHeight="1" x14ac:dyDescent="0.2">
      <c r="B544" s="14"/>
      <c r="C544" s="14"/>
      <c r="D544" s="14"/>
      <c r="E544" s="14"/>
      <c r="F544" s="14"/>
      <c r="G544" s="14"/>
      <c r="H544" s="14"/>
      <c r="I544" s="14"/>
      <c r="J544" s="14"/>
      <c r="K544" s="14"/>
      <c r="L544" s="14"/>
    </row>
    <row r="545" spans="2:12" ht="12.75" customHeight="1" x14ac:dyDescent="0.2">
      <c r="B545" s="14"/>
      <c r="C545" s="14"/>
      <c r="D545" s="14"/>
      <c r="E545" s="14"/>
      <c r="F545" s="14"/>
      <c r="G545" s="14"/>
      <c r="H545" s="14"/>
      <c r="I545" s="14"/>
      <c r="J545" s="14"/>
      <c r="K545" s="14"/>
      <c r="L545" s="14"/>
    </row>
    <row r="546" spans="2:12" ht="12.75" customHeight="1" x14ac:dyDescent="0.2">
      <c r="B546" s="14"/>
      <c r="C546" s="14"/>
      <c r="D546" s="14"/>
      <c r="E546" s="14"/>
      <c r="F546" s="14"/>
      <c r="G546" s="14"/>
      <c r="H546" s="14"/>
      <c r="I546" s="14"/>
      <c r="J546" s="14"/>
      <c r="K546" s="14"/>
      <c r="L546" s="14"/>
    </row>
    <row r="547" spans="2:12" ht="12.75" customHeight="1" x14ac:dyDescent="0.2">
      <c r="B547" s="14"/>
      <c r="C547" s="14"/>
      <c r="D547" s="14"/>
      <c r="E547" s="14"/>
      <c r="F547" s="14"/>
      <c r="G547" s="14"/>
      <c r="H547" s="14"/>
      <c r="I547" s="14"/>
      <c r="J547" s="14"/>
      <c r="K547" s="14"/>
      <c r="L547" s="14"/>
    </row>
    <row r="548" spans="2:12" ht="12.75" customHeight="1" x14ac:dyDescent="0.2">
      <c r="B548" s="14"/>
      <c r="C548" s="14"/>
      <c r="D548" s="14"/>
      <c r="E548" s="14"/>
      <c r="F548" s="14"/>
      <c r="G548" s="14"/>
      <c r="H548" s="14"/>
      <c r="I548" s="14"/>
      <c r="J548" s="14"/>
      <c r="K548" s="14"/>
      <c r="L548" s="14"/>
    </row>
    <row r="549" spans="2:12" ht="12.75" customHeight="1" x14ac:dyDescent="0.2">
      <c r="B549" s="14"/>
      <c r="C549" s="14"/>
      <c r="D549" s="14"/>
      <c r="E549" s="14"/>
      <c r="F549" s="14"/>
      <c r="G549" s="14"/>
      <c r="H549" s="14"/>
      <c r="I549" s="14"/>
      <c r="J549" s="14"/>
      <c r="K549" s="14"/>
      <c r="L549" s="14"/>
    </row>
    <row r="550" spans="2:12" ht="12.75" customHeight="1" x14ac:dyDescent="0.2">
      <c r="B550" s="14"/>
      <c r="C550" s="14"/>
      <c r="D550" s="14"/>
      <c r="E550" s="14"/>
      <c r="F550" s="14"/>
      <c r="G550" s="14"/>
      <c r="H550" s="14"/>
      <c r="I550" s="14"/>
      <c r="J550" s="14"/>
      <c r="K550" s="14"/>
      <c r="L550" s="14"/>
    </row>
    <row r="551" spans="2:12" ht="12.75" customHeight="1" x14ac:dyDescent="0.2">
      <c r="B551" s="14"/>
      <c r="C551" s="14"/>
      <c r="D551" s="14"/>
      <c r="E551" s="14"/>
      <c r="F551" s="14"/>
      <c r="G551" s="14"/>
      <c r="H551" s="14"/>
      <c r="I551" s="14"/>
      <c r="J551" s="14"/>
      <c r="K551" s="14"/>
      <c r="L551" s="14"/>
    </row>
    <row r="552" spans="2:12" ht="12.75" customHeight="1" x14ac:dyDescent="0.2">
      <c r="B552" s="14"/>
      <c r="C552" s="14"/>
      <c r="D552" s="14"/>
      <c r="E552" s="14"/>
      <c r="F552" s="14"/>
      <c r="G552" s="14"/>
      <c r="H552" s="14"/>
      <c r="I552" s="14"/>
      <c r="J552" s="14"/>
      <c r="K552" s="14"/>
      <c r="L552" s="14"/>
    </row>
    <row r="553" spans="2:12" ht="12.75" customHeight="1" x14ac:dyDescent="0.2">
      <c r="B553" s="14"/>
      <c r="C553" s="14"/>
      <c r="D553" s="14"/>
      <c r="E553" s="14"/>
      <c r="F553" s="14"/>
      <c r="G553" s="14"/>
      <c r="H553" s="14"/>
      <c r="I553" s="14"/>
      <c r="J553" s="14"/>
      <c r="K553" s="14"/>
      <c r="L553" s="14"/>
    </row>
    <row r="554" spans="2:12" ht="12.75" customHeight="1" x14ac:dyDescent="0.2">
      <c r="B554" s="14"/>
      <c r="C554" s="14"/>
      <c r="D554" s="14"/>
      <c r="E554" s="14"/>
      <c r="F554" s="14"/>
      <c r="G554" s="14"/>
      <c r="H554" s="14"/>
      <c r="I554" s="14"/>
      <c r="J554" s="14"/>
      <c r="K554" s="14"/>
      <c r="L554" s="14"/>
    </row>
    <row r="555" spans="2:12" ht="12.75" customHeight="1" x14ac:dyDescent="0.2">
      <c r="B555" s="14"/>
      <c r="C555" s="14"/>
      <c r="D555" s="14"/>
      <c r="E555" s="14"/>
      <c r="F555" s="14"/>
      <c r="G555" s="14"/>
      <c r="H555" s="14"/>
      <c r="I555" s="14"/>
      <c r="J555" s="14"/>
      <c r="K555" s="14"/>
      <c r="L555" s="14"/>
    </row>
    <row r="556" spans="2:12" ht="12.75" customHeight="1" x14ac:dyDescent="0.2">
      <c r="B556" s="14"/>
      <c r="C556" s="14"/>
      <c r="D556" s="14"/>
      <c r="E556" s="14"/>
      <c r="F556" s="14"/>
      <c r="G556" s="14"/>
      <c r="H556" s="14"/>
      <c r="I556" s="14"/>
      <c r="J556" s="14"/>
      <c r="K556" s="14"/>
      <c r="L556" s="14"/>
    </row>
    <row r="557" spans="2:12" ht="12.75" customHeight="1" x14ac:dyDescent="0.2">
      <c r="B557" s="14"/>
      <c r="C557" s="14"/>
      <c r="D557" s="14"/>
      <c r="E557" s="14"/>
      <c r="F557" s="14"/>
      <c r="G557" s="14"/>
      <c r="H557" s="14"/>
      <c r="I557" s="14"/>
      <c r="J557" s="14"/>
      <c r="K557" s="14"/>
      <c r="L557" s="14"/>
    </row>
    <row r="558" spans="2:12" ht="12.75" customHeight="1" x14ac:dyDescent="0.2">
      <c r="B558" s="14"/>
      <c r="C558" s="14"/>
      <c r="D558" s="14"/>
      <c r="E558" s="14"/>
      <c r="F558" s="14"/>
      <c r="G558" s="14"/>
      <c r="H558" s="14"/>
      <c r="I558" s="14"/>
      <c r="J558" s="14"/>
      <c r="K558" s="14"/>
      <c r="L558" s="14"/>
    </row>
    <row r="559" spans="2:12" ht="12.75" customHeight="1" x14ac:dyDescent="0.2">
      <c r="B559" s="14"/>
      <c r="C559" s="14"/>
      <c r="D559" s="14"/>
      <c r="E559" s="14"/>
      <c r="F559" s="14"/>
      <c r="G559" s="14"/>
      <c r="H559" s="14"/>
      <c r="I559" s="14"/>
      <c r="J559" s="14"/>
      <c r="K559" s="14"/>
      <c r="L559" s="14"/>
    </row>
    <row r="560" spans="2:12" ht="12.75" customHeight="1" x14ac:dyDescent="0.2">
      <c r="B560" s="14"/>
      <c r="C560" s="14"/>
      <c r="D560" s="14"/>
      <c r="E560" s="14"/>
      <c r="F560" s="14"/>
      <c r="G560" s="14"/>
      <c r="H560" s="14"/>
      <c r="I560" s="14"/>
      <c r="J560" s="14"/>
      <c r="K560" s="14"/>
      <c r="L560" s="14"/>
    </row>
    <row r="561" spans="2:12" ht="12.75" customHeight="1" x14ac:dyDescent="0.2">
      <c r="B561" s="14"/>
      <c r="C561" s="14"/>
      <c r="D561" s="14"/>
      <c r="E561" s="14"/>
      <c r="F561" s="14"/>
      <c r="G561" s="14"/>
      <c r="H561" s="14"/>
      <c r="I561" s="14"/>
      <c r="J561" s="14"/>
      <c r="K561" s="14"/>
      <c r="L561" s="14"/>
    </row>
    <row r="562" spans="2:12" ht="12.75" customHeight="1" x14ac:dyDescent="0.2">
      <c r="B562" s="14"/>
      <c r="C562" s="14"/>
      <c r="D562" s="14"/>
      <c r="E562" s="14"/>
      <c r="F562" s="14"/>
      <c r="G562" s="14"/>
      <c r="H562" s="14"/>
      <c r="I562" s="14"/>
      <c r="J562" s="14"/>
      <c r="K562" s="14"/>
      <c r="L562" s="14"/>
    </row>
    <row r="563" spans="2:12" ht="12.75" customHeight="1" x14ac:dyDescent="0.2">
      <c r="B563" s="14"/>
      <c r="C563" s="14"/>
      <c r="D563" s="14"/>
      <c r="E563" s="14"/>
      <c r="F563" s="14"/>
      <c r="G563" s="14"/>
      <c r="H563" s="14"/>
      <c r="I563" s="14"/>
      <c r="J563" s="14"/>
      <c r="K563" s="14"/>
      <c r="L563" s="14"/>
    </row>
    <row r="564" spans="2:12" ht="12.75" customHeight="1" x14ac:dyDescent="0.2">
      <c r="B564" s="14"/>
      <c r="C564" s="14"/>
      <c r="D564" s="14"/>
      <c r="E564" s="14"/>
      <c r="F564" s="14"/>
      <c r="G564" s="14"/>
      <c r="H564" s="14"/>
      <c r="I564" s="14"/>
      <c r="J564" s="14"/>
      <c r="K564" s="14"/>
      <c r="L564" s="14"/>
    </row>
    <row r="565" spans="2:12" ht="12.75" customHeight="1" x14ac:dyDescent="0.2">
      <c r="B565" s="14"/>
      <c r="C565" s="14"/>
      <c r="D565" s="14"/>
      <c r="E565" s="14"/>
      <c r="F565" s="14"/>
      <c r="G565" s="14"/>
      <c r="H565" s="14"/>
      <c r="I565" s="14"/>
      <c r="J565" s="14"/>
      <c r="K565" s="14"/>
      <c r="L565" s="14"/>
    </row>
    <row r="566" spans="2:12" ht="12.75" customHeight="1" x14ac:dyDescent="0.2">
      <c r="B566" s="14"/>
      <c r="C566" s="14"/>
      <c r="D566" s="14"/>
      <c r="E566" s="14"/>
      <c r="F566" s="14"/>
      <c r="G566" s="14"/>
      <c r="H566" s="14"/>
      <c r="I566" s="14"/>
      <c r="J566" s="14"/>
      <c r="K566" s="14"/>
      <c r="L566" s="14"/>
    </row>
    <row r="567" spans="2:12" ht="12.75" customHeight="1" x14ac:dyDescent="0.2">
      <c r="B567" s="14"/>
      <c r="C567" s="14"/>
      <c r="D567" s="14"/>
      <c r="E567" s="14"/>
      <c r="F567" s="14"/>
      <c r="G567" s="14"/>
      <c r="H567" s="14"/>
      <c r="I567" s="14"/>
      <c r="J567" s="14"/>
      <c r="K567" s="14"/>
      <c r="L567" s="14"/>
    </row>
    <row r="568" spans="2:12" ht="12.75" customHeight="1" x14ac:dyDescent="0.2">
      <c r="B568" s="14"/>
      <c r="C568" s="14"/>
      <c r="D568" s="14"/>
      <c r="E568" s="14"/>
      <c r="F568" s="14"/>
      <c r="G568" s="14"/>
      <c r="H568" s="14"/>
      <c r="I568" s="14"/>
      <c r="J568" s="14"/>
      <c r="K568" s="14"/>
      <c r="L568" s="14"/>
    </row>
    <row r="569" spans="2:12" ht="12.75" customHeight="1" x14ac:dyDescent="0.2">
      <c r="B569" s="14"/>
      <c r="C569" s="14"/>
      <c r="D569" s="14"/>
      <c r="E569" s="14"/>
      <c r="F569" s="14"/>
      <c r="G569" s="14"/>
      <c r="H569" s="14"/>
      <c r="I569" s="14"/>
      <c r="J569" s="14"/>
      <c r="K569" s="14"/>
      <c r="L569" s="14"/>
    </row>
    <row r="570" spans="2:12" ht="12.75" customHeight="1" x14ac:dyDescent="0.2">
      <c r="B570" s="14"/>
      <c r="C570" s="14"/>
      <c r="D570" s="14"/>
      <c r="E570" s="14"/>
      <c r="F570" s="14"/>
      <c r="G570" s="14"/>
      <c r="H570" s="14"/>
      <c r="I570" s="14"/>
      <c r="J570" s="14"/>
      <c r="K570" s="14"/>
      <c r="L570" s="14"/>
    </row>
    <row r="571" spans="2:12" ht="12.75" customHeight="1" x14ac:dyDescent="0.2">
      <c r="B571" s="14"/>
      <c r="C571" s="14"/>
      <c r="D571" s="14"/>
      <c r="E571" s="14"/>
      <c r="F571" s="14"/>
      <c r="G571" s="14"/>
      <c r="H571" s="14"/>
      <c r="I571" s="14"/>
      <c r="J571" s="14"/>
      <c r="K571" s="14"/>
      <c r="L571" s="14"/>
    </row>
    <row r="572" spans="2:12" ht="12.75" customHeight="1" x14ac:dyDescent="0.2">
      <c r="B572" s="14"/>
      <c r="C572" s="14"/>
      <c r="D572" s="14"/>
      <c r="E572" s="14"/>
      <c r="F572" s="14"/>
      <c r="G572" s="14"/>
      <c r="H572" s="14"/>
      <c r="I572" s="14"/>
      <c r="J572" s="14"/>
      <c r="K572" s="14"/>
      <c r="L572" s="14"/>
    </row>
    <row r="573" spans="2:12" ht="12.75" customHeight="1" x14ac:dyDescent="0.2">
      <c r="B573" s="14"/>
      <c r="C573" s="14"/>
      <c r="D573" s="14"/>
      <c r="E573" s="14"/>
      <c r="F573" s="14"/>
      <c r="G573" s="14"/>
      <c r="H573" s="14"/>
      <c r="I573" s="14"/>
      <c r="J573" s="14"/>
      <c r="K573" s="14"/>
      <c r="L573" s="14"/>
    </row>
    <row r="574" spans="2:12" ht="12.75" customHeight="1" x14ac:dyDescent="0.2">
      <c r="B574" s="14"/>
      <c r="C574" s="14"/>
      <c r="D574" s="14"/>
      <c r="E574" s="14"/>
      <c r="F574" s="14"/>
      <c r="G574" s="14"/>
      <c r="H574" s="14"/>
      <c r="I574" s="14"/>
      <c r="J574" s="14"/>
      <c r="K574" s="14"/>
      <c r="L574" s="14"/>
    </row>
    <row r="575" spans="2:12" ht="12.75" customHeight="1" x14ac:dyDescent="0.2">
      <c r="B575" s="14"/>
      <c r="C575" s="14"/>
      <c r="D575" s="14"/>
      <c r="E575" s="14"/>
      <c r="F575" s="14"/>
      <c r="G575" s="14"/>
      <c r="H575" s="14"/>
      <c r="I575" s="14"/>
      <c r="J575" s="14"/>
      <c r="K575" s="14"/>
      <c r="L575" s="14"/>
    </row>
    <row r="576" spans="2:12" ht="12.75" customHeight="1" x14ac:dyDescent="0.2">
      <c r="B576" s="14"/>
      <c r="C576" s="14"/>
      <c r="D576" s="14"/>
      <c r="E576" s="14"/>
      <c r="F576" s="14"/>
      <c r="G576" s="14"/>
      <c r="H576" s="14"/>
      <c r="I576" s="14"/>
      <c r="J576" s="14"/>
      <c r="K576" s="14"/>
      <c r="L576" s="14"/>
    </row>
    <row r="577" spans="2:12" ht="12.75" customHeight="1" x14ac:dyDescent="0.2">
      <c r="B577" s="14"/>
      <c r="C577" s="14"/>
      <c r="D577" s="14"/>
      <c r="E577" s="14"/>
      <c r="F577" s="14"/>
      <c r="G577" s="14"/>
      <c r="H577" s="14"/>
      <c r="I577" s="14"/>
      <c r="J577" s="14"/>
      <c r="K577" s="14"/>
      <c r="L577" s="14"/>
    </row>
    <row r="578" spans="2:12" ht="12.75" customHeight="1" x14ac:dyDescent="0.2">
      <c r="B578" s="14"/>
      <c r="C578" s="14"/>
      <c r="D578" s="14"/>
      <c r="E578" s="14"/>
      <c r="F578" s="14"/>
      <c r="G578" s="14"/>
      <c r="H578" s="14"/>
      <c r="I578" s="14"/>
      <c r="J578" s="14"/>
      <c r="K578" s="14"/>
      <c r="L578" s="14"/>
    </row>
    <row r="579" spans="2:12" ht="12.75" customHeight="1" x14ac:dyDescent="0.2">
      <c r="B579" s="14"/>
      <c r="C579" s="14"/>
      <c r="D579" s="14"/>
      <c r="E579" s="14"/>
      <c r="F579" s="14"/>
      <c r="G579" s="14"/>
      <c r="H579" s="14"/>
      <c r="I579" s="14"/>
      <c r="J579" s="14"/>
      <c r="K579" s="14"/>
      <c r="L579" s="14"/>
    </row>
    <row r="580" spans="2:12" ht="12.75" customHeight="1" x14ac:dyDescent="0.2">
      <c r="B580" s="14"/>
      <c r="C580" s="14"/>
      <c r="D580" s="14"/>
      <c r="E580" s="14"/>
      <c r="F580" s="14"/>
      <c r="G580" s="14"/>
      <c r="H580" s="14"/>
      <c r="I580" s="14"/>
      <c r="J580" s="14"/>
      <c r="K580" s="14"/>
      <c r="L580" s="14"/>
    </row>
    <row r="581" spans="2:12" ht="12.75" customHeight="1" x14ac:dyDescent="0.2">
      <c r="B581" s="14"/>
      <c r="C581" s="14"/>
      <c r="D581" s="14"/>
      <c r="E581" s="14"/>
      <c r="F581" s="14"/>
      <c r="G581" s="14"/>
      <c r="H581" s="14"/>
      <c r="I581" s="14"/>
      <c r="J581" s="14"/>
      <c r="K581" s="14"/>
      <c r="L581" s="14"/>
    </row>
    <row r="582" spans="2:12" ht="12.75" customHeight="1" x14ac:dyDescent="0.2">
      <c r="B582" s="14"/>
      <c r="C582" s="14"/>
      <c r="D582" s="14"/>
      <c r="E582" s="14"/>
      <c r="F582" s="14"/>
      <c r="G582" s="14"/>
      <c r="H582" s="14"/>
      <c r="I582" s="14"/>
      <c r="J582" s="14"/>
      <c r="K582" s="14"/>
      <c r="L582" s="14"/>
    </row>
    <row r="583" spans="2:12" ht="12.75" customHeight="1" x14ac:dyDescent="0.2">
      <c r="B583" s="14"/>
      <c r="C583" s="14"/>
      <c r="D583" s="14"/>
      <c r="E583" s="14"/>
      <c r="F583" s="14"/>
      <c r="G583" s="14"/>
      <c r="H583" s="14"/>
      <c r="I583" s="14"/>
      <c r="J583" s="14"/>
      <c r="K583" s="14"/>
      <c r="L583" s="14"/>
    </row>
    <row r="584" spans="2:12" ht="12.75" customHeight="1" x14ac:dyDescent="0.2">
      <c r="B584" s="14"/>
      <c r="C584" s="14"/>
      <c r="D584" s="14"/>
      <c r="E584" s="14"/>
      <c r="F584" s="14"/>
      <c r="G584" s="14"/>
      <c r="H584" s="14"/>
      <c r="I584" s="14"/>
      <c r="J584" s="14"/>
      <c r="K584" s="14"/>
      <c r="L584" s="14"/>
    </row>
    <row r="585" spans="2:12" ht="12.75" customHeight="1" x14ac:dyDescent="0.2">
      <c r="B585" s="14"/>
      <c r="C585" s="14"/>
      <c r="D585" s="14"/>
      <c r="E585" s="14"/>
      <c r="F585" s="14"/>
      <c r="G585" s="14"/>
      <c r="H585" s="14"/>
      <c r="I585" s="14"/>
      <c r="J585" s="14"/>
      <c r="K585" s="14"/>
      <c r="L585" s="14"/>
    </row>
    <row r="586" spans="2:12" ht="12.75" customHeight="1" x14ac:dyDescent="0.2">
      <c r="B586" s="14"/>
      <c r="C586" s="14"/>
      <c r="D586" s="14"/>
      <c r="E586" s="14"/>
      <c r="F586" s="14"/>
      <c r="G586" s="14"/>
      <c r="H586" s="14"/>
      <c r="I586" s="14"/>
      <c r="J586" s="14"/>
      <c r="K586" s="14"/>
      <c r="L586" s="14"/>
    </row>
    <row r="587" spans="2:12" ht="12.75" customHeight="1" x14ac:dyDescent="0.2">
      <c r="B587" s="14"/>
      <c r="C587" s="14"/>
      <c r="D587" s="14"/>
      <c r="E587" s="14"/>
      <c r="F587" s="14"/>
      <c r="G587" s="14"/>
      <c r="H587" s="14"/>
      <c r="I587" s="14"/>
      <c r="J587" s="14"/>
      <c r="K587" s="14"/>
      <c r="L587" s="14"/>
    </row>
    <row r="588" spans="2:12" ht="12.75" customHeight="1" x14ac:dyDescent="0.2">
      <c r="B588" s="14"/>
      <c r="C588" s="14"/>
      <c r="D588" s="14"/>
      <c r="E588" s="14"/>
      <c r="F588" s="14"/>
      <c r="G588" s="14"/>
      <c r="H588" s="14"/>
      <c r="I588" s="14"/>
      <c r="J588" s="14"/>
      <c r="K588" s="14"/>
      <c r="L588" s="14"/>
    </row>
    <row r="589" spans="2:12" ht="12.75" customHeight="1" x14ac:dyDescent="0.2">
      <c r="B589" s="14"/>
      <c r="C589" s="14"/>
      <c r="D589" s="14"/>
      <c r="E589" s="14"/>
      <c r="F589" s="14"/>
      <c r="G589" s="14"/>
      <c r="H589" s="14"/>
      <c r="I589" s="14"/>
      <c r="J589" s="14"/>
      <c r="K589" s="14"/>
      <c r="L589" s="14"/>
    </row>
    <row r="590" spans="2:12" ht="12.75" customHeight="1" x14ac:dyDescent="0.2">
      <c r="B590" s="14"/>
      <c r="C590" s="14"/>
      <c r="D590" s="14"/>
      <c r="E590" s="14"/>
      <c r="F590" s="14"/>
      <c r="G590" s="14"/>
      <c r="H590" s="14"/>
      <c r="I590" s="14"/>
      <c r="J590" s="14"/>
      <c r="K590" s="14"/>
      <c r="L590" s="14"/>
    </row>
    <row r="591" spans="2:12" ht="12.75" customHeight="1" x14ac:dyDescent="0.2">
      <c r="B591" s="14"/>
      <c r="C591" s="14"/>
      <c r="D591" s="14"/>
      <c r="E591" s="14"/>
      <c r="F591" s="14"/>
      <c r="G591" s="14"/>
      <c r="H591" s="14"/>
      <c r="I591" s="14"/>
      <c r="J591" s="14"/>
      <c r="K591" s="14"/>
      <c r="L591" s="14"/>
    </row>
    <row r="592" spans="2:12" ht="12.75" customHeight="1" x14ac:dyDescent="0.2">
      <c r="B592" s="14"/>
      <c r="C592" s="14"/>
      <c r="D592" s="14"/>
      <c r="E592" s="14"/>
      <c r="F592" s="14"/>
      <c r="G592" s="14"/>
      <c r="H592" s="14"/>
      <c r="I592" s="14"/>
      <c r="J592" s="14"/>
      <c r="K592" s="14"/>
      <c r="L592" s="14"/>
    </row>
    <row r="593" spans="2:12" ht="12.75" customHeight="1" x14ac:dyDescent="0.2">
      <c r="B593" s="14"/>
      <c r="C593" s="14"/>
      <c r="D593" s="14"/>
      <c r="E593" s="14"/>
      <c r="F593" s="14"/>
      <c r="G593" s="14"/>
      <c r="H593" s="14"/>
      <c r="I593" s="14"/>
      <c r="J593" s="14"/>
      <c r="K593" s="14"/>
      <c r="L593" s="14"/>
    </row>
    <row r="594" spans="2:12" ht="12.75" customHeight="1" x14ac:dyDescent="0.2">
      <c r="B594" s="14"/>
      <c r="C594" s="14"/>
      <c r="D594" s="14"/>
      <c r="E594" s="14"/>
      <c r="F594" s="14"/>
      <c r="G594" s="14"/>
      <c r="H594" s="14"/>
      <c r="I594" s="14"/>
      <c r="J594" s="14"/>
      <c r="K594" s="14"/>
      <c r="L594" s="14"/>
    </row>
    <row r="595" spans="2:12" ht="12.75" customHeight="1" x14ac:dyDescent="0.2">
      <c r="B595" s="14"/>
      <c r="C595" s="14"/>
      <c r="D595" s="14"/>
      <c r="E595" s="14"/>
      <c r="F595" s="14"/>
      <c r="G595" s="14"/>
      <c r="H595" s="14"/>
      <c r="I595" s="14"/>
      <c r="J595" s="14"/>
      <c r="K595" s="14"/>
      <c r="L595" s="14"/>
    </row>
    <row r="596" spans="2:12" ht="12.75" customHeight="1" x14ac:dyDescent="0.2">
      <c r="B596" s="14"/>
      <c r="C596" s="14"/>
      <c r="D596" s="14"/>
      <c r="E596" s="14"/>
      <c r="F596" s="14"/>
      <c r="G596" s="14"/>
      <c r="H596" s="14"/>
      <c r="I596" s="14"/>
      <c r="J596" s="14"/>
      <c r="K596" s="14"/>
      <c r="L596" s="14"/>
    </row>
    <row r="597" spans="2:12" ht="12.75" customHeight="1" x14ac:dyDescent="0.2">
      <c r="B597" s="14"/>
      <c r="C597" s="14"/>
      <c r="D597" s="14"/>
      <c r="E597" s="14"/>
      <c r="F597" s="14"/>
      <c r="G597" s="14"/>
      <c r="H597" s="14"/>
      <c r="I597" s="14"/>
      <c r="J597" s="14"/>
      <c r="K597" s="14"/>
      <c r="L597" s="14"/>
    </row>
    <row r="598" spans="2:12" ht="12.75" customHeight="1" x14ac:dyDescent="0.2">
      <c r="B598" s="14"/>
      <c r="C598" s="14"/>
      <c r="D598" s="14"/>
      <c r="E598" s="14"/>
      <c r="F598" s="14"/>
      <c r="G598" s="14"/>
      <c r="H598" s="14"/>
      <c r="I598" s="14"/>
      <c r="J598" s="14"/>
      <c r="K598" s="14"/>
      <c r="L598" s="14"/>
    </row>
    <row r="599" spans="2:12" ht="12.75" customHeight="1" x14ac:dyDescent="0.2">
      <c r="B599" s="14"/>
      <c r="C599" s="14"/>
      <c r="D599" s="14"/>
      <c r="E599" s="14"/>
      <c r="F599" s="14"/>
      <c r="G599" s="14"/>
      <c r="H599" s="14"/>
      <c r="I599" s="14"/>
      <c r="J599" s="14"/>
      <c r="K599" s="14"/>
      <c r="L599" s="14"/>
    </row>
    <row r="600" spans="2:12" ht="12.75" customHeight="1" x14ac:dyDescent="0.2">
      <c r="B600" s="14"/>
      <c r="C600" s="14"/>
      <c r="D600" s="14"/>
      <c r="E600" s="14"/>
      <c r="F600" s="14"/>
      <c r="G600" s="14"/>
      <c r="H600" s="14"/>
      <c r="I600" s="14"/>
      <c r="J600" s="14"/>
      <c r="K600" s="14"/>
      <c r="L600" s="14"/>
    </row>
    <row r="601" spans="2:12" ht="12.75" customHeight="1" x14ac:dyDescent="0.2">
      <c r="B601" s="14"/>
      <c r="C601" s="14"/>
      <c r="D601" s="14"/>
      <c r="E601" s="14"/>
      <c r="F601" s="14"/>
      <c r="G601" s="14"/>
      <c r="H601" s="14"/>
      <c r="I601" s="14"/>
      <c r="J601" s="14"/>
      <c r="K601" s="14"/>
      <c r="L601" s="14"/>
    </row>
    <row r="602" spans="2:12" ht="12.75" customHeight="1" x14ac:dyDescent="0.2">
      <c r="B602" s="14"/>
      <c r="C602" s="14"/>
      <c r="D602" s="14"/>
      <c r="E602" s="14"/>
      <c r="F602" s="14"/>
      <c r="G602" s="14"/>
      <c r="H602" s="14"/>
      <c r="I602" s="14"/>
      <c r="J602" s="14"/>
      <c r="K602" s="14"/>
      <c r="L602" s="14"/>
    </row>
    <row r="603" spans="2:12" ht="12.75" customHeight="1" x14ac:dyDescent="0.2">
      <c r="B603" s="14"/>
      <c r="C603" s="14"/>
      <c r="D603" s="14"/>
      <c r="E603" s="14"/>
      <c r="F603" s="14"/>
      <c r="G603" s="14"/>
      <c r="H603" s="14"/>
      <c r="I603" s="14"/>
      <c r="J603" s="14"/>
      <c r="K603" s="14"/>
      <c r="L603" s="14"/>
    </row>
    <row r="604" spans="2:12" ht="12.75" customHeight="1" x14ac:dyDescent="0.2">
      <c r="B604" s="14"/>
      <c r="C604" s="14"/>
      <c r="D604" s="14"/>
      <c r="E604" s="14"/>
      <c r="F604" s="14"/>
      <c r="G604" s="14"/>
      <c r="H604" s="14"/>
      <c r="I604" s="14"/>
      <c r="J604" s="14"/>
      <c r="K604" s="14"/>
      <c r="L604" s="14"/>
    </row>
    <row r="605" spans="2:12" ht="12.75" customHeight="1" x14ac:dyDescent="0.2">
      <c r="B605" s="14"/>
      <c r="C605" s="14"/>
      <c r="D605" s="14"/>
      <c r="E605" s="14"/>
      <c r="F605" s="14"/>
      <c r="G605" s="14"/>
      <c r="H605" s="14"/>
      <c r="I605" s="14"/>
      <c r="J605" s="14"/>
      <c r="K605" s="14"/>
      <c r="L605" s="14"/>
    </row>
    <row r="606" spans="2:12" ht="12.75" customHeight="1" x14ac:dyDescent="0.2">
      <c r="B606" s="14"/>
      <c r="C606" s="14"/>
      <c r="D606" s="14"/>
      <c r="E606" s="14"/>
      <c r="F606" s="14"/>
      <c r="G606" s="14"/>
      <c r="H606" s="14"/>
      <c r="I606" s="14"/>
      <c r="J606" s="14"/>
      <c r="K606" s="14"/>
      <c r="L606" s="14"/>
    </row>
    <row r="607" spans="2:12" ht="12.75" customHeight="1" x14ac:dyDescent="0.2">
      <c r="B607" s="14"/>
      <c r="C607" s="14"/>
      <c r="D607" s="14"/>
      <c r="E607" s="14"/>
      <c r="F607" s="14"/>
      <c r="G607" s="14"/>
      <c r="H607" s="14"/>
      <c r="I607" s="14"/>
      <c r="J607" s="14"/>
      <c r="K607" s="14"/>
      <c r="L607" s="14"/>
    </row>
    <row r="608" spans="2:12" ht="12.75" customHeight="1" x14ac:dyDescent="0.2">
      <c r="B608" s="14"/>
      <c r="C608" s="14"/>
      <c r="D608" s="14"/>
      <c r="E608" s="14"/>
      <c r="F608" s="14"/>
      <c r="G608" s="14"/>
      <c r="H608" s="14"/>
      <c r="I608" s="14"/>
      <c r="J608" s="14"/>
      <c r="K608" s="14"/>
      <c r="L608" s="14"/>
    </row>
    <row r="609" spans="2:12" ht="12.75" customHeight="1" x14ac:dyDescent="0.2">
      <c r="B609" s="14"/>
      <c r="C609" s="14"/>
      <c r="D609" s="14"/>
      <c r="E609" s="14"/>
      <c r="F609" s="14"/>
      <c r="G609" s="14"/>
      <c r="H609" s="14"/>
      <c r="I609" s="14"/>
      <c r="J609" s="14"/>
      <c r="K609" s="14"/>
      <c r="L609" s="14"/>
    </row>
    <row r="610" spans="2:12" ht="12.75" customHeight="1" x14ac:dyDescent="0.2">
      <c r="B610" s="14"/>
      <c r="C610" s="14"/>
      <c r="D610" s="14"/>
      <c r="E610" s="14"/>
      <c r="F610" s="14"/>
      <c r="G610" s="14"/>
      <c r="H610" s="14"/>
      <c r="I610" s="14"/>
      <c r="J610" s="14"/>
      <c r="K610" s="14"/>
      <c r="L610" s="14"/>
    </row>
    <row r="611" spans="2:12" ht="12.75" customHeight="1" x14ac:dyDescent="0.2">
      <c r="B611" s="14"/>
      <c r="C611" s="14"/>
      <c r="D611" s="14"/>
      <c r="E611" s="14"/>
      <c r="F611" s="14"/>
      <c r="G611" s="14"/>
      <c r="H611" s="14"/>
      <c r="I611" s="14"/>
      <c r="J611" s="14"/>
      <c r="K611" s="14"/>
      <c r="L611" s="14"/>
    </row>
    <row r="612" spans="2:12" ht="12.75" customHeight="1" x14ac:dyDescent="0.2">
      <c r="B612" s="14"/>
      <c r="C612" s="14"/>
      <c r="D612" s="14"/>
      <c r="E612" s="14"/>
      <c r="F612" s="14"/>
      <c r="G612" s="14"/>
      <c r="H612" s="14"/>
      <c r="I612" s="14"/>
      <c r="J612" s="14"/>
      <c r="K612" s="14"/>
      <c r="L612" s="14"/>
    </row>
    <row r="613" spans="2:12" ht="12.75" customHeight="1" x14ac:dyDescent="0.2">
      <c r="B613" s="14"/>
      <c r="C613" s="14"/>
      <c r="D613" s="14"/>
      <c r="E613" s="14"/>
      <c r="F613" s="14"/>
      <c r="G613" s="14"/>
      <c r="H613" s="14"/>
      <c r="I613" s="14"/>
      <c r="J613" s="14"/>
      <c r="K613" s="14"/>
      <c r="L613" s="14"/>
    </row>
    <row r="614" spans="2:12" ht="12.75" customHeight="1" x14ac:dyDescent="0.2">
      <c r="B614" s="14"/>
      <c r="C614" s="14"/>
      <c r="D614" s="14"/>
      <c r="E614" s="14"/>
      <c r="F614" s="14"/>
      <c r="G614" s="14"/>
      <c r="H614" s="14"/>
      <c r="I614" s="14"/>
      <c r="J614" s="14"/>
      <c r="K614" s="14"/>
      <c r="L614" s="14"/>
    </row>
    <row r="615" spans="2:12" ht="12.75" customHeight="1" x14ac:dyDescent="0.2">
      <c r="B615" s="14"/>
      <c r="C615" s="14"/>
      <c r="D615" s="14"/>
      <c r="E615" s="14"/>
      <c r="F615" s="14"/>
      <c r="G615" s="14"/>
      <c r="H615" s="14"/>
      <c r="I615" s="14"/>
      <c r="J615" s="14"/>
      <c r="K615" s="14"/>
      <c r="L615" s="14"/>
    </row>
    <row r="616" spans="2:12" ht="12.75" customHeight="1" x14ac:dyDescent="0.2">
      <c r="B616" s="14"/>
      <c r="C616" s="14"/>
      <c r="D616" s="14"/>
      <c r="E616" s="14"/>
      <c r="F616" s="14"/>
      <c r="G616" s="14"/>
      <c r="H616" s="14"/>
      <c r="I616" s="14"/>
      <c r="J616" s="14"/>
      <c r="K616" s="14"/>
      <c r="L616" s="14"/>
    </row>
    <row r="617" spans="2:12" ht="12.75" customHeight="1" x14ac:dyDescent="0.2">
      <c r="B617" s="14"/>
      <c r="C617" s="14"/>
      <c r="D617" s="14"/>
      <c r="E617" s="14"/>
      <c r="F617" s="14"/>
      <c r="G617" s="14"/>
      <c r="H617" s="14"/>
      <c r="I617" s="14"/>
      <c r="J617" s="14"/>
      <c r="K617" s="14"/>
      <c r="L617" s="14"/>
    </row>
    <row r="618" spans="2:12" ht="12.75" customHeight="1" x14ac:dyDescent="0.2">
      <c r="B618" s="14"/>
      <c r="C618" s="14"/>
      <c r="D618" s="14"/>
      <c r="E618" s="14"/>
      <c r="F618" s="14"/>
      <c r="G618" s="14"/>
      <c r="H618" s="14"/>
      <c r="I618" s="14"/>
      <c r="J618" s="14"/>
      <c r="K618" s="14"/>
      <c r="L618" s="14"/>
    </row>
    <row r="619" spans="2:12" ht="12.75" customHeight="1" x14ac:dyDescent="0.2">
      <c r="B619" s="14"/>
      <c r="C619" s="14"/>
      <c r="D619" s="14"/>
      <c r="E619" s="14"/>
      <c r="F619" s="14"/>
      <c r="G619" s="14"/>
      <c r="H619" s="14"/>
      <c r="I619" s="14"/>
      <c r="J619" s="14"/>
      <c r="K619" s="14"/>
      <c r="L619" s="14"/>
    </row>
    <row r="620" spans="2:12" ht="12.75" customHeight="1" x14ac:dyDescent="0.2">
      <c r="B620" s="14"/>
      <c r="C620" s="14"/>
      <c r="D620" s="14"/>
      <c r="E620" s="14"/>
      <c r="F620" s="14"/>
      <c r="G620" s="14"/>
      <c r="H620" s="14"/>
      <c r="I620" s="14"/>
      <c r="J620" s="14"/>
      <c r="K620" s="14"/>
      <c r="L620" s="14"/>
    </row>
    <row r="621" spans="2:12" ht="12.75" customHeight="1" x14ac:dyDescent="0.2">
      <c r="B621" s="14"/>
      <c r="C621" s="14"/>
      <c r="D621" s="14"/>
      <c r="E621" s="14"/>
      <c r="F621" s="14"/>
      <c r="G621" s="14"/>
      <c r="H621" s="14"/>
      <c r="I621" s="14"/>
      <c r="J621" s="14"/>
      <c r="K621" s="14"/>
      <c r="L621" s="14"/>
    </row>
    <row r="622" spans="2:12" ht="12.75" customHeight="1" x14ac:dyDescent="0.2">
      <c r="B622" s="14"/>
      <c r="C622" s="14"/>
      <c r="D622" s="14"/>
      <c r="E622" s="14"/>
      <c r="F622" s="14"/>
      <c r="G622" s="14"/>
      <c r="H622" s="14"/>
      <c r="I622" s="14"/>
      <c r="J622" s="14"/>
      <c r="K622" s="14"/>
      <c r="L622" s="14"/>
    </row>
    <row r="623" spans="2:12" ht="12.75" customHeight="1" x14ac:dyDescent="0.2">
      <c r="B623" s="14"/>
      <c r="C623" s="14"/>
      <c r="D623" s="14"/>
      <c r="E623" s="14"/>
      <c r="F623" s="14"/>
      <c r="G623" s="14"/>
      <c r="H623" s="14"/>
      <c r="I623" s="14"/>
      <c r="J623" s="14"/>
      <c r="K623" s="14"/>
      <c r="L623" s="14"/>
    </row>
    <row r="624" spans="2:12" ht="12.75" customHeight="1" x14ac:dyDescent="0.2">
      <c r="B624" s="14"/>
      <c r="C624" s="14"/>
      <c r="D624" s="14"/>
      <c r="E624" s="14"/>
      <c r="F624" s="14"/>
      <c r="G624" s="14"/>
      <c r="H624" s="14"/>
      <c r="I624" s="14"/>
      <c r="J624" s="14"/>
      <c r="K624" s="14"/>
      <c r="L624" s="14"/>
    </row>
    <row r="625" spans="2:12" ht="12.75" customHeight="1" x14ac:dyDescent="0.2">
      <c r="B625" s="14"/>
      <c r="C625" s="14"/>
      <c r="D625" s="14"/>
      <c r="E625" s="14"/>
      <c r="F625" s="14"/>
      <c r="G625" s="14"/>
      <c r="H625" s="14"/>
      <c r="I625" s="14"/>
      <c r="J625" s="14"/>
      <c r="K625" s="14"/>
      <c r="L625" s="14"/>
    </row>
    <row r="626" spans="2:12" ht="12.75" customHeight="1" x14ac:dyDescent="0.2">
      <c r="B626" s="14"/>
      <c r="C626" s="14"/>
      <c r="D626" s="14"/>
      <c r="E626" s="14"/>
      <c r="F626" s="14"/>
      <c r="G626" s="14"/>
      <c r="H626" s="14"/>
      <c r="I626" s="14"/>
      <c r="J626" s="14"/>
      <c r="K626" s="14"/>
      <c r="L626" s="14"/>
    </row>
    <row r="627" spans="2:12" ht="12.75" customHeight="1" x14ac:dyDescent="0.2">
      <c r="B627" s="14"/>
      <c r="C627" s="14"/>
      <c r="D627" s="14"/>
      <c r="E627" s="14"/>
      <c r="F627" s="14"/>
      <c r="G627" s="14"/>
      <c r="H627" s="14"/>
      <c r="I627" s="14"/>
      <c r="J627" s="14"/>
      <c r="K627" s="14"/>
      <c r="L627" s="14"/>
    </row>
    <row r="628" spans="2:12" ht="12.75" customHeight="1" x14ac:dyDescent="0.2">
      <c r="B628" s="14"/>
      <c r="C628" s="14"/>
      <c r="D628" s="14"/>
      <c r="E628" s="14"/>
      <c r="F628" s="14"/>
      <c r="G628" s="14"/>
      <c r="H628" s="14"/>
      <c r="I628" s="14"/>
      <c r="J628" s="14"/>
      <c r="K628" s="14"/>
      <c r="L628" s="14"/>
    </row>
    <row r="629" spans="2:12" ht="12.75" customHeight="1" x14ac:dyDescent="0.2">
      <c r="B629" s="14"/>
      <c r="C629" s="14"/>
      <c r="D629" s="14"/>
      <c r="E629" s="14"/>
      <c r="F629" s="14"/>
      <c r="G629" s="14"/>
      <c r="H629" s="14"/>
      <c r="I629" s="14"/>
      <c r="J629" s="14"/>
      <c r="K629" s="14"/>
      <c r="L629" s="14"/>
    </row>
    <row r="630" spans="2:12" ht="12.75" customHeight="1" x14ac:dyDescent="0.2">
      <c r="B630" s="14"/>
      <c r="C630" s="14"/>
      <c r="D630" s="14"/>
      <c r="E630" s="14"/>
      <c r="F630" s="14"/>
      <c r="G630" s="14"/>
      <c r="H630" s="14"/>
      <c r="I630" s="14"/>
      <c r="J630" s="14"/>
      <c r="K630" s="14"/>
      <c r="L630" s="14"/>
    </row>
    <row r="631" spans="2:12" ht="12.75" customHeight="1" x14ac:dyDescent="0.2">
      <c r="B631" s="14"/>
      <c r="C631" s="14"/>
      <c r="D631" s="14"/>
      <c r="E631" s="14"/>
      <c r="F631" s="14"/>
      <c r="G631" s="14"/>
      <c r="H631" s="14"/>
      <c r="I631" s="14"/>
      <c r="J631" s="14"/>
      <c r="K631" s="14"/>
      <c r="L631" s="14"/>
    </row>
    <row r="632" spans="2:12" ht="12.75" customHeight="1" x14ac:dyDescent="0.2">
      <c r="B632" s="14"/>
      <c r="C632" s="14"/>
      <c r="D632" s="14"/>
      <c r="E632" s="14"/>
      <c r="F632" s="14"/>
      <c r="G632" s="14"/>
      <c r="H632" s="14"/>
      <c r="I632" s="14"/>
      <c r="J632" s="14"/>
      <c r="K632" s="14"/>
      <c r="L632" s="14"/>
    </row>
    <row r="633" spans="2:12" ht="12.75" customHeight="1" x14ac:dyDescent="0.2">
      <c r="B633" s="14"/>
      <c r="C633" s="14"/>
      <c r="D633" s="14"/>
      <c r="E633" s="14"/>
      <c r="F633" s="14"/>
      <c r="G633" s="14"/>
      <c r="H633" s="14"/>
      <c r="I633" s="14"/>
      <c r="J633" s="14"/>
      <c r="K633" s="14"/>
      <c r="L633" s="14"/>
    </row>
    <row r="634" spans="2:12" ht="12.75" customHeight="1" x14ac:dyDescent="0.2">
      <c r="B634" s="14"/>
      <c r="C634" s="14"/>
      <c r="D634" s="14"/>
      <c r="E634" s="14"/>
      <c r="F634" s="14"/>
      <c r="G634" s="14"/>
      <c r="H634" s="14"/>
      <c r="I634" s="14"/>
      <c r="J634" s="14"/>
      <c r="K634" s="14"/>
      <c r="L634" s="14"/>
    </row>
    <row r="635" spans="2:12" ht="12.75" customHeight="1" x14ac:dyDescent="0.2">
      <c r="B635" s="14"/>
      <c r="C635" s="14"/>
      <c r="D635" s="14"/>
      <c r="E635" s="14"/>
      <c r="F635" s="14"/>
      <c r="G635" s="14"/>
      <c r="H635" s="14"/>
      <c r="I635" s="14"/>
      <c r="J635" s="14"/>
      <c r="K635" s="14"/>
      <c r="L635" s="14"/>
    </row>
    <row r="636" spans="2:12" ht="12.75" customHeight="1" x14ac:dyDescent="0.2">
      <c r="B636" s="14"/>
      <c r="C636" s="14"/>
      <c r="D636" s="14"/>
      <c r="E636" s="14"/>
      <c r="F636" s="14"/>
      <c r="G636" s="14"/>
      <c r="H636" s="14"/>
      <c r="I636" s="14"/>
      <c r="J636" s="14"/>
      <c r="K636" s="14"/>
      <c r="L636" s="14"/>
    </row>
    <row r="637" spans="2:12" ht="12.75" customHeight="1" x14ac:dyDescent="0.2">
      <c r="B637" s="14"/>
      <c r="C637" s="14"/>
      <c r="D637" s="14"/>
      <c r="E637" s="14"/>
      <c r="F637" s="14"/>
      <c r="G637" s="14"/>
      <c r="H637" s="14"/>
      <c r="I637" s="14"/>
      <c r="J637" s="14"/>
      <c r="K637" s="14"/>
      <c r="L637" s="14"/>
    </row>
    <row r="638" spans="2:12" ht="12.75" customHeight="1" x14ac:dyDescent="0.2">
      <c r="B638" s="14"/>
      <c r="C638" s="14"/>
      <c r="D638" s="14"/>
      <c r="E638" s="14"/>
      <c r="F638" s="14"/>
      <c r="G638" s="14"/>
      <c r="H638" s="14"/>
      <c r="I638" s="14"/>
      <c r="J638" s="14"/>
      <c r="K638" s="14"/>
      <c r="L638" s="14"/>
    </row>
    <row r="639" spans="2:12" ht="12.75" customHeight="1" x14ac:dyDescent="0.2">
      <c r="B639" s="14"/>
      <c r="C639" s="14"/>
      <c r="D639" s="14"/>
      <c r="E639" s="14"/>
      <c r="F639" s="14"/>
      <c r="G639" s="14"/>
      <c r="H639" s="14"/>
      <c r="I639" s="14"/>
      <c r="J639" s="14"/>
      <c r="K639" s="14"/>
      <c r="L639" s="14"/>
    </row>
    <row r="640" spans="2:12" ht="12.75" customHeight="1" x14ac:dyDescent="0.2">
      <c r="B640" s="14"/>
      <c r="C640" s="14"/>
      <c r="D640" s="14"/>
      <c r="E640" s="14"/>
      <c r="F640" s="14"/>
      <c r="G640" s="14"/>
      <c r="H640" s="14"/>
      <c r="I640" s="14"/>
      <c r="J640" s="14"/>
      <c r="K640" s="14"/>
      <c r="L640" s="14"/>
    </row>
    <row r="641" spans="2:12" ht="12.75" customHeight="1" x14ac:dyDescent="0.2">
      <c r="B641" s="14"/>
      <c r="C641" s="14"/>
      <c r="D641" s="14"/>
      <c r="E641" s="14"/>
      <c r="F641" s="14"/>
      <c r="G641" s="14"/>
      <c r="H641" s="14"/>
      <c r="I641" s="14"/>
      <c r="J641" s="14"/>
      <c r="K641" s="14"/>
      <c r="L641" s="14"/>
    </row>
    <row r="642" spans="2:12" ht="12.75" customHeight="1" x14ac:dyDescent="0.2">
      <c r="B642" s="14"/>
      <c r="C642" s="14"/>
      <c r="D642" s="14"/>
      <c r="E642" s="14"/>
      <c r="F642" s="14"/>
      <c r="G642" s="14"/>
      <c r="H642" s="14"/>
      <c r="I642" s="14"/>
      <c r="J642" s="14"/>
      <c r="K642" s="14"/>
      <c r="L642" s="14"/>
    </row>
    <row r="643" spans="2:12" ht="12.75" customHeight="1" x14ac:dyDescent="0.2">
      <c r="B643" s="14"/>
      <c r="C643" s="14"/>
      <c r="D643" s="14"/>
      <c r="E643" s="14"/>
      <c r="F643" s="14"/>
      <c r="G643" s="14"/>
      <c r="H643" s="14"/>
      <c r="I643" s="14"/>
      <c r="J643" s="14"/>
      <c r="K643" s="14"/>
      <c r="L643" s="14"/>
    </row>
    <row r="644" spans="2:12" ht="12.75" customHeight="1" x14ac:dyDescent="0.2">
      <c r="B644" s="14"/>
      <c r="C644" s="14"/>
      <c r="D644" s="14"/>
      <c r="E644" s="14"/>
      <c r="F644" s="14"/>
      <c r="G644" s="14"/>
      <c r="H644" s="14"/>
      <c r="I644" s="14"/>
      <c r="J644" s="14"/>
      <c r="K644" s="14"/>
      <c r="L644" s="14"/>
    </row>
    <row r="645" spans="2:12" ht="12.75" customHeight="1" x14ac:dyDescent="0.2">
      <c r="B645" s="14"/>
      <c r="C645" s="14"/>
      <c r="D645" s="14"/>
      <c r="E645" s="14"/>
      <c r="F645" s="14"/>
      <c r="G645" s="14"/>
      <c r="H645" s="14"/>
      <c r="I645" s="14"/>
      <c r="J645" s="14"/>
      <c r="K645" s="14"/>
      <c r="L645" s="14"/>
    </row>
    <row r="646" spans="2:12" ht="12.75" customHeight="1" x14ac:dyDescent="0.2">
      <c r="B646" s="14"/>
      <c r="C646" s="14"/>
      <c r="D646" s="14"/>
      <c r="E646" s="14"/>
      <c r="F646" s="14"/>
      <c r="G646" s="14"/>
      <c r="H646" s="14"/>
      <c r="I646" s="14"/>
      <c r="J646" s="14"/>
      <c r="K646" s="14"/>
      <c r="L646" s="14"/>
    </row>
    <row r="647" spans="2:12" ht="12.75" customHeight="1" x14ac:dyDescent="0.2">
      <c r="B647" s="14"/>
      <c r="C647" s="14"/>
      <c r="D647" s="14"/>
      <c r="E647" s="14"/>
      <c r="F647" s="14"/>
      <c r="G647" s="14"/>
      <c r="H647" s="14"/>
      <c r="I647" s="14"/>
      <c r="J647" s="14"/>
      <c r="K647" s="14"/>
      <c r="L647" s="14"/>
    </row>
    <row r="648" spans="2:12" ht="12.75" customHeight="1" x14ac:dyDescent="0.2">
      <c r="B648" s="14"/>
      <c r="C648" s="14"/>
      <c r="D648" s="14"/>
      <c r="E648" s="14"/>
      <c r="F648" s="14"/>
      <c r="G648" s="14"/>
      <c r="H648" s="14"/>
      <c r="I648" s="14"/>
      <c r="J648" s="14"/>
      <c r="K648" s="14"/>
      <c r="L648" s="14"/>
    </row>
    <row r="649" spans="2:12" ht="12.75" customHeight="1" x14ac:dyDescent="0.2">
      <c r="B649" s="14"/>
      <c r="C649" s="14"/>
      <c r="D649" s="14"/>
      <c r="E649" s="14"/>
      <c r="F649" s="14"/>
      <c r="G649" s="14"/>
      <c r="H649" s="14"/>
      <c r="I649" s="14"/>
      <c r="J649" s="14"/>
      <c r="K649" s="14"/>
      <c r="L649" s="14"/>
    </row>
    <row r="650" spans="2:12" ht="12.75" customHeight="1" x14ac:dyDescent="0.2">
      <c r="B650" s="14"/>
      <c r="C650" s="14"/>
      <c r="D650" s="14"/>
      <c r="E650" s="14"/>
      <c r="F650" s="14"/>
      <c r="G650" s="14"/>
      <c r="H650" s="14"/>
      <c r="I650" s="14"/>
      <c r="J650" s="14"/>
      <c r="K650" s="14"/>
      <c r="L650" s="14"/>
    </row>
    <row r="651" spans="2:12" ht="12.75" customHeight="1" x14ac:dyDescent="0.2">
      <c r="B651" s="14"/>
      <c r="C651" s="14"/>
      <c r="D651" s="14"/>
      <c r="E651" s="14"/>
      <c r="F651" s="14"/>
      <c r="G651" s="14"/>
      <c r="H651" s="14"/>
      <c r="I651" s="14"/>
      <c r="J651" s="14"/>
      <c r="K651" s="14"/>
      <c r="L651" s="14"/>
    </row>
    <row r="652" spans="2:12" ht="12.75" customHeight="1" x14ac:dyDescent="0.2">
      <c r="B652" s="14"/>
      <c r="C652" s="14"/>
      <c r="D652" s="14"/>
      <c r="E652" s="14"/>
      <c r="F652" s="14"/>
      <c r="G652" s="14"/>
      <c r="H652" s="14"/>
      <c r="I652" s="14"/>
      <c r="J652" s="14"/>
      <c r="K652" s="14"/>
      <c r="L652" s="14"/>
    </row>
    <row r="653" spans="2:12" ht="12.75" customHeight="1" x14ac:dyDescent="0.2">
      <c r="B653" s="14"/>
      <c r="C653" s="14"/>
      <c r="D653" s="14"/>
      <c r="E653" s="14"/>
      <c r="F653" s="14"/>
      <c r="G653" s="14"/>
      <c r="H653" s="14"/>
      <c r="I653" s="14"/>
      <c r="J653" s="14"/>
      <c r="K653" s="14"/>
      <c r="L653" s="14"/>
    </row>
    <row r="654" spans="2:12" ht="12.75" customHeight="1" x14ac:dyDescent="0.2">
      <c r="B654" s="14"/>
      <c r="C654" s="14"/>
      <c r="D654" s="14"/>
      <c r="E654" s="14"/>
      <c r="F654" s="14"/>
      <c r="G654" s="14"/>
      <c r="H654" s="14"/>
      <c r="I654" s="14"/>
      <c r="J654" s="14"/>
      <c r="K654" s="14"/>
      <c r="L654" s="14"/>
    </row>
    <row r="655" spans="2:12" ht="12.75" customHeight="1" x14ac:dyDescent="0.2">
      <c r="B655" s="14"/>
      <c r="C655" s="14"/>
      <c r="D655" s="14"/>
      <c r="E655" s="14"/>
      <c r="F655" s="14"/>
      <c r="G655" s="14"/>
      <c r="H655" s="14"/>
      <c r="I655" s="14"/>
      <c r="J655" s="14"/>
      <c r="K655" s="14"/>
      <c r="L655" s="14"/>
    </row>
    <row r="656" spans="2:12" ht="12.75" customHeight="1" x14ac:dyDescent="0.2">
      <c r="B656" s="14"/>
      <c r="C656" s="14"/>
      <c r="D656" s="14"/>
      <c r="E656" s="14"/>
      <c r="F656" s="14"/>
      <c r="G656" s="14"/>
      <c r="H656" s="14"/>
      <c r="I656" s="14"/>
      <c r="J656" s="14"/>
      <c r="K656" s="14"/>
      <c r="L656" s="14"/>
    </row>
    <row r="657" spans="2:12" ht="12.75" customHeight="1" x14ac:dyDescent="0.2">
      <c r="B657" s="14"/>
      <c r="C657" s="14"/>
      <c r="D657" s="14"/>
      <c r="E657" s="14"/>
      <c r="F657" s="14"/>
      <c r="G657" s="14"/>
      <c r="H657" s="14"/>
      <c r="I657" s="14"/>
      <c r="J657" s="14"/>
      <c r="K657" s="14"/>
      <c r="L657" s="14"/>
    </row>
    <row r="658" spans="2:12" ht="12.75" customHeight="1" x14ac:dyDescent="0.2">
      <c r="B658" s="14"/>
      <c r="C658" s="14"/>
      <c r="D658" s="14"/>
      <c r="E658" s="14"/>
      <c r="F658" s="14"/>
      <c r="G658" s="14"/>
      <c r="H658" s="14"/>
      <c r="I658" s="14"/>
      <c r="J658" s="14"/>
      <c r="K658" s="14"/>
      <c r="L658" s="14"/>
    </row>
    <row r="659" spans="2:12" ht="12.75" customHeight="1" x14ac:dyDescent="0.2">
      <c r="B659" s="14"/>
      <c r="C659" s="14"/>
      <c r="D659" s="14"/>
      <c r="E659" s="14"/>
      <c r="F659" s="14"/>
      <c r="G659" s="14"/>
      <c r="H659" s="14"/>
      <c r="I659" s="14"/>
      <c r="J659" s="14"/>
      <c r="K659" s="14"/>
      <c r="L659" s="14"/>
    </row>
    <row r="660" spans="2:12" ht="12.75" customHeight="1" x14ac:dyDescent="0.2">
      <c r="B660" s="14"/>
      <c r="C660" s="14"/>
      <c r="D660" s="14"/>
      <c r="E660" s="14"/>
      <c r="F660" s="14"/>
      <c r="G660" s="14"/>
      <c r="H660" s="14"/>
      <c r="I660" s="14"/>
      <c r="J660" s="14"/>
      <c r="K660" s="14"/>
      <c r="L660" s="14"/>
    </row>
    <row r="661" spans="2:12" ht="12.75" customHeight="1" x14ac:dyDescent="0.2">
      <c r="B661" s="14"/>
      <c r="C661" s="14"/>
      <c r="D661" s="14"/>
      <c r="E661" s="14"/>
      <c r="F661" s="14"/>
      <c r="G661" s="14"/>
      <c r="H661" s="14"/>
      <c r="I661" s="14"/>
      <c r="J661" s="14"/>
      <c r="K661" s="14"/>
      <c r="L661" s="14"/>
    </row>
    <row r="662" spans="2:12" ht="12.75" customHeight="1" x14ac:dyDescent="0.2">
      <c r="B662" s="14"/>
      <c r="C662" s="14"/>
      <c r="D662" s="14"/>
      <c r="E662" s="14"/>
      <c r="F662" s="14"/>
      <c r="G662" s="14"/>
      <c r="H662" s="14"/>
      <c r="I662" s="14"/>
      <c r="J662" s="14"/>
      <c r="K662" s="14"/>
      <c r="L662" s="14"/>
    </row>
    <row r="663" spans="2:12" ht="12.75" customHeight="1" x14ac:dyDescent="0.2">
      <c r="B663" s="14"/>
      <c r="C663" s="14"/>
      <c r="D663" s="14"/>
      <c r="E663" s="14"/>
      <c r="F663" s="14"/>
      <c r="G663" s="14"/>
      <c r="H663" s="14"/>
      <c r="I663" s="14"/>
      <c r="J663" s="14"/>
      <c r="K663" s="14"/>
      <c r="L663" s="14"/>
    </row>
    <row r="664" spans="2:12" ht="12.75" customHeight="1" x14ac:dyDescent="0.2">
      <c r="B664" s="14"/>
      <c r="C664" s="14"/>
      <c r="D664" s="14"/>
      <c r="E664" s="14"/>
      <c r="F664" s="14"/>
      <c r="G664" s="14"/>
      <c r="H664" s="14"/>
      <c r="I664" s="14"/>
      <c r="J664" s="14"/>
      <c r="K664" s="14"/>
      <c r="L664" s="14"/>
    </row>
    <row r="665" spans="2:12" ht="12.75" customHeight="1" x14ac:dyDescent="0.2">
      <c r="B665" s="14"/>
      <c r="C665" s="14"/>
      <c r="D665" s="14"/>
      <c r="E665" s="14"/>
      <c r="F665" s="14"/>
      <c r="G665" s="14"/>
      <c r="H665" s="14"/>
      <c r="I665" s="14"/>
      <c r="J665" s="14"/>
      <c r="K665" s="14"/>
      <c r="L665" s="14"/>
    </row>
    <row r="666" spans="2:12" ht="12.75" customHeight="1" x14ac:dyDescent="0.2">
      <c r="B666" s="14"/>
      <c r="C666" s="14"/>
      <c r="D666" s="14"/>
      <c r="E666" s="14"/>
      <c r="F666" s="14"/>
      <c r="G666" s="14"/>
      <c r="H666" s="14"/>
      <c r="I666" s="14"/>
      <c r="J666" s="14"/>
      <c r="K666" s="14"/>
      <c r="L666" s="14"/>
    </row>
    <row r="667" spans="2:12" ht="12.75" customHeight="1" x14ac:dyDescent="0.2">
      <c r="B667" s="14"/>
      <c r="C667" s="14"/>
      <c r="D667" s="14"/>
      <c r="E667" s="14"/>
      <c r="F667" s="14"/>
      <c r="G667" s="14"/>
      <c r="H667" s="14"/>
      <c r="I667" s="14"/>
      <c r="J667" s="14"/>
      <c r="K667" s="14"/>
      <c r="L667" s="14"/>
    </row>
    <row r="668" spans="2:12" ht="12.75" customHeight="1" x14ac:dyDescent="0.2">
      <c r="B668" s="14"/>
      <c r="C668" s="14"/>
      <c r="D668" s="14"/>
      <c r="E668" s="14"/>
      <c r="F668" s="14"/>
      <c r="G668" s="14"/>
      <c r="H668" s="14"/>
      <c r="I668" s="14"/>
      <c r="J668" s="14"/>
      <c r="K668" s="14"/>
      <c r="L668" s="14"/>
    </row>
    <row r="669" spans="2:12" ht="12.75" customHeight="1" x14ac:dyDescent="0.2">
      <c r="B669" s="14"/>
      <c r="C669" s="14"/>
      <c r="D669" s="14"/>
      <c r="E669" s="14"/>
      <c r="F669" s="14"/>
      <c r="G669" s="14"/>
      <c r="H669" s="14"/>
      <c r="I669" s="14"/>
      <c r="J669" s="14"/>
      <c r="K669" s="14"/>
      <c r="L669" s="14"/>
    </row>
    <row r="670" spans="2:12" ht="12.75" customHeight="1" x14ac:dyDescent="0.2">
      <c r="B670" s="14"/>
      <c r="C670" s="14"/>
      <c r="D670" s="14"/>
      <c r="E670" s="14"/>
      <c r="F670" s="14"/>
      <c r="G670" s="14"/>
      <c r="H670" s="14"/>
      <c r="I670" s="14"/>
      <c r="J670" s="14"/>
      <c r="K670" s="14"/>
      <c r="L670" s="14"/>
    </row>
    <row r="671" spans="2:12" ht="12.75" customHeight="1" x14ac:dyDescent="0.2">
      <c r="B671" s="14"/>
      <c r="C671" s="14"/>
      <c r="D671" s="14"/>
      <c r="E671" s="14"/>
      <c r="F671" s="14"/>
      <c r="G671" s="14"/>
      <c r="H671" s="14"/>
      <c r="I671" s="14"/>
      <c r="J671" s="14"/>
      <c r="K671" s="14"/>
      <c r="L671" s="14"/>
    </row>
    <row r="672" spans="2:12" ht="12.75" customHeight="1" x14ac:dyDescent="0.2">
      <c r="B672" s="14"/>
      <c r="C672" s="14"/>
      <c r="D672" s="14"/>
      <c r="E672" s="14"/>
      <c r="F672" s="14"/>
      <c r="G672" s="14"/>
      <c r="H672" s="14"/>
      <c r="I672" s="14"/>
      <c r="J672" s="14"/>
      <c r="K672" s="14"/>
      <c r="L672" s="14"/>
    </row>
    <row r="673" spans="2:12" ht="12.75" customHeight="1" x14ac:dyDescent="0.2">
      <c r="B673" s="14"/>
      <c r="C673" s="14"/>
      <c r="D673" s="14"/>
      <c r="E673" s="14"/>
      <c r="F673" s="14"/>
      <c r="G673" s="14"/>
      <c r="H673" s="14"/>
      <c r="I673" s="14"/>
      <c r="J673" s="14"/>
      <c r="K673" s="14"/>
      <c r="L673" s="14"/>
    </row>
    <row r="674" spans="2:12" ht="12.75" customHeight="1" x14ac:dyDescent="0.2">
      <c r="B674" s="14"/>
      <c r="C674" s="14"/>
      <c r="D674" s="14"/>
      <c r="E674" s="14"/>
      <c r="F674" s="14"/>
      <c r="G674" s="14"/>
      <c r="H674" s="14"/>
      <c r="I674" s="14"/>
      <c r="J674" s="14"/>
      <c r="K674" s="14"/>
      <c r="L674" s="14"/>
    </row>
    <row r="675" spans="2:12" ht="12.75" customHeight="1" x14ac:dyDescent="0.2">
      <c r="B675" s="14"/>
      <c r="C675" s="14"/>
      <c r="D675" s="14"/>
      <c r="E675" s="14"/>
      <c r="F675" s="14"/>
      <c r="G675" s="14"/>
      <c r="H675" s="14"/>
      <c r="I675" s="14"/>
      <c r="J675" s="14"/>
      <c r="K675" s="14"/>
      <c r="L675" s="14"/>
    </row>
    <row r="676" spans="2:12" ht="12.75" customHeight="1" x14ac:dyDescent="0.2">
      <c r="B676" s="14"/>
      <c r="C676" s="14"/>
      <c r="D676" s="14"/>
      <c r="E676" s="14"/>
      <c r="F676" s="14"/>
      <c r="G676" s="14"/>
      <c r="H676" s="14"/>
      <c r="I676" s="14"/>
      <c r="J676" s="14"/>
      <c r="K676" s="14"/>
      <c r="L676" s="14"/>
    </row>
    <row r="677" spans="2:12" ht="12.75" customHeight="1" x14ac:dyDescent="0.2">
      <c r="B677" s="14"/>
      <c r="C677" s="14"/>
      <c r="D677" s="14"/>
      <c r="E677" s="14"/>
      <c r="F677" s="14"/>
      <c r="G677" s="14"/>
      <c r="H677" s="14"/>
      <c r="I677" s="14"/>
      <c r="J677" s="14"/>
      <c r="K677" s="14"/>
      <c r="L677" s="14"/>
    </row>
    <row r="678" spans="2:12" ht="12.75" customHeight="1" x14ac:dyDescent="0.2">
      <c r="B678" s="14"/>
      <c r="C678" s="14"/>
      <c r="D678" s="14"/>
      <c r="E678" s="14"/>
      <c r="F678" s="14"/>
      <c r="G678" s="14"/>
      <c r="H678" s="14"/>
      <c r="I678" s="14"/>
      <c r="J678" s="14"/>
      <c r="K678" s="14"/>
      <c r="L678" s="14"/>
    </row>
    <row r="679" spans="2:12" ht="12.75" customHeight="1" x14ac:dyDescent="0.2">
      <c r="B679" s="14"/>
      <c r="C679" s="14"/>
      <c r="D679" s="14"/>
      <c r="E679" s="14"/>
      <c r="F679" s="14"/>
      <c r="G679" s="14"/>
      <c r="H679" s="14"/>
      <c r="I679" s="14"/>
      <c r="J679" s="14"/>
      <c r="K679" s="14"/>
      <c r="L679" s="14"/>
    </row>
    <row r="680" spans="2:12" ht="12.75" customHeight="1" x14ac:dyDescent="0.2">
      <c r="B680" s="14"/>
      <c r="C680" s="14"/>
      <c r="D680" s="14"/>
      <c r="E680" s="14"/>
      <c r="F680" s="14"/>
      <c r="G680" s="14"/>
      <c r="H680" s="14"/>
      <c r="I680" s="14"/>
      <c r="J680" s="14"/>
      <c r="K680" s="14"/>
      <c r="L680" s="14"/>
    </row>
    <row r="681" spans="2:12" ht="12.75" customHeight="1" x14ac:dyDescent="0.2">
      <c r="B681" s="14"/>
      <c r="C681" s="14"/>
      <c r="D681" s="14"/>
      <c r="E681" s="14"/>
      <c r="F681" s="14"/>
      <c r="G681" s="14"/>
      <c r="H681" s="14"/>
      <c r="I681" s="14"/>
      <c r="J681" s="14"/>
      <c r="K681" s="14"/>
      <c r="L681" s="14"/>
    </row>
    <row r="682" spans="2:12" ht="12.75" customHeight="1" x14ac:dyDescent="0.2">
      <c r="B682" s="14"/>
      <c r="C682" s="14"/>
      <c r="D682" s="14"/>
      <c r="E682" s="14"/>
      <c r="F682" s="14"/>
      <c r="G682" s="14"/>
      <c r="H682" s="14"/>
      <c r="I682" s="14"/>
      <c r="J682" s="14"/>
      <c r="K682" s="14"/>
      <c r="L682" s="14"/>
    </row>
    <row r="683" spans="2:12" ht="12.75" customHeight="1" x14ac:dyDescent="0.2">
      <c r="B683" s="14"/>
      <c r="C683" s="14"/>
      <c r="D683" s="14"/>
      <c r="E683" s="14"/>
      <c r="F683" s="14"/>
      <c r="G683" s="14"/>
      <c r="H683" s="14"/>
      <c r="I683" s="14"/>
      <c r="J683" s="14"/>
      <c r="K683" s="14"/>
      <c r="L683" s="14"/>
    </row>
    <row r="684" spans="2:12" ht="12.75" customHeight="1" x14ac:dyDescent="0.2">
      <c r="B684" s="14"/>
      <c r="C684" s="14"/>
      <c r="D684" s="14"/>
      <c r="E684" s="14"/>
      <c r="F684" s="14"/>
      <c r="G684" s="14"/>
      <c r="H684" s="14"/>
      <c r="I684" s="14"/>
      <c r="J684" s="14"/>
      <c r="K684" s="14"/>
      <c r="L684" s="14"/>
    </row>
    <row r="685" spans="2:12" ht="12.75" customHeight="1" x14ac:dyDescent="0.2">
      <c r="B685" s="14"/>
      <c r="C685" s="14"/>
      <c r="D685" s="14"/>
      <c r="E685" s="14"/>
      <c r="F685" s="14"/>
      <c r="G685" s="14"/>
      <c r="H685" s="14"/>
      <c r="I685" s="14"/>
      <c r="J685" s="14"/>
      <c r="K685" s="14"/>
      <c r="L685" s="14"/>
    </row>
    <row r="686" spans="2:12" ht="12.75" customHeight="1" x14ac:dyDescent="0.2">
      <c r="B686" s="14"/>
      <c r="C686" s="14"/>
      <c r="D686" s="14"/>
      <c r="E686" s="14"/>
      <c r="F686" s="14"/>
      <c r="G686" s="14"/>
      <c r="H686" s="14"/>
      <c r="I686" s="14"/>
      <c r="J686" s="14"/>
      <c r="K686" s="14"/>
      <c r="L686" s="14"/>
    </row>
    <row r="687" spans="2:12" ht="12.75" customHeight="1" x14ac:dyDescent="0.2">
      <c r="B687" s="14"/>
      <c r="C687" s="14"/>
      <c r="D687" s="14"/>
      <c r="E687" s="14"/>
      <c r="F687" s="14"/>
      <c r="G687" s="14"/>
      <c r="H687" s="14"/>
      <c r="I687" s="14"/>
      <c r="J687" s="14"/>
      <c r="K687" s="14"/>
      <c r="L687" s="14"/>
    </row>
    <row r="688" spans="2:12" ht="12.75" customHeight="1" x14ac:dyDescent="0.2">
      <c r="B688" s="14"/>
      <c r="C688" s="14"/>
      <c r="D688" s="14"/>
      <c r="E688" s="14"/>
      <c r="F688" s="14"/>
      <c r="G688" s="14"/>
      <c r="H688" s="14"/>
      <c r="I688" s="14"/>
      <c r="J688" s="14"/>
      <c r="K688" s="14"/>
      <c r="L688" s="14"/>
    </row>
    <row r="689" spans="2:12" ht="12.75" customHeight="1" x14ac:dyDescent="0.2">
      <c r="B689" s="14"/>
      <c r="C689" s="14"/>
      <c r="D689" s="14"/>
      <c r="E689" s="14"/>
      <c r="F689" s="14"/>
      <c r="G689" s="14"/>
      <c r="H689" s="14"/>
      <c r="I689" s="14"/>
      <c r="J689" s="14"/>
      <c r="K689" s="14"/>
      <c r="L689" s="14"/>
    </row>
    <row r="690" spans="2:12" ht="12.75" customHeight="1" x14ac:dyDescent="0.2">
      <c r="B690" s="14"/>
      <c r="C690" s="14"/>
      <c r="D690" s="14"/>
      <c r="E690" s="14"/>
      <c r="F690" s="14"/>
      <c r="G690" s="14"/>
      <c r="H690" s="14"/>
      <c r="I690" s="14"/>
      <c r="J690" s="14"/>
      <c r="K690" s="14"/>
      <c r="L690" s="14"/>
    </row>
    <row r="691" spans="2:12" ht="12.75" customHeight="1" x14ac:dyDescent="0.2">
      <c r="B691" s="14"/>
      <c r="C691" s="14"/>
      <c r="D691" s="14"/>
      <c r="E691" s="14"/>
      <c r="F691" s="14"/>
      <c r="G691" s="14"/>
      <c r="H691" s="14"/>
      <c r="I691" s="14"/>
      <c r="J691" s="14"/>
      <c r="K691" s="14"/>
      <c r="L691" s="14"/>
    </row>
    <row r="692" spans="2:12" ht="12.75" customHeight="1" x14ac:dyDescent="0.2">
      <c r="B692" s="14"/>
      <c r="C692" s="14"/>
      <c r="D692" s="14"/>
      <c r="E692" s="14"/>
      <c r="F692" s="14"/>
      <c r="G692" s="14"/>
      <c r="H692" s="14"/>
      <c r="I692" s="14"/>
      <c r="J692" s="14"/>
      <c r="K692" s="14"/>
      <c r="L692" s="14"/>
    </row>
    <row r="693" spans="2:12" ht="12.75" customHeight="1" x14ac:dyDescent="0.2">
      <c r="B693" s="14"/>
      <c r="C693" s="14"/>
      <c r="D693" s="14"/>
      <c r="E693" s="14"/>
      <c r="F693" s="14"/>
      <c r="G693" s="14"/>
      <c r="H693" s="14"/>
      <c r="I693" s="14"/>
      <c r="J693" s="14"/>
      <c r="K693" s="14"/>
      <c r="L693" s="14"/>
    </row>
    <row r="694" spans="2:12" ht="12.75" customHeight="1" x14ac:dyDescent="0.2">
      <c r="B694" s="14"/>
      <c r="C694" s="14"/>
      <c r="D694" s="14"/>
      <c r="E694" s="14"/>
      <c r="F694" s="14"/>
      <c r="G694" s="14"/>
      <c r="H694" s="14"/>
      <c r="I694" s="14"/>
      <c r="J694" s="14"/>
      <c r="K694" s="14"/>
      <c r="L694" s="14"/>
    </row>
    <row r="695" spans="2:12" ht="12.75" customHeight="1" x14ac:dyDescent="0.2">
      <c r="B695" s="14"/>
      <c r="C695" s="14"/>
      <c r="D695" s="14"/>
      <c r="E695" s="14"/>
      <c r="F695" s="14"/>
      <c r="G695" s="14"/>
      <c r="H695" s="14"/>
      <c r="I695" s="14"/>
      <c r="J695" s="14"/>
      <c r="K695" s="14"/>
      <c r="L695" s="14"/>
    </row>
    <row r="696" spans="2:12" ht="12.75" customHeight="1" x14ac:dyDescent="0.2">
      <c r="B696" s="14"/>
      <c r="C696" s="14"/>
      <c r="D696" s="14"/>
      <c r="E696" s="14"/>
      <c r="F696" s="14"/>
      <c r="G696" s="14"/>
      <c r="H696" s="14"/>
      <c r="I696" s="14"/>
      <c r="J696" s="14"/>
      <c r="K696" s="14"/>
      <c r="L696" s="14"/>
    </row>
    <row r="697" spans="2:12" ht="12.75" customHeight="1" x14ac:dyDescent="0.2">
      <c r="B697" s="14"/>
      <c r="C697" s="14"/>
      <c r="D697" s="14"/>
      <c r="E697" s="14"/>
      <c r="F697" s="14"/>
      <c r="G697" s="14"/>
      <c r="H697" s="14"/>
      <c r="I697" s="14"/>
      <c r="J697" s="14"/>
      <c r="K697" s="14"/>
      <c r="L697" s="14"/>
    </row>
    <row r="698" spans="2:12" ht="12.75" customHeight="1" x14ac:dyDescent="0.2">
      <c r="B698" s="14"/>
      <c r="C698" s="14"/>
      <c r="D698" s="14"/>
      <c r="E698" s="14"/>
      <c r="F698" s="14"/>
      <c r="G698" s="14"/>
      <c r="H698" s="14"/>
      <c r="I698" s="14"/>
      <c r="J698" s="14"/>
      <c r="K698" s="14"/>
      <c r="L698" s="14"/>
    </row>
    <row r="699" spans="2:12" ht="12.75" customHeight="1" x14ac:dyDescent="0.2">
      <c r="B699" s="14"/>
      <c r="C699" s="14"/>
      <c r="D699" s="14"/>
      <c r="E699" s="14"/>
      <c r="F699" s="14"/>
      <c r="G699" s="14"/>
      <c r="H699" s="14"/>
      <c r="I699" s="14"/>
      <c r="J699" s="14"/>
      <c r="K699" s="14"/>
      <c r="L699" s="14"/>
    </row>
    <row r="700" spans="2:12" ht="12.75" customHeight="1" x14ac:dyDescent="0.2">
      <c r="B700" s="14"/>
      <c r="C700" s="14"/>
      <c r="D700" s="14"/>
      <c r="E700" s="14"/>
      <c r="F700" s="14"/>
      <c r="G700" s="14"/>
      <c r="H700" s="14"/>
      <c r="I700" s="14"/>
      <c r="J700" s="14"/>
      <c r="K700" s="14"/>
      <c r="L700" s="14"/>
    </row>
    <row r="701" spans="2:12" ht="12.75" customHeight="1" x14ac:dyDescent="0.2">
      <c r="B701" s="14"/>
      <c r="C701" s="14"/>
      <c r="D701" s="14"/>
      <c r="E701" s="14"/>
      <c r="F701" s="14"/>
      <c r="G701" s="14"/>
      <c r="H701" s="14"/>
      <c r="I701" s="14"/>
      <c r="J701" s="14"/>
      <c r="K701" s="14"/>
      <c r="L701" s="14"/>
    </row>
    <row r="702" spans="2:12" ht="12.75" customHeight="1" x14ac:dyDescent="0.2">
      <c r="B702" s="14"/>
      <c r="C702" s="14"/>
      <c r="D702" s="14"/>
      <c r="E702" s="14"/>
      <c r="F702" s="14"/>
      <c r="G702" s="14"/>
      <c r="H702" s="14"/>
      <c r="I702" s="14"/>
      <c r="J702" s="14"/>
      <c r="K702" s="14"/>
      <c r="L702" s="14"/>
    </row>
    <row r="703" spans="2:12" ht="12.75" customHeight="1" x14ac:dyDescent="0.2">
      <c r="B703" s="14"/>
      <c r="C703" s="14"/>
      <c r="D703" s="14"/>
      <c r="E703" s="14"/>
      <c r="F703" s="14"/>
      <c r="G703" s="14"/>
      <c r="H703" s="14"/>
      <c r="I703" s="14"/>
      <c r="J703" s="14"/>
      <c r="K703" s="14"/>
      <c r="L703" s="14"/>
    </row>
    <row r="704" spans="2:12" ht="12.75" customHeight="1" x14ac:dyDescent="0.2">
      <c r="B704" s="14"/>
      <c r="C704" s="14"/>
      <c r="D704" s="14"/>
      <c r="E704" s="14"/>
      <c r="F704" s="14"/>
      <c r="G704" s="14"/>
      <c r="H704" s="14"/>
      <c r="I704" s="14"/>
      <c r="J704" s="14"/>
      <c r="K704" s="14"/>
      <c r="L704" s="14"/>
    </row>
    <row r="705" spans="2:12" ht="12.75" customHeight="1" x14ac:dyDescent="0.2">
      <c r="B705" s="14"/>
      <c r="C705" s="14"/>
      <c r="D705" s="14"/>
      <c r="E705" s="14"/>
      <c r="F705" s="14"/>
      <c r="G705" s="14"/>
      <c r="H705" s="14"/>
      <c r="I705" s="14"/>
      <c r="J705" s="14"/>
      <c r="K705" s="14"/>
      <c r="L705" s="14"/>
    </row>
    <row r="706" spans="2:12" ht="12.75" customHeight="1" x14ac:dyDescent="0.2">
      <c r="B706" s="14"/>
      <c r="C706" s="14"/>
      <c r="D706" s="14"/>
      <c r="E706" s="14"/>
      <c r="F706" s="14"/>
      <c r="G706" s="14"/>
      <c r="H706" s="14"/>
      <c r="I706" s="14"/>
      <c r="J706" s="14"/>
      <c r="K706" s="14"/>
      <c r="L706" s="14"/>
    </row>
    <row r="707" spans="2:12" ht="12.75" customHeight="1" x14ac:dyDescent="0.2">
      <c r="B707" s="14"/>
      <c r="C707" s="14"/>
      <c r="D707" s="14"/>
      <c r="E707" s="14"/>
      <c r="F707" s="14"/>
      <c r="G707" s="14"/>
      <c r="H707" s="14"/>
      <c r="I707" s="14"/>
      <c r="J707" s="14"/>
      <c r="K707" s="14"/>
      <c r="L707" s="14"/>
    </row>
    <row r="708" spans="2:12" ht="12.75" customHeight="1" x14ac:dyDescent="0.2">
      <c r="B708" s="14"/>
      <c r="C708" s="14"/>
      <c r="D708" s="14"/>
      <c r="E708" s="14"/>
      <c r="F708" s="14"/>
      <c r="G708" s="14"/>
      <c r="H708" s="14"/>
      <c r="I708" s="14"/>
      <c r="J708" s="14"/>
      <c r="K708" s="14"/>
      <c r="L708" s="14"/>
    </row>
    <row r="709" spans="2:12" ht="12.75" customHeight="1" x14ac:dyDescent="0.2">
      <c r="B709" s="14"/>
      <c r="C709" s="14"/>
      <c r="D709" s="14"/>
      <c r="E709" s="14"/>
      <c r="F709" s="14"/>
      <c r="G709" s="14"/>
      <c r="H709" s="14"/>
      <c r="I709" s="14"/>
      <c r="J709" s="14"/>
      <c r="K709" s="14"/>
      <c r="L709" s="14"/>
    </row>
    <row r="710" spans="2:12" ht="12.75" customHeight="1" x14ac:dyDescent="0.2">
      <c r="B710" s="14"/>
      <c r="C710" s="14"/>
      <c r="D710" s="14"/>
      <c r="E710" s="14"/>
      <c r="F710" s="14"/>
      <c r="G710" s="14"/>
      <c r="H710" s="14"/>
      <c r="I710" s="14"/>
      <c r="J710" s="14"/>
      <c r="K710" s="14"/>
      <c r="L710" s="14"/>
    </row>
    <row r="711" spans="2:12" ht="12.75" customHeight="1" x14ac:dyDescent="0.2">
      <c r="B711" s="14"/>
      <c r="C711" s="14"/>
      <c r="D711" s="14"/>
      <c r="E711" s="14"/>
      <c r="F711" s="14"/>
      <c r="G711" s="14"/>
      <c r="H711" s="14"/>
      <c r="I711" s="14"/>
      <c r="J711" s="14"/>
      <c r="K711" s="14"/>
      <c r="L711" s="14"/>
    </row>
    <row r="712" spans="2:12" ht="12.75" customHeight="1" x14ac:dyDescent="0.2">
      <c r="B712" s="14"/>
      <c r="C712" s="14"/>
      <c r="D712" s="14"/>
      <c r="E712" s="14"/>
      <c r="F712" s="14"/>
      <c r="G712" s="14"/>
      <c r="H712" s="14"/>
      <c r="I712" s="14"/>
      <c r="J712" s="14"/>
      <c r="K712" s="14"/>
      <c r="L712" s="14"/>
    </row>
    <row r="713" spans="2:12" ht="12.75" customHeight="1" x14ac:dyDescent="0.2">
      <c r="B713" s="14"/>
      <c r="C713" s="14"/>
      <c r="D713" s="14"/>
      <c r="E713" s="14"/>
      <c r="F713" s="14"/>
      <c r="G713" s="14"/>
      <c r="H713" s="14"/>
      <c r="I713" s="14"/>
      <c r="J713" s="14"/>
      <c r="K713" s="14"/>
      <c r="L713" s="14"/>
    </row>
    <row r="714" spans="2:12" ht="12.75" customHeight="1" x14ac:dyDescent="0.2">
      <c r="B714" s="14"/>
      <c r="C714" s="14"/>
      <c r="D714" s="14"/>
      <c r="E714" s="14"/>
      <c r="F714" s="14"/>
      <c r="G714" s="14"/>
      <c r="H714" s="14"/>
      <c r="I714" s="14"/>
      <c r="J714" s="14"/>
      <c r="K714" s="14"/>
      <c r="L714" s="14"/>
    </row>
    <row r="715" spans="2:12" ht="12.75" customHeight="1" x14ac:dyDescent="0.2">
      <c r="B715" s="14"/>
      <c r="C715" s="14"/>
      <c r="D715" s="14"/>
      <c r="E715" s="14"/>
      <c r="F715" s="14"/>
      <c r="G715" s="14"/>
      <c r="H715" s="14"/>
      <c r="I715" s="14"/>
      <c r="J715" s="14"/>
      <c r="K715" s="14"/>
      <c r="L715" s="14"/>
    </row>
    <row r="716" spans="2:12" ht="12.75" customHeight="1" x14ac:dyDescent="0.2">
      <c r="B716" s="14"/>
      <c r="C716" s="14"/>
      <c r="D716" s="14"/>
      <c r="E716" s="14"/>
      <c r="F716" s="14"/>
      <c r="G716" s="14"/>
      <c r="H716" s="14"/>
      <c r="I716" s="14"/>
      <c r="J716" s="14"/>
      <c r="K716" s="14"/>
      <c r="L716" s="14"/>
    </row>
    <row r="717" spans="2:12" ht="12.75" customHeight="1" x14ac:dyDescent="0.2">
      <c r="B717" s="14"/>
      <c r="C717" s="14"/>
      <c r="D717" s="14"/>
      <c r="E717" s="14"/>
      <c r="F717" s="14"/>
      <c r="G717" s="14"/>
      <c r="H717" s="14"/>
      <c r="I717" s="14"/>
      <c r="J717" s="14"/>
      <c r="K717" s="14"/>
      <c r="L717" s="14"/>
    </row>
    <row r="718" spans="2:12" ht="12.75" customHeight="1" x14ac:dyDescent="0.2">
      <c r="B718" s="14"/>
      <c r="C718" s="14"/>
      <c r="D718" s="14"/>
      <c r="E718" s="14"/>
      <c r="F718" s="14"/>
      <c r="G718" s="14"/>
      <c r="H718" s="14"/>
      <c r="I718" s="14"/>
      <c r="J718" s="14"/>
      <c r="K718" s="14"/>
      <c r="L718" s="14"/>
    </row>
    <row r="719" spans="2:12" ht="12.75" customHeight="1" x14ac:dyDescent="0.2">
      <c r="B719" s="14"/>
      <c r="C719" s="14"/>
      <c r="D719" s="14"/>
      <c r="E719" s="14"/>
      <c r="F719" s="14"/>
      <c r="G719" s="14"/>
      <c r="H719" s="14"/>
      <c r="I719" s="14"/>
      <c r="J719" s="14"/>
      <c r="K719" s="14"/>
      <c r="L719" s="14"/>
    </row>
    <row r="720" spans="2:12" ht="12.75" customHeight="1" x14ac:dyDescent="0.2">
      <c r="B720" s="14"/>
      <c r="C720" s="14"/>
      <c r="D720" s="14"/>
      <c r="E720" s="14"/>
      <c r="F720" s="14"/>
      <c r="G720" s="14"/>
      <c r="H720" s="14"/>
      <c r="I720" s="14"/>
      <c r="J720" s="14"/>
      <c r="K720" s="14"/>
      <c r="L720" s="14"/>
    </row>
    <row r="721" spans="2:12" ht="12.75" customHeight="1" x14ac:dyDescent="0.2">
      <c r="B721" s="14"/>
      <c r="C721" s="14"/>
      <c r="D721" s="14"/>
      <c r="E721" s="14"/>
      <c r="F721" s="14"/>
      <c r="G721" s="14"/>
      <c r="H721" s="14"/>
      <c r="I721" s="14"/>
      <c r="J721" s="14"/>
      <c r="K721" s="14"/>
      <c r="L721" s="14"/>
    </row>
    <row r="722" spans="2:12" ht="12.75" customHeight="1" x14ac:dyDescent="0.2">
      <c r="B722" s="14"/>
      <c r="C722" s="14"/>
      <c r="D722" s="14"/>
      <c r="E722" s="14"/>
      <c r="F722" s="14"/>
      <c r="G722" s="14"/>
      <c r="H722" s="14"/>
      <c r="I722" s="14"/>
      <c r="J722" s="14"/>
      <c r="K722" s="14"/>
      <c r="L722" s="14"/>
    </row>
    <row r="723" spans="2:12" ht="12.75" customHeight="1" x14ac:dyDescent="0.2">
      <c r="B723" s="14"/>
      <c r="C723" s="14"/>
      <c r="D723" s="14"/>
      <c r="E723" s="14"/>
      <c r="F723" s="14"/>
      <c r="G723" s="14"/>
      <c r="H723" s="14"/>
      <c r="I723" s="14"/>
      <c r="J723" s="14"/>
      <c r="K723" s="14"/>
      <c r="L723" s="14"/>
    </row>
    <row r="724" spans="2:12" ht="12.75" customHeight="1" x14ac:dyDescent="0.2">
      <c r="B724" s="14"/>
      <c r="C724" s="14"/>
      <c r="D724" s="14"/>
      <c r="E724" s="14"/>
      <c r="F724" s="14"/>
      <c r="G724" s="14"/>
      <c r="H724" s="14"/>
      <c r="I724" s="14"/>
      <c r="J724" s="14"/>
      <c r="K724" s="14"/>
      <c r="L724" s="14"/>
    </row>
    <row r="725" spans="2:12" ht="12.75" customHeight="1" x14ac:dyDescent="0.2">
      <c r="B725" s="14"/>
      <c r="C725" s="14"/>
      <c r="D725" s="14"/>
      <c r="E725" s="14"/>
      <c r="F725" s="14"/>
      <c r="G725" s="14"/>
      <c r="H725" s="14"/>
      <c r="I725" s="14"/>
      <c r="J725" s="14"/>
      <c r="K725" s="14"/>
      <c r="L725" s="14"/>
    </row>
    <row r="726" spans="2:12" ht="12.75" customHeight="1" x14ac:dyDescent="0.2">
      <c r="B726" s="14"/>
      <c r="C726" s="14"/>
      <c r="D726" s="14"/>
      <c r="E726" s="14"/>
      <c r="F726" s="14"/>
      <c r="G726" s="14"/>
      <c r="H726" s="14"/>
      <c r="I726" s="14"/>
      <c r="J726" s="14"/>
      <c r="K726" s="14"/>
      <c r="L726" s="14"/>
    </row>
    <row r="727" spans="2:12" ht="12.75" customHeight="1" x14ac:dyDescent="0.2">
      <c r="B727" s="14"/>
      <c r="C727" s="14"/>
      <c r="D727" s="14"/>
      <c r="E727" s="14"/>
      <c r="F727" s="14"/>
      <c r="G727" s="14"/>
      <c r="H727" s="14"/>
      <c r="I727" s="14"/>
      <c r="J727" s="14"/>
      <c r="K727" s="14"/>
      <c r="L727" s="14"/>
    </row>
    <row r="728" spans="2:12" ht="12.75" customHeight="1" x14ac:dyDescent="0.2">
      <c r="B728" s="14"/>
      <c r="C728" s="14"/>
      <c r="D728" s="14"/>
      <c r="E728" s="14"/>
      <c r="F728" s="14"/>
      <c r="G728" s="14"/>
      <c r="H728" s="14"/>
      <c r="I728" s="14"/>
      <c r="J728" s="14"/>
      <c r="K728" s="14"/>
      <c r="L728" s="14"/>
    </row>
    <row r="729" spans="2:12" ht="12.75" customHeight="1" x14ac:dyDescent="0.2">
      <c r="B729" s="14"/>
      <c r="C729" s="14"/>
      <c r="D729" s="14"/>
      <c r="E729" s="14"/>
      <c r="F729" s="14"/>
      <c r="G729" s="14"/>
      <c r="H729" s="14"/>
      <c r="I729" s="14"/>
      <c r="J729" s="14"/>
      <c r="K729" s="14"/>
      <c r="L729" s="14"/>
    </row>
    <row r="730" spans="2:12" ht="12.75" customHeight="1" x14ac:dyDescent="0.2">
      <c r="B730" s="14"/>
      <c r="C730" s="14"/>
      <c r="D730" s="14"/>
      <c r="E730" s="14"/>
      <c r="F730" s="14"/>
      <c r="G730" s="14"/>
      <c r="H730" s="14"/>
      <c r="I730" s="14"/>
      <c r="J730" s="14"/>
      <c r="K730" s="14"/>
      <c r="L730" s="14"/>
    </row>
    <row r="731" spans="2:12" ht="12.75" customHeight="1" x14ac:dyDescent="0.2">
      <c r="B731" s="14"/>
      <c r="C731" s="14"/>
      <c r="D731" s="14"/>
      <c r="E731" s="14"/>
      <c r="F731" s="14"/>
      <c r="G731" s="14"/>
      <c r="H731" s="14"/>
      <c r="I731" s="14"/>
      <c r="J731" s="14"/>
      <c r="K731" s="14"/>
      <c r="L731" s="14"/>
    </row>
    <row r="732" spans="2:12" ht="12.75" customHeight="1" x14ac:dyDescent="0.2">
      <c r="B732" s="14"/>
      <c r="C732" s="14"/>
      <c r="D732" s="14"/>
      <c r="E732" s="14"/>
      <c r="F732" s="14"/>
      <c r="G732" s="14"/>
      <c r="H732" s="14"/>
      <c r="I732" s="14"/>
      <c r="J732" s="14"/>
      <c r="K732" s="14"/>
      <c r="L732" s="14"/>
    </row>
    <row r="733" spans="2:12" ht="12.75" customHeight="1" x14ac:dyDescent="0.2">
      <c r="B733" s="14"/>
      <c r="C733" s="14"/>
      <c r="D733" s="14"/>
      <c r="E733" s="14"/>
      <c r="F733" s="14"/>
      <c r="G733" s="14"/>
      <c r="H733" s="14"/>
      <c r="I733" s="14"/>
      <c r="J733" s="14"/>
      <c r="K733" s="14"/>
      <c r="L733" s="14"/>
    </row>
    <row r="734" spans="2:12" ht="12.75" customHeight="1" x14ac:dyDescent="0.2">
      <c r="B734" s="14"/>
      <c r="C734" s="14"/>
      <c r="D734" s="14"/>
      <c r="E734" s="14"/>
      <c r="F734" s="14"/>
      <c r="G734" s="14"/>
      <c r="H734" s="14"/>
      <c r="I734" s="14"/>
      <c r="J734" s="14"/>
      <c r="K734" s="14"/>
      <c r="L734" s="14"/>
    </row>
    <row r="735" spans="2:12" ht="12.75" customHeight="1" x14ac:dyDescent="0.2">
      <c r="B735" s="14"/>
      <c r="C735" s="14"/>
      <c r="D735" s="14"/>
      <c r="E735" s="14"/>
      <c r="F735" s="14"/>
      <c r="G735" s="14"/>
      <c r="H735" s="14"/>
      <c r="I735" s="14"/>
      <c r="J735" s="14"/>
      <c r="K735" s="14"/>
      <c r="L735" s="14"/>
    </row>
    <row r="736" spans="2:12" ht="12.75" customHeight="1" x14ac:dyDescent="0.2">
      <c r="B736" s="14"/>
      <c r="C736" s="14"/>
      <c r="D736" s="14"/>
      <c r="E736" s="14"/>
      <c r="F736" s="14"/>
      <c r="G736" s="14"/>
      <c r="H736" s="14"/>
      <c r="I736" s="14"/>
      <c r="J736" s="14"/>
      <c r="K736" s="14"/>
      <c r="L736" s="14"/>
    </row>
    <row r="737" spans="2:12" ht="12.75" customHeight="1" x14ac:dyDescent="0.2">
      <c r="B737" s="14"/>
      <c r="C737" s="14"/>
      <c r="D737" s="14"/>
      <c r="E737" s="14"/>
      <c r="F737" s="14"/>
      <c r="G737" s="14"/>
      <c r="H737" s="14"/>
      <c r="I737" s="14"/>
      <c r="J737" s="14"/>
      <c r="K737" s="14"/>
      <c r="L737" s="14"/>
    </row>
    <row r="738" spans="2:12" ht="12.75" customHeight="1" x14ac:dyDescent="0.2">
      <c r="B738" s="14"/>
      <c r="C738" s="14"/>
      <c r="D738" s="14"/>
      <c r="E738" s="14"/>
      <c r="F738" s="14"/>
      <c r="G738" s="14"/>
      <c r="H738" s="14"/>
      <c r="I738" s="14"/>
      <c r="J738" s="14"/>
      <c r="K738" s="14"/>
      <c r="L738" s="14"/>
    </row>
    <row r="739" spans="2:12" ht="12.75" customHeight="1" x14ac:dyDescent="0.2">
      <c r="B739" s="14"/>
      <c r="C739" s="14"/>
      <c r="D739" s="14"/>
      <c r="E739" s="14"/>
      <c r="F739" s="14"/>
      <c r="G739" s="14"/>
      <c r="H739" s="14"/>
      <c r="I739" s="14"/>
      <c r="J739" s="14"/>
      <c r="K739" s="14"/>
      <c r="L739" s="14"/>
    </row>
    <row r="740" spans="2:12" ht="12.75" customHeight="1" x14ac:dyDescent="0.2">
      <c r="B740" s="14"/>
      <c r="C740" s="14"/>
      <c r="D740" s="14"/>
      <c r="E740" s="14"/>
      <c r="F740" s="14"/>
      <c r="G740" s="14"/>
      <c r="H740" s="14"/>
      <c r="I740" s="14"/>
      <c r="J740" s="14"/>
      <c r="K740" s="14"/>
      <c r="L740" s="14"/>
    </row>
    <row r="741" spans="2:12" ht="12.75" customHeight="1" x14ac:dyDescent="0.2">
      <c r="B741" s="14"/>
      <c r="C741" s="14"/>
      <c r="D741" s="14"/>
      <c r="E741" s="14"/>
      <c r="F741" s="14"/>
      <c r="G741" s="14"/>
      <c r="H741" s="14"/>
      <c r="I741" s="14"/>
      <c r="J741" s="14"/>
      <c r="K741" s="14"/>
      <c r="L741" s="14"/>
    </row>
    <row r="742" spans="2:12" ht="12.75" customHeight="1" x14ac:dyDescent="0.2">
      <c r="B742" s="14"/>
      <c r="C742" s="14"/>
      <c r="D742" s="14"/>
      <c r="E742" s="14"/>
      <c r="F742" s="14"/>
      <c r="G742" s="14"/>
      <c r="H742" s="14"/>
      <c r="I742" s="14"/>
      <c r="J742" s="14"/>
      <c r="K742" s="14"/>
      <c r="L742" s="14"/>
    </row>
    <row r="743" spans="2:12" ht="12.75" customHeight="1" x14ac:dyDescent="0.2">
      <c r="B743" s="14"/>
      <c r="C743" s="14"/>
      <c r="D743" s="14"/>
      <c r="E743" s="14"/>
      <c r="F743" s="14"/>
      <c r="G743" s="14"/>
      <c r="H743" s="14"/>
      <c r="I743" s="14"/>
      <c r="J743" s="14"/>
      <c r="K743" s="14"/>
      <c r="L743" s="14"/>
    </row>
    <row r="744" spans="2:12" ht="12.75" customHeight="1" x14ac:dyDescent="0.2">
      <c r="B744" s="14"/>
      <c r="C744" s="14"/>
      <c r="D744" s="14"/>
      <c r="E744" s="14"/>
      <c r="F744" s="14"/>
      <c r="G744" s="14"/>
      <c r="H744" s="14"/>
      <c r="I744" s="14"/>
      <c r="J744" s="14"/>
      <c r="K744" s="14"/>
      <c r="L744" s="14"/>
    </row>
    <row r="745" spans="2:12" ht="12.75" customHeight="1" x14ac:dyDescent="0.2">
      <c r="B745" s="14"/>
      <c r="C745" s="14"/>
      <c r="D745" s="14"/>
      <c r="E745" s="14"/>
      <c r="F745" s="14"/>
      <c r="G745" s="14"/>
      <c r="H745" s="14"/>
      <c r="I745" s="14"/>
      <c r="J745" s="14"/>
      <c r="K745" s="14"/>
      <c r="L745" s="14"/>
    </row>
    <row r="746" spans="2:12" ht="12.75" customHeight="1" x14ac:dyDescent="0.2">
      <c r="B746" s="14"/>
      <c r="C746" s="14"/>
      <c r="D746" s="14"/>
      <c r="E746" s="14"/>
      <c r="F746" s="14"/>
      <c r="G746" s="14"/>
      <c r="H746" s="14"/>
      <c r="I746" s="14"/>
      <c r="J746" s="14"/>
      <c r="K746" s="14"/>
      <c r="L746" s="14"/>
    </row>
    <row r="747" spans="2:12" ht="12.75" customHeight="1" x14ac:dyDescent="0.2">
      <c r="B747" s="14"/>
      <c r="C747" s="14"/>
      <c r="D747" s="14"/>
      <c r="E747" s="14"/>
      <c r="F747" s="14"/>
      <c r="G747" s="14"/>
      <c r="H747" s="14"/>
      <c r="I747" s="14"/>
      <c r="J747" s="14"/>
      <c r="K747" s="14"/>
      <c r="L747" s="14"/>
    </row>
    <row r="748" spans="2:12" ht="12.75" customHeight="1" x14ac:dyDescent="0.2">
      <c r="B748" s="14"/>
      <c r="C748" s="14"/>
      <c r="D748" s="14"/>
      <c r="E748" s="14"/>
      <c r="F748" s="14"/>
      <c r="G748" s="14"/>
      <c r="H748" s="14"/>
      <c r="I748" s="14"/>
      <c r="J748" s="14"/>
      <c r="K748" s="14"/>
      <c r="L748" s="14"/>
    </row>
    <row r="749" spans="2:12" ht="12.75" customHeight="1" x14ac:dyDescent="0.2">
      <c r="B749" s="14"/>
      <c r="C749" s="14"/>
      <c r="D749" s="14"/>
      <c r="E749" s="14"/>
      <c r="F749" s="14"/>
      <c r="G749" s="14"/>
      <c r="H749" s="14"/>
      <c r="I749" s="14"/>
      <c r="J749" s="14"/>
      <c r="K749" s="14"/>
      <c r="L749" s="14"/>
    </row>
    <row r="750" spans="2:12" ht="12.75" customHeight="1" x14ac:dyDescent="0.2">
      <c r="B750" s="14"/>
      <c r="C750" s="14"/>
      <c r="D750" s="14"/>
      <c r="E750" s="14"/>
      <c r="F750" s="14"/>
      <c r="G750" s="14"/>
      <c r="H750" s="14"/>
      <c r="I750" s="14"/>
      <c r="J750" s="14"/>
      <c r="K750" s="14"/>
      <c r="L750" s="14"/>
    </row>
    <row r="751" spans="2:12" ht="12.75" customHeight="1" x14ac:dyDescent="0.2">
      <c r="B751" s="14"/>
      <c r="C751" s="14"/>
      <c r="D751" s="14"/>
      <c r="E751" s="14"/>
      <c r="F751" s="14"/>
      <c r="G751" s="14"/>
      <c r="H751" s="14"/>
      <c r="I751" s="14"/>
      <c r="J751" s="14"/>
      <c r="K751" s="14"/>
      <c r="L751" s="14"/>
    </row>
    <row r="752" spans="2:12" ht="12.75" customHeight="1" x14ac:dyDescent="0.2">
      <c r="B752" s="14"/>
      <c r="C752" s="14"/>
      <c r="D752" s="14"/>
      <c r="E752" s="14"/>
      <c r="F752" s="14"/>
      <c r="G752" s="14"/>
      <c r="H752" s="14"/>
      <c r="I752" s="14"/>
      <c r="J752" s="14"/>
      <c r="K752" s="14"/>
      <c r="L752" s="14"/>
    </row>
    <row r="753" spans="2:12" ht="12.75" customHeight="1" x14ac:dyDescent="0.2">
      <c r="B753" s="14"/>
      <c r="C753" s="14"/>
      <c r="D753" s="14"/>
      <c r="E753" s="14"/>
      <c r="F753" s="14"/>
      <c r="G753" s="14"/>
      <c r="H753" s="14"/>
      <c r="I753" s="14"/>
      <c r="J753" s="14"/>
      <c r="K753" s="14"/>
      <c r="L753" s="14"/>
    </row>
    <row r="754" spans="2:12" ht="12.75" customHeight="1" x14ac:dyDescent="0.2">
      <c r="B754" s="14"/>
      <c r="C754" s="14"/>
      <c r="D754" s="14"/>
      <c r="E754" s="14"/>
      <c r="F754" s="14"/>
      <c r="G754" s="14"/>
      <c r="H754" s="14"/>
      <c r="I754" s="14"/>
      <c r="J754" s="14"/>
      <c r="K754" s="14"/>
      <c r="L754" s="14"/>
    </row>
    <row r="755" spans="2:12" ht="12.75" customHeight="1" x14ac:dyDescent="0.2">
      <c r="B755" s="14"/>
      <c r="C755" s="14"/>
      <c r="D755" s="14"/>
      <c r="E755" s="14"/>
      <c r="F755" s="14"/>
      <c r="G755" s="14"/>
      <c r="H755" s="14"/>
      <c r="I755" s="14"/>
      <c r="J755" s="14"/>
      <c r="K755" s="14"/>
      <c r="L755" s="14"/>
    </row>
    <row r="756" spans="2:12" ht="12.75" customHeight="1" x14ac:dyDescent="0.2">
      <c r="B756" s="14"/>
      <c r="C756" s="14"/>
      <c r="D756" s="14"/>
      <c r="E756" s="14"/>
      <c r="F756" s="14"/>
      <c r="G756" s="14"/>
      <c r="H756" s="14"/>
      <c r="I756" s="14"/>
      <c r="J756" s="14"/>
      <c r="K756" s="14"/>
      <c r="L756" s="14"/>
    </row>
    <row r="757" spans="2:12" ht="12.75" customHeight="1" x14ac:dyDescent="0.2">
      <c r="B757" s="14"/>
      <c r="C757" s="14"/>
      <c r="D757" s="14"/>
      <c r="E757" s="14"/>
      <c r="F757" s="14"/>
      <c r="G757" s="14"/>
      <c r="H757" s="14"/>
      <c r="I757" s="14"/>
      <c r="J757" s="14"/>
      <c r="K757" s="14"/>
      <c r="L757" s="14"/>
    </row>
    <row r="758" spans="2:12" ht="12.75" customHeight="1" x14ac:dyDescent="0.2">
      <c r="B758" s="14"/>
      <c r="C758" s="14"/>
      <c r="D758" s="14"/>
      <c r="E758" s="14"/>
      <c r="F758" s="14"/>
      <c r="G758" s="14"/>
      <c r="H758" s="14"/>
      <c r="I758" s="14"/>
      <c r="J758" s="14"/>
      <c r="K758" s="14"/>
      <c r="L758" s="14"/>
    </row>
    <row r="759" spans="2:12" ht="12.75" customHeight="1" x14ac:dyDescent="0.2">
      <c r="B759" s="14"/>
      <c r="C759" s="14"/>
      <c r="D759" s="14"/>
      <c r="E759" s="14"/>
      <c r="F759" s="14"/>
      <c r="G759" s="14"/>
      <c r="H759" s="14"/>
      <c r="I759" s="14"/>
      <c r="J759" s="14"/>
      <c r="K759" s="14"/>
      <c r="L759" s="14"/>
    </row>
    <row r="760" spans="2:12" ht="12.75" customHeight="1" x14ac:dyDescent="0.2">
      <c r="B760" s="14"/>
      <c r="C760" s="14"/>
      <c r="D760" s="14"/>
      <c r="E760" s="14"/>
      <c r="F760" s="14"/>
      <c r="G760" s="14"/>
      <c r="H760" s="14"/>
      <c r="I760" s="14"/>
      <c r="J760" s="14"/>
      <c r="K760" s="14"/>
      <c r="L760" s="14"/>
    </row>
    <row r="761" spans="2:12" ht="12.75" customHeight="1" x14ac:dyDescent="0.2">
      <c r="B761" s="14"/>
      <c r="C761" s="14"/>
      <c r="D761" s="14"/>
      <c r="E761" s="14"/>
      <c r="F761" s="14"/>
      <c r="G761" s="14"/>
      <c r="H761" s="14"/>
      <c r="I761" s="14"/>
      <c r="J761" s="14"/>
      <c r="K761" s="14"/>
      <c r="L761" s="14"/>
    </row>
    <row r="762" spans="2:12" ht="12.75" customHeight="1" x14ac:dyDescent="0.2">
      <c r="B762" s="14"/>
      <c r="C762" s="14"/>
      <c r="D762" s="14"/>
      <c r="E762" s="14"/>
      <c r="F762" s="14"/>
      <c r="G762" s="14"/>
      <c r="H762" s="14"/>
      <c r="I762" s="14"/>
      <c r="J762" s="14"/>
      <c r="K762" s="14"/>
      <c r="L762" s="14"/>
    </row>
    <row r="763" spans="2:12" ht="12.75" customHeight="1" x14ac:dyDescent="0.2">
      <c r="B763" s="14"/>
      <c r="C763" s="14"/>
      <c r="D763" s="14"/>
      <c r="E763" s="14"/>
      <c r="F763" s="14"/>
      <c r="G763" s="14"/>
      <c r="H763" s="14"/>
      <c r="I763" s="14"/>
      <c r="J763" s="14"/>
      <c r="K763" s="14"/>
      <c r="L763" s="14"/>
    </row>
    <row r="764" spans="2:12" ht="12.75" customHeight="1" x14ac:dyDescent="0.2">
      <c r="B764" s="14"/>
      <c r="C764" s="14"/>
      <c r="D764" s="14"/>
      <c r="E764" s="14"/>
      <c r="F764" s="14"/>
      <c r="G764" s="14"/>
      <c r="H764" s="14"/>
      <c r="I764" s="14"/>
      <c r="J764" s="14"/>
      <c r="K764" s="14"/>
      <c r="L764" s="14"/>
    </row>
    <row r="765" spans="2:12" ht="12.75" customHeight="1" x14ac:dyDescent="0.2">
      <c r="B765" s="14"/>
      <c r="C765" s="14"/>
      <c r="D765" s="14"/>
      <c r="E765" s="14"/>
      <c r="F765" s="14"/>
      <c r="G765" s="14"/>
      <c r="H765" s="14"/>
      <c r="I765" s="14"/>
      <c r="J765" s="14"/>
      <c r="K765" s="14"/>
      <c r="L765" s="14"/>
    </row>
    <row r="766" spans="2:12" ht="12.75" customHeight="1" x14ac:dyDescent="0.2">
      <c r="B766" s="14"/>
      <c r="C766" s="14"/>
      <c r="D766" s="14"/>
      <c r="E766" s="14"/>
      <c r="F766" s="14"/>
      <c r="G766" s="14"/>
      <c r="H766" s="14"/>
      <c r="I766" s="14"/>
      <c r="J766" s="14"/>
      <c r="K766" s="14"/>
      <c r="L766" s="14"/>
    </row>
    <row r="767" spans="2:12" ht="12.75" customHeight="1" x14ac:dyDescent="0.2">
      <c r="B767" s="14"/>
      <c r="C767" s="14"/>
      <c r="D767" s="14"/>
      <c r="E767" s="14"/>
      <c r="F767" s="14"/>
      <c r="G767" s="14"/>
      <c r="H767" s="14"/>
      <c r="I767" s="14"/>
      <c r="J767" s="14"/>
      <c r="K767" s="14"/>
      <c r="L767" s="14"/>
    </row>
    <row r="768" spans="2:12" ht="12.75" customHeight="1" x14ac:dyDescent="0.2">
      <c r="B768" s="14"/>
      <c r="C768" s="14"/>
      <c r="D768" s="14"/>
      <c r="E768" s="14"/>
      <c r="F768" s="14"/>
      <c r="G768" s="14"/>
      <c r="H768" s="14"/>
      <c r="I768" s="14"/>
      <c r="J768" s="14"/>
      <c r="K768" s="14"/>
      <c r="L768" s="14"/>
    </row>
    <row r="769" spans="2:12" ht="12.75" customHeight="1" x14ac:dyDescent="0.2">
      <c r="B769" s="14"/>
      <c r="C769" s="14"/>
      <c r="D769" s="14"/>
      <c r="E769" s="14"/>
      <c r="F769" s="14"/>
      <c r="G769" s="14"/>
      <c r="H769" s="14"/>
      <c r="I769" s="14"/>
      <c r="J769" s="14"/>
      <c r="K769" s="14"/>
      <c r="L769" s="14"/>
    </row>
    <row r="770" spans="2:12" ht="12.75" customHeight="1" x14ac:dyDescent="0.2">
      <c r="B770" s="14"/>
      <c r="C770" s="14"/>
      <c r="D770" s="14"/>
      <c r="E770" s="14"/>
      <c r="F770" s="14"/>
      <c r="G770" s="14"/>
      <c r="H770" s="14"/>
      <c r="I770" s="14"/>
      <c r="J770" s="14"/>
      <c r="K770" s="14"/>
      <c r="L770" s="14"/>
    </row>
    <row r="771" spans="2:12" ht="12.75" customHeight="1" x14ac:dyDescent="0.2">
      <c r="B771" s="14"/>
      <c r="C771" s="14"/>
      <c r="D771" s="14"/>
      <c r="E771" s="14"/>
      <c r="F771" s="14"/>
      <c r="G771" s="14"/>
      <c r="H771" s="14"/>
      <c r="I771" s="14"/>
      <c r="J771" s="14"/>
      <c r="K771" s="14"/>
      <c r="L771" s="14"/>
    </row>
    <row r="772" spans="2:12" ht="12.75" customHeight="1" x14ac:dyDescent="0.2">
      <c r="B772" s="14"/>
      <c r="C772" s="14"/>
      <c r="D772" s="14"/>
      <c r="E772" s="14"/>
      <c r="F772" s="14"/>
      <c r="G772" s="14"/>
      <c r="H772" s="14"/>
      <c r="I772" s="14"/>
      <c r="J772" s="14"/>
      <c r="K772" s="14"/>
      <c r="L772" s="14"/>
    </row>
    <row r="773" spans="2:12" ht="12.75" customHeight="1" x14ac:dyDescent="0.2">
      <c r="B773" s="14"/>
      <c r="C773" s="14"/>
      <c r="D773" s="14"/>
      <c r="E773" s="14"/>
      <c r="F773" s="14"/>
      <c r="G773" s="14"/>
      <c r="H773" s="14"/>
      <c r="I773" s="14"/>
      <c r="J773" s="14"/>
      <c r="K773" s="14"/>
      <c r="L773" s="14"/>
    </row>
    <row r="774" spans="2:12" ht="12.75" customHeight="1" x14ac:dyDescent="0.2">
      <c r="B774" s="14"/>
      <c r="C774" s="14"/>
      <c r="D774" s="14"/>
      <c r="E774" s="14"/>
      <c r="F774" s="14"/>
      <c r="G774" s="14"/>
      <c r="H774" s="14"/>
      <c r="I774" s="14"/>
      <c r="J774" s="14"/>
      <c r="K774" s="14"/>
      <c r="L774" s="14"/>
    </row>
    <row r="775" spans="2:12" ht="12.75" customHeight="1" x14ac:dyDescent="0.2">
      <c r="B775" s="14"/>
      <c r="C775" s="14"/>
      <c r="D775" s="14"/>
      <c r="E775" s="14"/>
      <c r="F775" s="14"/>
      <c r="G775" s="14"/>
      <c r="H775" s="14"/>
      <c r="I775" s="14"/>
      <c r="J775" s="14"/>
      <c r="K775" s="14"/>
      <c r="L775" s="14"/>
    </row>
    <row r="776" spans="2:12" ht="12.75" customHeight="1" x14ac:dyDescent="0.2">
      <c r="B776" s="14"/>
      <c r="C776" s="14"/>
      <c r="D776" s="14"/>
      <c r="E776" s="14"/>
      <c r="F776" s="14"/>
      <c r="G776" s="14"/>
      <c r="H776" s="14"/>
      <c r="I776" s="14"/>
      <c r="J776" s="14"/>
      <c r="K776" s="14"/>
      <c r="L776" s="14"/>
    </row>
    <row r="777" spans="2:12" ht="12.75" customHeight="1" x14ac:dyDescent="0.2">
      <c r="B777" s="14"/>
      <c r="C777" s="14"/>
      <c r="D777" s="14"/>
      <c r="E777" s="14"/>
      <c r="F777" s="14"/>
      <c r="G777" s="14"/>
      <c r="H777" s="14"/>
      <c r="I777" s="14"/>
      <c r="J777" s="14"/>
      <c r="K777" s="14"/>
      <c r="L777" s="14"/>
    </row>
    <row r="778" spans="2:12" ht="12.75" customHeight="1" x14ac:dyDescent="0.2">
      <c r="B778" s="14"/>
      <c r="C778" s="14"/>
      <c r="D778" s="14"/>
      <c r="E778" s="14"/>
      <c r="F778" s="14"/>
      <c r="G778" s="14"/>
      <c r="H778" s="14"/>
      <c r="I778" s="14"/>
      <c r="J778" s="14"/>
      <c r="K778" s="14"/>
      <c r="L778" s="14"/>
    </row>
    <row r="779" spans="2:12" ht="12.75" customHeight="1" x14ac:dyDescent="0.2">
      <c r="B779" s="14"/>
      <c r="C779" s="14"/>
      <c r="D779" s="14"/>
      <c r="E779" s="14"/>
      <c r="F779" s="14"/>
      <c r="G779" s="14"/>
      <c r="H779" s="14"/>
      <c r="I779" s="14"/>
      <c r="J779" s="14"/>
      <c r="K779" s="14"/>
      <c r="L779" s="14"/>
    </row>
    <row r="780" spans="2:12" ht="12.75" customHeight="1" x14ac:dyDescent="0.2">
      <c r="B780" s="14"/>
      <c r="C780" s="14"/>
      <c r="D780" s="14"/>
      <c r="E780" s="14"/>
      <c r="F780" s="14"/>
      <c r="G780" s="14"/>
      <c r="H780" s="14"/>
      <c r="I780" s="14"/>
      <c r="J780" s="14"/>
      <c r="K780" s="14"/>
      <c r="L780" s="14"/>
    </row>
    <row r="781" spans="2:12" ht="12.75" customHeight="1" x14ac:dyDescent="0.2">
      <c r="B781" s="14"/>
      <c r="C781" s="14"/>
      <c r="D781" s="14"/>
      <c r="E781" s="14"/>
      <c r="F781" s="14"/>
      <c r="G781" s="14"/>
      <c r="H781" s="14"/>
      <c r="I781" s="14"/>
      <c r="J781" s="14"/>
      <c r="K781" s="14"/>
      <c r="L781" s="14"/>
    </row>
    <row r="782" spans="2:12" ht="12.75" customHeight="1" x14ac:dyDescent="0.2">
      <c r="B782" s="14"/>
      <c r="C782" s="14"/>
      <c r="D782" s="14"/>
      <c r="E782" s="14"/>
      <c r="F782" s="14"/>
      <c r="G782" s="14"/>
      <c r="H782" s="14"/>
      <c r="I782" s="14"/>
      <c r="J782" s="14"/>
      <c r="K782" s="14"/>
      <c r="L782" s="14"/>
    </row>
    <row r="783" spans="2:12" ht="12.75" customHeight="1" x14ac:dyDescent="0.2">
      <c r="B783" s="14"/>
      <c r="C783" s="14"/>
      <c r="D783" s="14"/>
      <c r="E783" s="14"/>
      <c r="F783" s="14"/>
      <c r="G783" s="14"/>
      <c r="H783" s="14"/>
      <c r="I783" s="14"/>
      <c r="J783" s="14"/>
      <c r="K783" s="14"/>
      <c r="L783" s="14"/>
    </row>
    <row r="784" spans="2:12" ht="12.75" customHeight="1" x14ac:dyDescent="0.2">
      <c r="B784" s="14"/>
      <c r="C784" s="14"/>
      <c r="D784" s="14"/>
      <c r="E784" s="14"/>
      <c r="F784" s="14"/>
      <c r="G784" s="14"/>
      <c r="H784" s="14"/>
      <c r="I784" s="14"/>
      <c r="J784" s="14"/>
      <c r="K784" s="14"/>
      <c r="L784" s="14"/>
    </row>
    <row r="785" spans="2:12" ht="12.75" customHeight="1" x14ac:dyDescent="0.2">
      <c r="B785" s="14"/>
      <c r="C785" s="14"/>
      <c r="D785" s="14"/>
      <c r="E785" s="14"/>
      <c r="F785" s="14"/>
      <c r="G785" s="14"/>
      <c r="H785" s="14"/>
      <c r="I785" s="14"/>
      <c r="J785" s="14"/>
      <c r="K785" s="14"/>
      <c r="L785" s="14"/>
    </row>
    <row r="786" spans="2:12" ht="12.75" customHeight="1" x14ac:dyDescent="0.2">
      <c r="B786" s="14"/>
      <c r="C786" s="14"/>
      <c r="D786" s="14"/>
      <c r="E786" s="14"/>
      <c r="F786" s="14"/>
      <c r="G786" s="14"/>
      <c r="H786" s="14"/>
      <c r="I786" s="14"/>
      <c r="J786" s="14"/>
      <c r="K786" s="14"/>
      <c r="L786" s="14"/>
    </row>
    <row r="787" spans="2:12" ht="12.75" customHeight="1" x14ac:dyDescent="0.2">
      <c r="B787" s="14"/>
      <c r="C787" s="14"/>
      <c r="D787" s="14"/>
      <c r="E787" s="14"/>
      <c r="F787" s="14"/>
      <c r="G787" s="14"/>
      <c r="H787" s="14"/>
      <c r="I787" s="14"/>
      <c r="J787" s="14"/>
      <c r="K787" s="14"/>
      <c r="L787" s="14"/>
    </row>
    <row r="788" spans="2:12" ht="12.75" customHeight="1" x14ac:dyDescent="0.2">
      <c r="B788" s="14"/>
      <c r="C788" s="14"/>
      <c r="D788" s="14"/>
      <c r="E788" s="14"/>
      <c r="F788" s="14"/>
      <c r="G788" s="14"/>
      <c r="H788" s="14"/>
      <c r="I788" s="14"/>
      <c r="J788" s="14"/>
      <c r="K788" s="14"/>
      <c r="L788" s="14"/>
    </row>
    <row r="789" spans="2:12" ht="12.75" customHeight="1" x14ac:dyDescent="0.2">
      <c r="B789" s="14"/>
      <c r="C789" s="14"/>
      <c r="D789" s="14"/>
      <c r="E789" s="14"/>
      <c r="F789" s="14"/>
      <c r="G789" s="14"/>
      <c r="H789" s="14"/>
      <c r="I789" s="14"/>
      <c r="J789" s="14"/>
      <c r="K789" s="14"/>
      <c r="L789" s="14"/>
    </row>
    <row r="790" spans="2:12" ht="12.75" customHeight="1" x14ac:dyDescent="0.2">
      <c r="B790" s="14"/>
      <c r="C790" s="14"/>
      <c r="D790" s="14"/>
      <c r="E790" s="14"/>
      <c r="F790" s="14"/>
      <c r="G790" s="14"/>
      <c r="H790" s="14"/>
      <c r="I790" s="14"/>
      <c r="J790" s="14"/>
      <c r="K790" s="14"/>
      <c r="L790" s="14"/>
    </row>
    <row r="791" spans="2:12" ht="12.75" customHeight="1" x14ac:dyDescent="0.2">
      <c r="B791" s="14"/>
      <c r="C791" s="14"/>
      <c r="D791" s="14"/>
      <c r="E791" s="14"/>
      <c r="F791" s="14"/>
      <c r="G791" s="14"/>
      <c r="H791" s="14"/>
      <c r="I791" s="14"/>
      <c r="J791" s="14"/>
      <c r="K791" s="14"/>
      <c r="L791" s="14"/>
    </row>
    <row r="792" spans="2:12" ht="12.75" customHeight="1" x14ac:dyDescent="0.2">
      <c r="B792" s="14"/>
      <c r="C792" s="14"/>
      <c r="D792" s="14"/>
      <c r="E792" s="14"/>
      <c r="F792" s="14"/>
      <c r="G792" s="14"/>
      <c r="H792" s="14"/>
      <c r="I792" s="14"/>
      <c r="J792" s="14"/>
      <c r="K792" s="14"/>
      <c r="L792" s="14"/>
    </row>
    <row r="793" spans="2:12" ht="12.75" customHeight="1" x14ac:dyDescent="0.2">
      <c r="B793" s="14"/>
      <c r="C793" s="14"/>
      <c r="D793" s="14"/>
      <c r="E793" s="14"/>
      <c r="F793" s="14"/>
      <c r="G793" s="14"/>
      <c r="H793" s="14"/>
      <c r="I793" s="14"/>
      <c r="J793" s="14"/>
      <c r="K793" s="14"/>
      <c r="L793" s="14"/>
    </row>
    <row r="794" spans="2:12" ht="12.75" customHeight="1" x14ac:dyDescent="0.2">
      <c r="B794" s="14"/>
      <c r="C794" s="14"/>
      <c r="D794" s="14"/>
      <c r="E794" s="14"/>
      <c r="F794" s="14"/>
      <c r="G794" s="14"/>
      <c r="H794" s="14"/>
      <c r="I794" s="14"/>
      <c r="J794" s="14"/>
      <c r="K794" s="14"/>
      <c r="L794" s="14"/>
    </row>
    <row r="795" spans="2:12" ht="12.75" customHeight="1" x14ac:dyDescent="0.2">
      <c r="B795" s="14"/>
      <c r="C795" s="14"/>
      <c r="D795" s="14"/>
      <c r="E795" s="14"/>
      <c r="F795" s="14"/>
      <c r="G795" s="14"/>
      <c r="H795" s="14"/>
      <c r="I795" s="14"/>
      <c r="J795" s="14"/>
      <c r="K795" s="14"/>
      <c r="L795" s="14"/>
    </row>
    <row r="796" spans="2:12" ht="12.75" customHeight="1" x14ac:dyDescent="0.2">
      <c r="B796" s="14"/>
      <c r="C796" s="14"/>
      <c r="D796" s="14"/>
      <c r="E796" s="14"/>
      <c r="F796" s="14"/>
      <c r="G796" s="14"/>
      <c r="H796" s="14"/>
      <c r="I796" s="14"/>
      <c r="J796" s="14"/>
      <c r="K796" s="14"/>
      <c r="L796" s="14"/>
    </row>
    <row r="797" spans="2:12" ht="12.75" customHeight="1" x14ac:dyDescent="0.2">
      <c r="B797" s="14"/>
      <c r="C797" s="14"/>
      <c r="D797" s="14"/>
      <c r="E797" s="14"/>
      <c r="F797" s="14"/>
      <c r="G797" s="14"/>
      <c r="H797" s="14"/>
      <c r="I797" s="14"/>
      <c r="J797" s="14"/>
      <c r="K797" s="14"/>
      <c r="L797" s="14"/>
    </row>
    <row r="798" spans="2:12" ht="12.75" customHeight="1" x14ac:dyDescent="0.2">
      <c r="B798" s="14"/>
      <c r="C798" s="14"/>
      <c r="D798" s="14"/>
      <c r="E798" s="14"/>
      <c r="F798" s="14"/>
      <c r="G798" s="14"/>
      <c r="H798" s="14"/>
      <c r="I798" s="14"/>
      <c r="J798" s="14"/>
      <c r="K798" s="14"/>
      <c r="L798" s="14"/>
    </row>
    <row r="799" spans="2:12" ht="12.75" customHeight="1" x14ac:dyDescent="0.2">
      <c r="B799" s="14"/>
      <c r="C799" s="14"/>
      <c r="D799" s="14"/>
      <c r="E799" s="14"/>
      <c r="F799" s="14"/>
      <c r="G799" s="14"/>
      <c r="H799" s="14"/>
      <c r="I799" s="14"/>
      <c r="J799" s="14"/>
      <c r="K799" s="14"/>
      <c r="L799" s="14"/>
    </row>
    <row r="800" spans="2:12" ht="12.75" customHeight="1" x14ac:dyDescent="0.2">
      <c r="B800" s="14"/>
      <c r="C800" s="14"/>
      <c r="D800" s="14"/>
      <c r="E800" s="14"/>
      <c r="F800" s="14"/>
      <c r="G800" s="14"/>
      <c r="H800" s="14"/>
      <c r="I800" s="14"/>
      <c r="J800" s="14"/>
      <c r="K800" s="14"/>
      <c r="L800" s="14"/>
    </row>
    <row r="801" spans="2:12" ht="12.75" customHeight="1" x14ac:dyDescent="0.2">
      <c r="B801" s="14"/>
      <c r="C801" s="14"/>
      <c r="D801" s="14"/>
      <c r="E801" s="14"/>
      <c r="F801" s="14"/>
      <c r="G801" s="14"/>
      <c r="H801" s="14"/>
      <c r="I801" s="14"/>
      <c r="J801" s="14"/>
      <c r="K801" s="14"/>
      <c r="L801" s="14"/>
    </row>
    <row r="802" spans="2:12" ht="12.75" customHeight="1" x14ac:dyDescent="0.2">
      <c r="B802" s="14"/>
      <c r="C802" s="14"/>
      <c r="D802" s="14"/>
      <c r="E802" s="14"/>
      <c r="F802" s="14"/>
      <c r="G802" s="14"/>
      <c r="H802" s="14"/>
      <c r="I802" s="14"/>
      <c r="J802" s="14"/>
      <c r="K802" s="14"/>
      <c r="L802" s="14"/>
    </row>
    <row r="803" spans="2:12" ht="12.75" customHeight="1" x14ac:dyDescent="0.2">
      <c r="B803" s="14"/>
      <c r="C803" s="14"/>
      <c r="D803" s="14"/>
      <c r="E803" s="14"/>
      <c r="F803" s="14"/>
      <c r="G803" s="14"/>
      <c r="H803" s="14"/>
      <c r="I803" s="14"/>
      <c r="J803" s="14"/>
      <c r="K803" s="14"/>
      <c r="L803" s="14"/>
    </row>
    <row r="804" spans="2:12" ht="12.75" customHeight="1" x14ac:dyDescent="0.2">
      <c r="B804" s="14"/>
      <c r="C804" s="14"/>
      <c r="D804" s="14"/>
      <c r="E804" s="14"/>
      <c r="F804" s="14"/>
      <c r="G804" s="14"/>
      <c r="H804" s="14"/>
      <c r="I804" s="14"/>
      <c r="J804" s="14"/>
      <c r="K804" s="14"/>
      <c r="L804" s="14"/>
    </row>
    <row r="805" spans="2:12" ht="12.75" customHeight="1" x14ac:dyDescent="0.2">
      <c r="B805" s="14"/>
      <c r="C805" s="14"/>
      <c r="D805" s="14"/>
      <c r="E805" s="14"/>
      <c r="F805" s="14"/>
      <c r="G805" s="14"/>
      <c r="H805" s="14"/>
      <c r="I805" s="14"/>
      <c r="J805" s="14"/>
      <c r="K805" s="14"/>
      <c r="L805" s="14"/>
    </row>
    <row r="806" spans="2:12" ht="12.75" customHeight="1" x14ac:dyDescent="0.2">
      <c r="B806" s="14"/>
      <c r="C806" s="14"/>
      <c r="D806" s="14"/>
      <c r="E806" s="14"/>
      <c r="F806" s="14"/>
      <c r="G806" s="14"/>
      <c r="H806" s="14"/>
      <c r="I806" s="14"/>
      <c r="J806" s="14"/>
      <c r="K806" s="14"/>
      <c r="L806" s="14"/>
    </row>
    <row r="807" spans="2:12" ht="12.75" customHeight="1" x14ac:dyDescent="0.2">
      <c r="B807" s="14"/>
      <c r="C807" s="14"/>
      <c r="D807" s="14"/>
      <c r="E807" s="14"/>
      <c r="F807" s="14"/>
      <c r="G807" s="14"/>
      <c r="H807" s="14"/>
      <c r="I807" s="14"/>
      <c r="J807" s="14"/>
      <c r="K807" s="14"/>
      <c r="L807" s="14"/>
    </row>
    <row r="808" spans="2:12" ht="12.75" customHeight="1" x14ac:dyDescent="0.2">
      <c r="B808" s="14"/>
      <c r="C808" s="14"/>
      <c r="D808" s="14"/>
      <c r="E808" s="14"/>
      <c r="F808" s="14"/>
      <c r="G808" s="14"/>
      <c r="H808" s="14"/>
      <c r="I808" s="14"/>
      <c r="J808" s="14"/>
      <c r="K808" s="14"/>
      <c r="L808" s="14"/>
    </row>
    <row r="809" spans="2:12" ht="12.75" customHeight="1" x14ac:dyDescent="0.2">
      <c r="B809" s="14"/>
      <c r="C809" s="14"/>
      <c r="D809" s="14"/>
      <c r="E809" s="14"/>
      <c r="F809" s="14"/>
      <c r="G809" s="14"/>
      <c r="H809" s="14"/>
      <c r="I809" s="14"/>
      <c r="J809" s="14"/>
      <c r="K809" s="14"/>
      <c r="L809" s="14"/>
    </row>
    <row r="810" spans="2:12" ht="12.75" customHeight="1" x14ac:dyDescent="0.2">
      <c r="B810" s="14"/>
      <c r="C810" s="14"/>
      <c r="D810" s="14"/>
      <c r="E810" s="14"/>
      <c r="F810" s="14"/>
      <c r="G810" s="14"/>
      <c r="H810" s="14"/>
      <c r="I810" s="14"/>
      <c r="J810" s="14"/>
      <c r="K810" s="14"/>
      <c r="L810" s="14"/>
    </row>
    <row r="811" spans="2:12" ht="12.75" customHeight="1" x14ac:dyDescent="0.2">
      <c r="B811" s="14"/>
      <c r="C811" s="14"/>
      <c r="D811" s="14"/>
      <c r="E811" s="14"/>
      <c r="F811" s="14"/>
      <c r="G811" s="14"/>
      <c r="H811" s="14"/>
      <c r="I811" s="14"/>
      <c r="J811" s="14"/>
      <c r="K811" s="14"/>
      <c r="L811" s="14"/>
    </row>
    <row r="812" spans="2:12" ht="12.75" customHeight="1" x14ac:dyDescent="0.2">
      <c r="B812" s="14"/>
      <c r="C812" s="14"/>
      <c r="D812" s="14"/>
      <c r="E812" s="14"/>
      <c r="F812" s="14"/>
      <c r="G812" s="14"/>
      <c r="H812" s="14"/>
      <c r="I812" s="14"/>
      <c r="J812" s="14"/>
      <c r="K812" s="14"/>
      <c r="L812" s="14"/>
    </row>
    <row r="813" spans="2:12" ht="12.75" customHeight="1" x14ac:dyDescent="0.2">
      <c r="B813" s="14"/>
      <c r="C813" s="14"/>
      <c r="D813" s="14"/>
      <c r="E813" s="14"/>
      <c r="F813" s="14"/>
      <c r="G813" s="14"/>
      <c r="H813" s="14"/>
      <c r="I813" s="14"/>
      <c r="J813" s="14"/>
      <c r="K813" s="14"/>
      <c r="L813" s="14"/>
    </row>
    <row r="814" spans="2:12" ht="12.75" customHeight="1" x14ac:dyDescent="0.2">
      <c r="B814" s="14"/>
      <c r="C814" s="14"/>
      <c r="D814" s="14"/>
      <c r="E814" s="14"/>
      <c r="F814" s="14"/>
      <c r="G814" s="14"/>
      <c r="H814" s="14"/>
      <c r="I814" s="14"/>
      <c r="J814" s="14"/>
      <c r="K814" s="14"/>
      <c r="L814" s="14"/>
    </row>
    <row r="815" spans="2:12" ht="12.75" customHeight="1" x14ac:dyDescent="0.2">
      <c r="B815" s="14"/>
      <c r="C815" s="14"/>
      <c r="D815" s="14"/>
      <c r="E815" s="14"/>
      <c r="F815" s="14"/>
      <c r="G815" s="14"/>
      <c r="H815" s="14"/>
      <c r="I815" s="14"/>
      <c r="J815" s="14"/>
      <c r="K815" s="14"/>
      <c r="L815" s="14"/>
    </row>
    <row r="816" spans="2:12" ht="12.75" customHeight="1" x14ac:dyDescent="0.2">
      <c r="B816" s="14"/>
      <c r="C816" s="14"/>
      <c r="D816" s="14"/>
      <c r="E816" s="14"/>
      <c r="F816" s="14"/>
      <c r="G816" s="14"/>
      <c r="H816" s="14"/>
      <c r="I816" s="14"/>
      <c r="J816" s="14"/>
      <c r="K816" s="14"/>
      <c r="L816" s="14"/>
    </row>
    <row r="817" spans="2:12" ht="12.75" customHeight="1" x14ac:dyDescent="0.2">
      <c r="B817" s="14"/>
      <c r="C817" s="14"/>
      <c r="D817" s="14"/>
      <c r="E817" s="14"/>
      <c r="F817" s="14"/>
      <c r="G817" s="14"/>
      <c r="H817" s="14"/>
      <c r="I817" s="14"/>
      <c r="J817" s="14"/>
      <c r="K817" s="14"/>
      <c r="L817" s="14"/>
    </row>
    <row r="818" spans="2:12" ht="12.75" customHeight="1" x14ac:dyDescent="0.2">
      <c r="B818" s="14"/>
      <c r="C818" s="14"/>
      <c r="D818" s="14"/>
      <c r="E818" s="14"/>
      <c r="F818" s="14"/>
      <c r="G818" s="14"/>
      <c r="H818" s="14"/>
      <c r="I818" s="14"/>
      <c r="J818" s="14"/>
      <c r="K818" s="14"/>
      <c r="L818" s="14"/>
    </row>
    <row r="819" spans="2:12" ht="12.75" customHeight="1" x14ac:dyDescent="0.2">
      <c r="B819" s="14"/>
      <c r="C819" s="14"/>
      <c r="D819" s="14"/>
      <c r="E819" s="14"/>
      <c r="F819" s="14"/>
      <c r="G819" s="14"/>
      <c r="H819" s="14"/>
      <c r="I819" s="14"/>
      <c r="J819" s="14"/>
      <c r="K819" s="14"/>
      <c r="L819" s="14"/>
    </row>
    <row r="820" spans="2:12" ht="12.75" customHeight="1" x14ac:dyDescent="0.2">
      <c r="B820" s="14"/>
      <c r="C820" s="14"/>
      <c r="D820" s="14"/>
      <c r="E820" s="14"/>
      <c r="F820" s="14"/>
      <c r="G820" s="14"/>
      <c r="H820" s="14"/>
      <c r="I820" s="14"/>
      <c r="J820" s="14"/>
      <c r="K820" s="14"/>
      <c r="L820" s="14"/>
    </row>
    <row r="821" spans="2:12" ht="12.75" customHeight="1" x14ac:dyDescent="0.2">
      <c r="B821" s="14"/>
      <c r="C821" s="14"/>
      <c r="D821" s="14"/>
      <c r="E821" s="14"/>
      <c r="F821" s="14"/>
      <c r="G821" s="14"/>
      <c r="H821" s="14"/>
      <c r="I821" s="14"/>
      <c r="J821" s="14"/>
      <c r="K821" s="14"/>
      <c r="L821" s="14"/>
    </row>
    <row r="822" spans="2:12" ht="12.75" customHeight="1" x14ac:dyDescent="0.2">
      <c r="B822" s="14"/>
      <c r="C822" s="14"/>
      <c r="D822" s="14"/>
      <c r="E822" s="14"/>
      <c r="F822" s="14"/>
      <c r="G822" s="14"/>
      <c r="H822" s="14"/>
      <c r="I822" s="14"/>
      <c r="J822" s="14"/>
      <c r="K822" s="14"/>
      <c r="L822" s="14"/>
    </row>
    <row r="823" spans="2:12" ht="12.75" customHeight="1" x14ac:dyDescent="0.2">
      <c r="B823" s="14"/>
      <c r="C823" s="14"/>
      <c r="D823" s="14"/>
      <c r="E823" s="14"/>
      <c r="F823" s="14"/>
      <c r="G823" s="14"/>
      <c r="H823" s="14"/>
      <c r="I823" s="14"/>
      <c r="J823" s="14"/>
      <c r="K823" s="14"/>
      <c r="L823" s="14"/>
    </row>
    <row r="824" spans="2:12" ht="12.75" customHeight="1" x14ac:dyDescent="0.2">
      <c r="B824" s="14"/>
      <c r="C824" s="14"/>
      <c r="D824" s="14"/>
      <c r="E824" s="14"/>
      <c r="F824" s="14"/>
      <c r="G824" s="14"/>
      <c r="H824" s="14"/>
      <c r="I824" s="14"/>
      <c r="J824" s="14"/>
      <c r="K824" s="14"/>
      <c r="L824" s="14"/>
    </row>
    <row r="825" spans="2:12" ht="12.75" customHeight="1" x14ac:dyDescent="0.2">
      <c r="B825" s="14"/>
      <c r="C825" s="14"/>
      <c r="D825" s="14"/>
      <c r="E825" s="14"/>
      <c r="F825" s="14"/>
      <c r="G825" s="14"/>
      <c r="H825" s="14"/>
      <c r="I825" s="14"/>
      <c r="J825" s="14"/>
      <c r="K825" s="14"/>
      <c r="L825" s="14"/>
    </row>
    <row r="826" spans="2:12" ht="12.75" customHeight="1" x14ac:dyDescent="0.2">
      <c r="B826" s="14"/>
      <c r="C826" s="14"/>
      <c r="D826" s="14"/>
      <c r="E826" s="14"/>
      <c r="F826" s="14"/>
      <c r="G826" s="14"/>
      <c r="H826" s="14"/>
      <c r="I826" s="14"/>
      <c r="J826" s="14"/>
      <c r="K826" s="14"/>
      <c r="L826" s="14"/>
    </row>
    <row r="827" spans="2:12" ht="12.75" customHeight="1" x14ac:dyDescent="0.2">
      <c r="B827" s="14"/>
      <c r="C827" s="14"/>
      <c r="D827" s="14"/>
      <c r="E827" s="14"/>
      <c r="F827" s="14"/>
      <c r="G827" s="14"/>
      <c r="H827" s="14"/>
      <c r="I827" s="14"/>
      <c r="J827" s="14"/>
      <c r="K827" s="14"/>
      <c r="L827" s="14"/>
    </row>
    <row r="828" spans="2:12" ht="12.75" customHeight="1" x14ac:dyDescent="0.2">
      <c r="B828" s="14"/>
      <c r="C828" s="14"/>
      <c r="D828" s="14"/>
      <c r="E828" s="14"/>
      <c r="F828" s="14"/>
      <c r="G828" s="14"/>
      <c r="H828" s="14"/>
      <c r="I828" s="14"/>
      <c r="J828" s="14"/>
      <c r="K828" s="14"/>
      <c r="L828" s="14"/>
    </row>
    <row r="829" spans="2:12" ht="12.75" customHeight="1" x14ac:dyDescent="0.2">
      <c r="B829" s="14"/>
      <c r="C829" s="14"/>
      <c r="D829" s="14"/>
      <c r="E829" s="14"/>
      <c r="F829" s="14"/>
      <c r="G829" s="14"/>
      <c r="H829" s="14"/>
      <c r="I829" s="14"/>
      <c r="J829" s="14"/>
      <c r="K829" s="14"/>
      <c r="L829" s="14"/>
    </row>
    <row r="830" spans="2:12" ht="12.75" customHeight="1" x14ac:dyDescent="0.2">
      <c r="B830" s="14"/>
      <c r="C830" s="14"/>
      <c r="D830" s="14"/>
      <c r="E830" s="14"/>
      <c r="F830" s="14"/>
      <c r="G830" s="14"/>
      <c r="H830" s="14"/>
      <c r="I830" s="14"/>
      <c r="J830" s="14"/>
      <c r="K830" s="14"/>
      <c r="L830" s="14"/>
    </row>
    <row r="831" spans="2:12" ht="12.75" customHeight="1" x14ac:dyDescent="0.2">
      <c r="B831" s="14"/>
      <c r="C831" s="14"/>
      <c r="D831" s="14"/>
      <c r="E831" s="14"/>
      <c r="F831" s="14"/>
      <c r="G831" s="14"/>
      <c r="H831" s="14"/>
      <c r="I831" s="14"/>
      <c r="J831" s="14"/>
      <c r="K831" s="14"/>
      <c r="L831" s="14"/>
    </row>
    <row r="832" spans="2:12" ht="12.75" customHeight="1" x14ac:dyDescent="0.2">
      <c r="B832" s="14"/>
      <c r="C832" s="14"/>
      <c r="D832" s="14"/>
      <c r="E832" s="14"/>
      <c r="F832" s="14"/>
      <c r="G832" s="14"/>
      <c r="H832" s="14"/>
      <c r="I832" s="14"/>
      <c r="J832" s="14"/>
      <c r="K832" s="14"/>
      <c r="L832" s="14"/>
    </row>
    <row r="833" spans="2:12" ht="12.75" customHeight="1" x14ac:dyDescent="0.2">
      <c r="B833" s="14"/>
      <c r="C833" s="14"/>
      <c r="D833" s="14"/>
      <c r="E833" s="14"/>
      <c r="F833" s="14"/>
      <c r="G833" s="14"/>
      <c r="H833" s="14"/>
      <c r="I833" s="14"/>
      <c r="J833" s="14"/>
      <c r="K833" s="14"/>
      <c r="L833" s="14"/>
    </row>
    <row r="834" spans="2:12" ht="12.75" customHeight="1" x14ac:dyDescent="0.2">
      <c r="B834" s="14"/>
      <c r="C834" s="14"/>
      <c r="D834" s="14"/>
      <c r="E834" s="14"/>
      <c r="F834" s="14"/>
      <c r="G834" s="14"/>
      <c r="H834" s="14"/>
      <c r="I834" s="14"/>
      <c r="J834" s="14"/>
      <c r="K834" s="14"/>
      <c r="L834" s="14"/>
    </row>
    <row r="835" spans="2:12" ht="12.75" customHeight="1" x14ac:dyDescent="0.2">
      <c r="B835" s="14"/>
      <c r="C835" s="14"/>
      <c r="D835" s="14"/>
      <c r="E835" s="14"/>
      <c r="F835" s="14"/>
      <c r="G835" s="14"/>
      <c r="H835" s="14"/>
      <c r="I835" s="14"/>
      <c r="J835" s="14"/>
      <c r="K835" s="14"/>
      <c r="L835" s="14"/>
    </row>
    <row r="836" spans="2:12" ht="12.75" customHeight="1" x14ac:dyDescent="0.2">
      <c r="B836" s="14"/>
      <c r="C836" s="14"/>
      <c r="D836" s="14"/>
      <c r="E836" s="14"/>
      <c r="F836" s="14"/>
      <c r="G836" s="14"/>
      <c r="H836" s="14"/>
      <c r="I836" s="14"/>
      <c r="J836" s="14"/>
      <c r="K836" s="14"/>
      <c r="L836" s="14"/>
    </row>
    <row r="837" spans="2:12" ht="12.75" customHeight="1" x14ac:dyDescent="0.2">
      <c r="B837" s="14"/>
      <c r="C837" s="14"/>
      <c r="D837" s="14"/>
      <c r="E837" s="14"/>
      <c r="F837" s="14"/>
      <c r="G837" s="14"/>
      <c r="H837" s="14"/>
      <c r="I837" s="14"/>
      <c r="J837" s="14"/>
      <c r="K837" s="14"/>
      <c r="L837" s="14"/>
    </row>
    <row r="838" spans="2:12" ht="12.75" customHeight="1" x14ac:dyDescent="0.2">
      <c r="B838" s="14"/>
      <c r="C838" s="14"/>
      <c r="D838" s="14"/>
      <c r="E838" s="14"/>
      <c r="F838" s="14"/>
      <c r="G838" s="14"/>
      <c r="H838" s="14"/>
      <c r="I838" s="14"/>
      <c r="J838" s="14"/>
      <c r="K838" s="14"/>
      <c r="L838" s="14"/>
    </row>
    <row r="839" spans="2:12" ht="12.75" customHeight="1" x14ac:dyDescent="0.2">
      <c r="B839" s="14"/>
      <c r="C839" s="14"/>
      <c r="D839" s="14"/>
      <c r="E839" s="14"/>
      <c r="F839" s="14"/>
      <c r="G839" s="14"/>
      <c r="H839" s="14"/>
      <c r="I839" s="14"/>
      <c r="J839" s="14"/>
      <c r="K839" s="14"/>
      <c r="L839" s="14"/>
    </row>
    <row r="840" spans="2:12" ht="12.75" customHeight="1" x14ac:dyDescent="0.2">
      <c r="B840" s="14"/>
      <c r="C840" s="14"/>
      <c r="D840" s="14"/>
      <c r="E840" s="14"/>
      <c r="F840" s="14"/>
      <c r="G840" s="14"/>
      <c r="H840" s="14"/>
      <c r="I840" s="14"/>
      <c r="J840" s="14"/>
      <c r="K840" s="14"/>
      <c r="L840" s="14"/>
    </row>
    <row r="841" spans="2:12" ht="12.75" customHeight="1" x14ac:dyDescent="0.2">
      <c r="B841" s="14"/>
      <c r="C841" s="14"/>
      <c r="D841" s="14"/>
      <c r="E841" s="14"/>
      <c r="F841" s="14"/>
      <c r="G841" s="14"/>
      <c r="H841" s="14"/>
      <c r="I841" s="14"/>
      <c r="J841" s="14"/>
      <c r="K841" s="14"/>
      <c r="L841" s="14"/>
    </row>
    <row r="842" spans="2:12" ht="12.75" customHeight="1" x14ac:dyDescent="0.2">
      <c r="B842" s="14"/>
      <c r="C842" s="14"/>
      <c r="D842" s="14"/>
      <c r="E842" s="14"/>
      <c r="F842" s="14"/>
      <c r="G842" s="14"/>
      <c r="H842" s="14"/>
      <c r="I842" s="14"/>
      <c r="J842" s="14"/>
      <c r="K842" s="14"/>
      <c r="L842" s="14"/>
    </row>
    <row r="843" spans="2:12" ht="12.75" customHeight="1" x14ac:dyDescent="0.2">
      <c r="B843" s="14"/>
      <c r="C843" s="14"/>
      <c r="D843" s="14"/>
      <c r="E843" s="14"/>
      <c r="F843" s="14"/>
      <c r="G843" s="14"/>
      <c r="H843" s="14"/>
      <c r="I843" s="14"/>
      <c r="J843" s="14"/>
      <c r="K843" s="14"/>
      <c r="L843" s="14"/>
    </row>
    <row r="844" spans="2:12" ht="12.75" customHeight="1" x14ac:dyDescent="0.2">
      <c r="B844" s="14"/>
      <c r="C844" s="14"/>
      <c r="D844" s="14"/>
      <c r="E844" s="14"/>
      <c r="F844" s="14"/>
      <c r="G844" s="14"/>
      <c r="H844" s="14"/>
      <c r="I844" s="14"/>
      <c r="J844" s="14"/>
      <c r="K844" s="14"/>
      <c r="L844" s="14"/>
    </row>
    <row r="845" spans="2:12" ht="12.75" customHeight="1" x14ac:dyDescent="0.2">
      <c r="B845" s="14"/>
      <c r="C845" s="14"/>
      <c r="D845" s="14"/>
      <c r="E845" s="14"/>
      <c r="F845" s="14"/>
      <c r="G845" s="14"/>
      <c r="H845" s="14"/>
      <c r="I845" s="14"/>
      <c r="J845" s="14"/>
      <c r="K845" s="14"/>
      <c r="L845" s="14"/>
    </row>
    <row r="846" spans="2:12" ht="12.75" customHeight="1" x14ac:dyDescent="0.2">
      <c r="B846" s="14"/>
      <c r="C846" s="14"/>
      <c r="D846" s="14"/>
      <c r="E846" s="14"/>
      <c r="F846" s="14"/>
      <c r="G846" s="14"/>
      <c r="H846" s="14"/>
      <c r="I846" s="14"/>
      <c r="J846" s="14"/>
      <c r="K846" s="14"/>
      <c r="L846" s="14"/>
    </row>
    <row r="847" spans="2:12" ht="12.75" customHeight="1" x14ac:dyDescent="0.2">
      <c r="B847" s="14"/>
      <c r="C847" s="14"/>
      <c r="D847" s="14"/>
      <c r="E847" s="14"/>
      <c r="F847" s="14"/>
      <c r="G847" s="14"/>
      <c r="H847" s="14"/>
      <c r="I847" s="14"/>
      <c r="J847" s="14"/>
      <c r="K847" s="14"/>
      <c r="L847" s="14"/>
    </row>
    <row r="848" spans="2:12" ht="12.75" customHeight="1" x14ac:dyDescent="0.2">
      <c r="B848" s="14"/>
      <c r="C848" s="14"/>
      <c r="D848" s="14"/>
      <c r="E848" s="14"/>
      <c r="F848" s="14"/>
      <c r="G848" s="14"/>
      <c r="H848" s="14"/>
      <c r="I848" s="14"/>
      <c r="J848" s="14"/>
      <c r="K848" s="14"/>
      <c r="L848" s="14"/>
    </row>
    <row r="849" spans="2:12" ht="12.75" customHeight="1" x14ac:dyDescent="0.2">
      <c r="B849" s="14"/>
      <c r="C849" s="14"/>
      <c r="D849" s="14"/>
      <c r="E849" s="14"/>
      <c r="F849" s="14"/>
      <c r="G849" s="14"/>
      <c r="H849" s="14"/>
      <c r="I849" s="14"/>
      <c r="J849" s="14"/>
      <c r="K849" s="14"/>
      <c r="L849" s="14"/>
    </row>
    <row r="850" spans="2:12" ht="12.75" customHeight="1" x14ac:dyDescent="0.2">
      <c r="B850" s="14"/>
      <c r="C850" s="14"/>
      <c r="D850" s="14"/>
      <c r="E850" s="14"/>
      <c r="F850" s="14"/>
      <c r="G850" s="14"/>
      <c r="H850" s="14"/>
      <c r="I850" s="14"/>
      <c r="J850" s="14"/>
      <c r="K850" s="14"/>
      <c r="L850" s="14"/>
    </row>
    <row r="851" spans="2:12" ht="12.75" customHeight="1" x14ac:dyDescent="0.2">
      <c r="B851" s="14"/>
      <c r="C851" s="14"/>
      <c r="D851" s="14"/>
      <c r="E851" s="14"/>
      <c r="F851" s="14"/>
      <c r="G851" s="14"/>
      <c r="H851" s="14"/>
      <c r="I851" s="14"/>
      <c r="J851" s="14"/>
      <c r="K851" s="14"/>
      <c r="L851" s="14"/>
    </row>
    <row r="852" spans="2:12" ht="12.75" customHeight="1" x14ac:dyDescent="0.2">
      <c r="B852" s="14"/>
      <c r="C852" s="14"/>
      <c r="D852" s="14"/>
      <c r="E852" s="14"/>
      <c r="F852" s="14"/>
      <c r="G852" s="14"/>
      <c r="H852" s="14"/>
      <c r="I852" s="14"/>
      <c r="J852" s="14"/>
      <c r="K852" s="14"/>
      <c r="L852" s="14"/>
    </row>
    <row r="853" spans="2:12" ht="12.75" customHeight="1" x14ac:dyDescent="0.2">
      <c r="B853" s="14"/>
      <c r="C853" s="14"/>
      <c r="D853" s="14"/>
      <c r="E853" s="14"/>
      <c r="F853" s="14"/>
      <c r="G853" s="14"/>
      <c r="H853" s="14"/>
      <c r="I853" s="14"/>
      <c r="J853" s="14"/>
      <c r="K853" s="14"/>
      <c r="L853" s="14"/>
    </row>
    <row r="854" spans="2:12" ht="12.75" customHeight="1" x14ac:dyDescent="0.2">
      <c r="B854" s="14"/>
      <c r="C854" s="14"/>
      <c r="D854" s="14"/>
      <c r="E854" s="14"/>
      <c r="F854" s="14"/>
      <c r="G854" s="14"/>
      <c r="H854" s="14"/>
      <c r="I854" s="14"/>
      <c r="J854" s="14"/>
      <c r="K854" s="14"/>
      <c r="L854" s="14"/>
    </row>
    <row r="855" spans="2:12" ht="12.75" customHeight="1" x14ac:dyDescent="0.2">
      <c r="B855" s="14"/>
      <c r="C855" s="14"/>
      <c r="D855" s="14"/>
      <c r="E855" s="14"/>
      <c r="F855" s="14"/>
      <c r="G855" s="14"/>
      <c r="H855" s="14"/>
      <c r="I855" s="14"/>
      <c r="J855" s="14"/>
      <c r="K855" s="14"/>
      <c r="L855" s="14"/>
    </row>
    <row r="856" spans="2:12" ht="12.75" customHeight="1" x14ac:dyDescent="0.2">
      <c r="B856" s="14"/>
      <c r="C856" s="14"/>
      <c r="D856" s="14"/>
      <c r="E856" s="14"/>
      <c r="F856" s="14"/>
      <c r="G856" s="14"/>
      <c r="H856" s="14"/>
      <c r="I856" s="14"/>
      <c r="J856" s="14"/>
      <c r="K856" s="14"/>
      <c r="L856" s="14"/>
    </row>
    <row r="857" spans="2:12" ht="12.75" customHeight="1" x14ac:dyDescent="0.2">
      <c r="B857" s="14"/>
      <c r="C857" s="14"/>
      <c r="D857" s="14"/>
      <c r="E857" s="14"/>
      <c r="F857" s="14"/>
      <c r="G857" s="14"/>
      <c r="H857" s="14"/>
      <c r="I857" s="14"/>
      <c r="J857" s="14"/>
      <c r="K857" s="14"/>
      <c r="L857" s="14"/>
    </row>
    <row r="858" spans="2:12" ht="12.75" customHeight="1" x14ac:dyDescent="0.2">
      <c r="B858" s="14"/>
      <c r="C858" s="14"/>
      <c r="D858" s="14"/>
      <c r="E858" s="14"/>
      <c r="F858" s="14"/>
      <c r="G858" s="14"/>
      <c r="H858" s="14"/>
      <c r="I858" s="14"/>
      <c r="J858" s="14"/>
      <c r="K858" s="14"/>
      <c r="L858" s="14"/>
    </row>
    <row r="859" spans="2:12" ht="12.75" customHeight="1" x14ac:dyDescent="0.2">
      <c r="B859" s="14"/>
      <c r="C859" s="14"/>
      <c r="D859" s="14"/>
      <c r="E859" s="14"/>
      <c r="F859" s="14"/>
      <c r="G859" s="14"/>
      <c r="H859" s="14"/>
      <c r="I859" s="14"/>
      <c r="J859" s="14"/>
      <c r="K859" s="14"/>
      <c r="L859" s="14"/>
    </row>
    <row r="860" spans="2:12" ht="12.75" customHeight="1" x14ac:dyDescent="0.2">
      <c r="B860" s="14"/>
      <c r="C860" s="14"/>
      <c r="D860" s="14"/>
      <c r="E860" s="14"/>
      <c r="F860" s="14"/>
      <c r="G860" s="14"/>
      <c r="H860" s="14"/>
      <c r="I860" s="14"/>
      <c r="J860" s="14"/>
      <c r="K860" s="14"/>
      <c r="L860" s="14"/>
    </row>
    <row r="861" spans="2:12" ht="12.75" customHeight="1" x14ac:dyDescent="0.2">
      <c r="B861" s="14"/>
      <c r="C861" s="14"/>
      <c r="D861" s="14"/>
      <c r="E861" s="14"/>
      <c r="F861" s="14"/>
      <c r="G861" s="14"/>
      <c r="H861" s="14"/>
      <c r="I861" s="14"/>
      <c r="J861" s="14"/>
      <c r="K861" s="14"/>
      <c r="L861" s="14"/>
    </row>
    <row r="862" spans="2:12" ht="12.75" customHeight="1" x14ac:dyDescent="0.2">
      <c r="B862" s="14"/>
      <c r="C862" s="14"/>
      <c r="D862" s="14"/>
      <c r="E862" s="14"/>
      <c r="F862" s="14"/>
      <c r="G862" s="14"/>
      <c r="H862" s="14"/>
      <c r="I862" s="14"/>
      <c r="J862" s="14"/>
      <c r="K862" s="14"/>
      <c r="L862" s="14"/>
    </row>
    <row r="863" spans="2:12" ht="12.75" customHeight="1" x14ac:dyDescent="0.2">
      <c r="B863" s="14"/>
      <c r="C863" s="14"/>
      <c r="D863" s="14"/>
      <c r="E863" s="14"/>
      <c r="F863" s="14"/>
      <c r="G863" s="14"/>
      <c r="H863" s="14"/>
      <c r="I863" s="14"/>
      <c r="J863" s="14"/>
      <c r="K863" s="14"/>
      <c r="L863" s="14"/>
    </row>
    <row r="864" spans="2:12" ht="12.75" customHeight="1" x14ac:dyDescent="0.2">
      <c r="B864" s="14"/>
      <c r="C864" s="14"/>
      <c r="D864" s="14"/>
      <c r="E864" s="14"/>
      <c r="F864" s="14"/>
      <c r="G864" s="14"/>
      <c r="H864" s="14"/>
      <c r="I864" s="14"/>
      <c r="J864" s="14"/>
      <c r="K864" s="14"/>
      <c r="L864" s="14"/>
    </row>
    <row r="865" spans="2:12" ht="12.75" customHeight="1" x14ac:dyDescent="0.2">
      <c r="B865" s="14"/>
      <c r="C865" s="14"/>
      <c r="D865" s="14"/>
      <c r="E865" s="14"/>
      <c r="F865" s="14"/>
      <c r="G865" s="14"/>
      <c r="H865" s="14"/>
      <c r="I865" s="14"/>
      <c r="J865" s="14"/>
      <c r="K865" s="14"/>
      <c r="L865" s="14"/>
    </row>
    <row r="866" spans="2:12" ht="12.75" customHeight="1" x14ac:dyDescent="0.2">
      <c r="B866" s="14"/>
      <c r="C866" s="14"/>
      <c r="D866" s="14"/>
      <c r="E866" s="14"/>
      <c r="F866" s="14"/>
      <c r="G866" s="14"/>
      <c r="H866" s="14"/>
      <c r="I866" s="14"/>
      <c r="J866" s="14"/>
      <c r="K866" s="14"/>
      <c r="L866" s="14"/>
    </row>
    <row r="867" spans="2:12" ht="12.75" customHeight="1" x14ac:dyDescent="0.2">
      <c r="B867" s="14"/>
      <c r="C867" s="14"/>
      <c r="D867" s="14"/>
      <c r="E867" s="14"/>
      <c r="F867" s="14"/>
      <c r="G867" s="14"/>
      <c r="H867" s="14"/>
      <c r="I867" s="14"/>
      <c r="J867" s="14"/>
      <c r="K867" s="14"/>
      <c r="L867" s="14"/>
    </row>
    <row r="868" spans="2:12" ht="12.75" customHeight="1" x14ac:dyDescent="0.2">
      <c r="B868" s="14"/>
      <c r="C868" s="14"/>
      <c r="D868" s="14"/>
      <c r="E868" s="14"/>
      <c r="F868" s="14"/>
      <c r="G868" s="14"/>
      <c r="H868" s="14"/>
      <c r="I868" s="14"/>
      <c r="J868" s="14"/>
      <c r="K868" s="14"/>
      <c r="L868" s="14"/>
    </row>
    <row r="869" spans="2:12" ht="12.75" customHeight="1" x14ac:dyDescent="0.2">
      <c r="B869" s="14"/>
      <c r="C869" s="14"/>
      <c r="D869" s="14"/>
      <c r="E869" s="14"/>
      <c r="F869" s="14"/>
      <c r="G869" s="14"/>
      <c r="H869" s="14"/>
      <c r="I869" s="14"/>
      <c r="J869" s="14"/>
      <c r="K869" s="14"/>
      <c r="L869" s="14"/>
    </row>
    <row r="870" spans="2:12" ht="12.75" customHeight="1" x14ac:dyDescent="0.2">
      <c r="B870" s="14"/>
      <c r="C870" s="14"/>
      <c r="D870" s="14"/>
      <c r="E870" s="14"/>
      <c r="F870" s="14"/>
      <c r="G870" s="14"/>
      <c r="H870" s="14"/>
      <c r="I870" s="14"/>
      <c r="J870" s="14"/>
      <c r="K870" s="14"/>
      <c r="L870" s="14"/>
    </row>
    <row r="871" spans="2:12" ht="12.75" customHeight="1" x14ac:dyDescent="0.2">
      <c r="B871" s="14"/>
      <c r="C871" s="14"/>
      <c r="D871" s="14"/>
      <c r="E871" s="14"/>
      <c r="F871" s="14"/>
      <c r="G871" s="14"/>
      <c r="H871" s="14"/>
      <c r="I871" s="14"/>
      <c r="J871" s="14"/>
      <c r="K871" s="14"/>
      <c r="L871" s="14"/>
    </row>
    <row r="872" spans="2:12" ht="12.75" customHeight="1" x14ac:dyDescent="0.2">
      <c r="B872" s="14"/>
      <c r="C872" s="14"/>
      <c r="D872" s="14"/>
      <c r="E872" s="14"/>
      <c r="F872" s="14"/>
      <c r="G872" s="14"/>
      <c r="H872" s="14"/>
      <c r="I872" s="14"/>
      <c r="J872" s="14"/>
      <c r="K872" s="14"/>
      <c r="L872" s="14"/>
    </row>
    <row r="873" spans="2:12" ht="12.75" customHeight="1" x14ac:dyDescent="0.2">
      <c r="B873" s="14"/>
      <c r="C873" s="14"/>
      <c r="D873" s="14"/>
      <c r="E873" s="14"/>
      <c r="F873" s="14"/>
      <c r="G873" s="14"/>
      <c r="H873" s="14"/>
      <c r="I873" s="14"/>
      <c r="J873" s="14"/>
      <c r="K873" s="14"/>
      <c r="L873" s="14"/>
    </row>
    <row r="874" spans="2:12" ht="12.75" customHeight="1" x14ac:dyDescent="0.2">
      <c r="B874" s="14"/>
      <c r="C874" s="14"/>
      <c r="D874" s="14"/>
      <c r="E874" s="14"/>
      <c r="F874" s="14"/>
      <c r="G874" s="14"/>
      <c r="H874" s="14"/>
      <c r="I874" s="14"/>
      <c r="J874" s="14"/>
      <c r="K874" s="14"/>
      <c r="L874" s="14"/>
    </row>
    <row r="875" spans="2:12" ht="12.75" customHeight="1" x14ac:dyDescent="0.2">
      <c r="B875" s="14"/>
      <c r="C875" s="14"/>
      <c r="D875" s="14"/>
      <c r="E875" s="14"/>
      <c r="F875" s="14"/>
      <c r="G875" s="14"/>
      <c r="H875" s="14"/>
      <c r="I875" s="14"/>
      <c r="J875" s="14"/>
      <c r="K875" s="14"/>
      <c r="L875" s="14"/>
    </row>
    <row r="876" spans="2:12" ht="12.75" customHeight="1" x14ac:dyDescent="0.2">
      <c r="B876" s="14"/>
      <c r="C876" s="14"/>
      <c r="D876" s="14"/>
      <c r="E876" s="14"/>
      <c r="F876" s="14"/>
      <c r="G876" s="14"/>
      <c r="H876" s="14"/>
      <c r="I876" s="14"/>
      <c r="J876" s="14"/>
      <c r="K876" s="14"/>
      <c r="L876" s="14"/>
    </row>
    <row r="877" spans="2:12" ht="12.75" customHeight="1" x14ac:dyDescent="0.2">
      <c r="B877" s="14"/>
      <c r="C877" s="14"/>
      <c r="D877" s="14"/>
      <c r="E877" s="14"/>
      <c r="F877" s="14"/>
      <c r="G877" s="14"/>
      <c r="H877" s="14"/>
      <c r="I877" s="14"/>
      <c r="J877" s="14"/>
      <c r="K877" s="14"/>
      <c r="L877" s="14"/>
    </row>
    <row r="878" spans="2:12" ht="12.75" customHeight="1" x14ac:dyDescent="0.2">
      <c r="B878" s="14"/>
      <c r="C878" s="14"/>
      <c r="D878" s="14"/>
      <c r="E878" s="14"/>
      <c r="F878" s="14"/>
      <c r="G878" s="14"/>
      <c r="H878" s="14"/>
      <c r="I878" s="14"/>
      <c r="J878" s="14"/>
      <c r="K878" s="14"/>
      <c r="L878" s="14"/>
    </row>
    <row r="879" spans="2:12" ht="12.75" customHeight="1" x14ac:dyDescent="0.2">
      <c r="B879" s="14"/>
      <c r="C879" s="14"/>
      <c r="D879" s="14"/>
      <c r="E879" s="14"/>
      <c r="F879" s="14"/>
      <c r="G879" s="14"/>
      <c r="H879" s="14"/>
      <c r="I879" s="14"/>
      <c r="J879" s="14"/>
      <c r="K879" s="14"/>
      <c r="L879" s="14"/>
    </row>
    <row r="880" spans="2:12" ht="12.75" customHeight="1" x14ac:dyDescent="0.2">
      <c r="B880" s="14"/>
      <c r="C880" s="14"/>
      <c r="D880" s="14"/>
      <c r="E880" s="14"/>
      <c r="F880" s="14"/>
      <c r="G880" s="14"/>
      <c r="H880" s="14"/>
      <c r="I880" s="14"/>
      <c r="J880" s="14"/>
      <c r="K880" s="14"/>
      <c r="L880" s="14"/>
    </row>
    <row r="881" spans="2:12" ht="12.75" customHeight="1" x14ac:dyDescent="0.2">
      <c r="B881" s="14"/>
      <c r="C881" s="14"/>
      <c r="D881" s="14"/>
      <c r="E881" s="14"/>
      <c r="F881" s="14"/>
      <c r="G881" s="14"/>
      <c r="H881" s="14"/>
      <c r="I881" s="14"/>
      <c r="J881" s="14"/>
      <c r="K881" s="14"/>
      <c r="L881" s="14"/>
    </row>
    <row r="882" spans="2:12" ht="12.75" customHeight="1" x14ac:dyDescent="0.2">
      <c r="B882" s="14"/>
      <c r="C882" s="14"/>
      <c r="D882" s="14"/>
      <c r="E882" s="14"/>
      <c r="F882" s="14"/>
      <c r="G882" s="14"/>
      <c r="H882" s="14"/>
      <c r="I882" s="14"/>
      <c r="J882" s="14"/>
      <c r="K882" s="14"/>
      <c r="L882" s="14"/>
    </row>
    <row r="883" spans="2:12" ht="12.75" customHeight="1" x14ac:dyDescent="0.2">
      <c r="B883" s="14"/>
      <c r="C883" s="14"/>
      <c r="D883" s="14"/>
      <c r="E883" s="14"/>
      <c r="F883" s="14"/>
      <c r="G883" s="14"/>
      <c r="H883" s="14"/>
      <c r="I883" s="14"/>
      <c r="J883" s="14"/>
      <c r="K883" s="14"/>
      <c r="L883" s="14"/>
    </row>
    <row r="884" spans="2:12" ht="12.75" customHeight="1" x14ac:dyDescent="0.2">
      <c r="B884" s="14"/>
      <c r="C884" s="14"/>
      <c r="D884" s="14"/>
      <c r="E884" s="14"/>
      <c r="F884" s="14"/>
      <c r="G884" s="14"/>
      <c r="H884" s="14"/>
      <c r="I884" s="14"/>
      <c r="J884" s="14"/>
      <c r="K884" s="14"/>
      <c r="L884" s="14"/>
    </row>
    <row r="885" spans="2:12" ht="12.75" customHeight="1" x14ac:dyDescent="0.2">
      <c r="B885" s="14"/>
      <c r="C885" s="14"/>
      <c r="D885" s="14"/>
      <c r="E885" s="14"/>
      <c r="F885" s="14"/>
      <c r="G885" s="14"/>
      <c r="H885" s="14"/>
      <c r="I885" s="14"/>
      <c r="J885" s="14"/>
      <c r="K885" s="14"/>
      <c r="L885" s="14"/>
    </row>
    <row r="886" spans="2:12" ht="12.75" customHeight="1" x14ac:dyDescent="0.2">
      <c r="B886" s="14"/>
      <c r="C886" s="14"/>
      <c r="D886" s="14"/>
      <c r="E886" s="14"/>
      <c r="F886" s="14"/>
      <c r="G886" s="14"/>
      <c r="H886" s="14"/>
      <c r="I886" s="14"/>
      <c r="J886" s="14"/>
      <c r="K886" s="14"/>
      <c r="L886" s="14"/>
    </row>
    <row r="887" spans="2:12" ht="12.75" customHeight="1" x14ac:dyDescent="0.2">
      <c r="B887" s="14"/>
      <c r="C887" s="14"/>
      <c r="D887" s="14"/>
      <c r="E887" s="14"/>
      <c r="F887" s="14"/>
      <c r="G887" s="14"/>
      <c r="H887" s="14"/>
      <c r="I887" s="14"/>
      <c r="J887" s="14"/>
      <c r="K887" s="14"/>
      <c r="L887" s="14"/>
    </row>
    <row r="888" spans="2:12" ht="12.75" customHeight="1" x14ac:dyDescent="0.2">
      <c r="B888" s="14"/>
      <c r="C888" s="14"/>
      <c r="D888" s="14"/>
      <c r="E888" s="14"/>
      <c r="F888" s="14"/>
      <c r="G888" s="14"/>
      <c r="H888" s="14"/>
      <c r="I888" s="14"/>
      <c r="J888" s="14"/>
      <c r="K888" s="14"/>
      <c r="L888" s="14"/>
    </row>
    <row r="889" spans="2:12" ht="12.75" customHeight="1" x14ac:dyDescent="0.2">
      <c r="B889" s="14"/>
      <c r="C889" s="14"/>
      <c r="D889" s="14"/>
      <c r="E889" s="14"/>
      <c r="F889" s="14"/>
      <c r="G889" s="14"/>
      <c r="H889" s="14"/>
      <c r="I889" s="14"/>
      <c r="J889" s="14"/>
      <c r="K889" s="14"/>
      <c r="L889" s="14"/>
    </row>
    <row r="890" spans="2:12" ht="12.75" customHeight="1" x14ac:dyDescent="0.2">
      <c r="B890" s="14"/>
      <c r="C890" s="14"/>
      <c r="D890" s="14"/>
      <c r="E890" s="14"/>
      <c r="F890" s="14"/>
      <c r="G890" s="14"/>
      <c r="H890" s="14"/>
      <c r="I890" s="14"/>
      <c r="J890" s="14"/>
      <c r="K890" s="14"/>
      <c r="L890" s="14"/>
    </row>
    <row r="891" spans="2:12" ht="12.75" customHeight="1" x14ac:dyDescent="0.2">
      <c r="B891" s="14"/>
      <c r="C891" s="14"/>
      <c r="D891" s="14"/>
      <c r="E891" s="14"/>
      <c r="F891" s="14"/>
      <c r="G891" s="14"/>
      <c r="H891" s="14"/>
      <c r="I891" s="14"/>
      <c r="J891" s="14"/>
      <c r="K891" s="14"/>
      <c r="L891" s="14"/>
    </row>
    <row r="892" spans="2:12" ht="12.75" customHeight="1" x14ac:dyDescent="0.2">
      <c r="B892" s="14"/>
      <c r="C892" s="14"/>
      <c r="D892" s="14"/>
      <c r="E892" s="14"/>
      <c r="F892" s="14"/>
      <c r="G892" s="14"/>
      <c r="H892" s="14"/>
      <c r="I892" s="14"/>
      <c r="J892" s="14"/>
      <c r="K892" s="14"/>
      <c r="L892" s="14"/>
    </row>
    <row r="893" spans="2:12" ht="12.75" customHeight="1" x14ac:dyDescent="0.2">
      <c r="B893" s="14"/>
      <c r="C893" s="14"/>
      <c r="D893" s="14"/>
      <c r="E893" s="14"/>
      <c r="F893" s="14"/>
      <c r="G893" s="14"/>
      <c r="H893" s="14"/>
      <c r="I893" s="14"/>
      <c r="J893" s="14"/>
      <c r="K893" s="14"/>
      <c r="L893" s="14"/>
    </row>
    <row r="894" spans="2:12" ht="12.75" customHeight="1" x14ac:dyDescent="0.2">
      <c r="B894" s="14"/>
      <c r="C894" s="14"/>
      <c r="D894" s="14"/>
      <c r="E894" s="14"/>
      <c r="F894" s="14"/>
      <c r="G894" s="14"/>
      <c r="H894" s="14"/>
      <c r="I894" s="14"/>
      <c r="J894" s="14"/>
      <c r="K894" s="14"/>
      <c r="L894" s="14"/>
    </row>
    <row r="895" spans="2:12" ht="12.75" customHeight="1" x14ac:dyDescent="0.2">
      <c r="B895" s="14"/>
      <c r="C895" s="14"/>
      <c r="D895" s="14"/>
      <c r="E895" s="14"/>
      <c r="F895" s="14"/>
      <c r="G895" s="14"/>
      <c r="H895" s="14"/>
      <c r="I895" s="14"/>
      <c r="J895" s="14"/>
      <c r="K895" s="14"/>
      <c r="L895" s="14"/>
    </row>
    <row r="896" spans="2:12" ht="12.75" customHeight="1" x14ac:dyDescent="0.2">
      <c r="B896" s="14"/>
      <c r="C896" s="14"/>
      <c r="D896" s="14"/>
      <c r="E896" s="14"/>
      <c r="F896" s="14"/>
      <c r="G896" s="14"/>
      <c r="H896" s="14"/>
      <c r="I896" s="14"/>
      <c r="J896" s="14"/>
      <c r="K896" s="14"/>
      <c r="L896" s="14"/>
    </row>
    <row r="897" spans="2:12" ht="12.75" customHeight="1" x14ac:dyDescent="0.2">
      <c r="B897" s="14"/>
      <c r="C897" s="14"/>
      <c r="D897" s="14"/>
      <c r="E897" s="14"/>
      <c r="F897" s="14"/>
      <c r="G897" s="14"/>
      <c r="H897" s="14"/>
      <c r="I897" s="14"/>
      <c r="J897" s="14"/>
      <c r="K897" s="14"/>
      <c r="L897" s="14"/>
    </row>
    <row r="898" spans="2:12" ht="12.75" customHeight="1" x14ac:dyDescent="0.2">
      <c r="B898" s="14"/>
      <c r="C898" s="14"/>
      <c r="D898" s="14"/>
      <c r="E898" s="14"/>
      <c r="F898" s="14"/>
      <c r="G898" s="14"/>
      <c r="H898" s="14"/>
      <c r="I898" s="14"/>
      <c r="J898" s="14"/>
      <c r="K898" s="14"/>
      <c r="L898" s="14"/>
    </row>
    <row r="899" spans="2:12" ht="12.75" customHeight="1" x14ac:dyDescent="0.2">
      <c r="B899" s="14"/>
      <c r="C899" s="14"/>
      <c r="D899" s="14"/>
      <c r="E899" s="14"/>
      <c r="F899" s="14"/>
      <c r="G899" s="14"/>
      <c r="H899" s="14"/>
      <c r="I899" s="14"/>
      <c r="J899" s="14"/>
      <c r="K899" s="14"/>
      <c r="L899" s="14"/>
    </row>
    <row r="900" spans="2:12" ht="12.75" customHeight="1" x14ac:dyDescent="0.2">
      <c r="B900" s="14"/>
      <c r="C900" s="14"/>
      <c r="D900" s="14"/>
      <c r="E900" s="14"/>
      <c r="F900" s="14"/>
      <c r="G900" s="14"/>
      <c r="H900" s="14"/>
      <c r="I900" s="14"/>
      <c r="J900" s="14"/>
      <c r="K900" s="14"/>
      <c r="L900" s="14"/>
    </row>
    <row r="901" spans="2:12" ht="12.75" customHeight="1" x14ac:dyDescent="0.2">
      <c r="B901" s="14"/>
      <c r="C901" s="14"/>
      <c r="D901" s="14"/>
      <c r="E901" s="14"/>
      <c r="F901" s="14"/>
      <c r="G901" s="14"/>
      <c r="H901" s="14"/>
      <c r="I901" s="14"/>
      <c r="J901" s="14"/>
      <c r="K901" s="14"/>
      <c r="L901" s="14"/>
    </row>
    <row r="902" spans="2:12" ht="12.75" customHeight="1" x14ac:dyDescent="0.2">
      <c r="B902" s="14"/>
      <c r="C902" s="14"/>
      <c r="D902" s="14"/>
      <c r="E902" s="14"/>
      <c r="F902" s="14"/>
      <c r="G902" s="14"/>
      <c r="H902" s="14"/>
      <c r="I902" s="14"/>
      <c r="J902" s="14"/>
      <c r="K902" s="14"/>
      <c r="L902" s="14"/>
    </row>
    <row r="903" spans="2:12" ht="12.75" customHeight="1" x14ac:dyDescent="0.2">
      <c r="B903" s="14"/>
      <c r="C903" s="14"/>
      <c r="D903" s="14"/>
      <c r="E903" s="14"/>
      <c r="F903" s="14"/>
      <c r="G903" s="14"/>
      <c r="H903" s="14"/>
      <c r="I903" s="14"/>
      <c r="J903" s="14"/>
      <c r="K903" s="14"/>
      <c r="L903" s="14"/>
    </row>
    <row r="904" spans="2:12" ht="12.75" customHeight="1" x14ac:dyDescent="0.2">
      <c r="B904" s="14"/>
      <c r="C904" s="14"/>
      <c r="D904" s="14"/>
      <c r="E904" s="14"/>
      <c r="F904" s="14"/>
      <c r="G904" s="14"/>
      <c r="H904" s="14"/>
      <c r="I904" s="14"/>
      <c r="J904" s="14"/>
      <c r="K904" s="14"/>
      <c r="L904" s="14"/>
    </row>
    <row r="905" spans="2:12" ht="12.75" customHeight="1" x14ac:dyDescent="0.2">
      <c r="B905" s="14"/>
      <c r="C905" s="14"/>
      <c r="D905" s="14"/>
      <c r="E905" s="14"/>
      <c r="F905" s="14"/>
      <c r="G905" s="14"/>
      <c r="H905" s="14"/>
      <c r="I905" s="14"/>
      <c r="J905" s="14"/>
      <c r="K905" s="14"/>
      <c r="L905" s="14"/>
    </row>
    <row r="906" spans="2:12" ht="12.75" customHeight="1" x14ac:dyDescent="0.2">
      <c r="B906" s="14"/>
      <c r="C906" s="14"/>
      <c r="D906" s="14"/>
      <c r="E906" s="14"/>
      <c r="F906" s="14"/>
      <c r="G906" s="14"/>
      <c r="H906" s="14"/>
      <c r="I906" s="14"/>
      <c r="J906" s="14"/>
      <c r="K906" s="14"/>
      <c r="L906" s="14"/>
    </row>
    <row r="907" spans="2:12" ht="12.75" customHeight="1" x14ac:dyDescent="0.2">
      <c r="B907" s="14"/>
      <c r="C907" s="14"/>
      <c r="D907" s="14"/>
      <c r="E907" s="14"/>
      <c r="F907" s="14"/>
      <c r="G907" s="14"/>
      <c r="H907" s="14"/>
      <c r="I907" s="14"/>
      <c r="J907" s="14"/>
      <c r="K907" s="14"/>
      <c r="L907" s="14"/>
    </row>
    <row r="908" spans="2:12" ht="12.75" customHeight="1" x14ac:dyDescent="0.2">
      <c r="B908" s="14"/>
      <c r="C908" s="14"/>
      <c r="D908" s="14"/>
      <c r="E908" s="14"/>
      <c r="F908" s="14"/>
      <c r="G908" s="14"/>
      <c r="H908" s="14"/>
      <c r="I908" s="14"/>
      <c r="J908" s="14"/>
      <c r="K908" s="14"/>
      <c r="L908" s="14"/>
    </row>
    <row r="909" spans="2:12" ht="12.75" customHeight="1" x14ac:dyDescent="0.2">
      <c r="B909" s="14"/>
      <c r="C909" s="14"/>
      <c r="D909" s="14"/>
      <c r="E909" s="14"/>
      <c r="F909" s="14"/>
      <c r="G909" s="14"/>
      <c r="H909" s="14"/>
      <c r="I909" s="14"/>
      <c r="J909" s="14"/>
      <c r="K909" s="14"/>
      <c r="L909" s="14"/>
    </row>
    <row r="910" spans="2:12" ht="12.75" customHeight="1" x14ac:dyDescent="0.2">
      <c r="B910" s="14"/>
      <c r="C910" s="14"/>
      <c r="D910" s="14"/>
      <c r="E910" s="14"/>
      <c r="F910" s="14"/>
      <c r="G910" s="14"/>
      <c r="H910" s="14"/>
      <c r="I910" s="14"/>
      <c r="J910" s="14"/>
      <c r="K910" s="14"/>
      <c r="L910" s="14"/>
    </row>
    <row r="911" spans="2:12" ht="12.75" customHeight="1" x14ac:dyDescent="0.2">
      <c r="B911" s="14"/>
      <c r="C911" s="14"/>
      <c r="D911" s="14"/>
      <c r="E911" s="14"/>
      <c r="F911" s="14"/>
      <c r="G911" s="14"/>
      <c r="H911" s="14"/>
      <c r="I911" s="14"/>
      <c r="J911" s="14"/>
      <c r="K911" s="14"/>
      <c r="L911" s="14"/>
    </row>
    <row r="912" spans="2:12" ht="12.75" customHeight="1" x14ac:dyDescent="0.2">
      <c r="B912" s="14"/>
      <c r="C912" s="14"/>
      <c r="D912" s="14"/>
      <c r="E912" s="14"/>
      <c r="F912" s="14"/>
      <c r="G912" s="14"/>
      <c r="H912" s="14"/>
      <c r="I912" s="14"/>
      <c r="J912" s="14"/>
      <c r="K912" s="14"/>
      <c r="L912" s="14"/>
    </row>
    <row r="913" spans="2:12" ht="12.75" customHeight="1" x14ac:dyDescent="0.2">
      <c r="B913" s="14"/>
      <c r="C913" s="14"/>
      <c r="D913" s="14"/>
      <c r="E913" s="14"/>
      <c r="F913" s="14"/>
      <c r="G913" s="14"/>
      <c r="H913" s="14"/>
      <c r="I913" s="14"/>
      <c r="J913" s="14"/>
      <c r="K913" s="14"/>
      <c r="L913" s="14"/>
    </row>
    <row r="914" spans="2:12" ht="12.75" customHeight="1" x14ac:dyDescent="0.2">
      <c r="B914" s="14"/>
      <c r="C914" s="14"/>
      <c r="D914" s="14"/>
      <c r="E914" s="14"/>
      <c r="F914" s="14"/>
      <c r="G914" s="14"/>
      <c r="H914" s="14"/>
      <c r="I914" s="14"/>
      <c r="J914" s="14"/>
      <c r="K914" s="14"/>
      <c r="L914" s="14"/>
    </row>
    <row r="915" spans="2:12" ht="12.75" customHeight="1" x14ac:dyDescent="0.2">
      <c r="B915" s="14"/>
      <c r="C915" s="14"/>
      <c r="D915" s="14"/>
      <c r="E915" s="14"/>
      <c r="F915" s="14"/>
      <c r="G915" s="14"/>
      <c r="H915" s="14"/>
      <c r="I915" s="14"/>
      <c r="J915" s="14"/>
      <c r="K915" s="14"/>
      <c r="L915" s="14"/>
    </row>
    <row r="916" spans="2:12" ht="12.75" customHeight="1" x14ac:dyDescent="0.2">
      <c r="B916" s="14"/>
      <c r="C916" s="14"/>
      <c r="D916" s="14"/>
      <c r="E916" s="14"/>
      <c r="F916" s="14"/>
      <c r="G916" s="14"/>
      <c r="H916" s="14"/>
      <c r="I916" s="14"/>
      <c r="J916" s="14"/>
      <c r="K916" s="14"/>
      <c r="L916" s="14"/>
    </row>
    <row r="917" spans="2:12" ht="12.75" customHeight="1" x14ac:dyDescent="0.2">
      <c r="B917" s="14"/>
      <c r="C917" s="14"/>
      <c r="D917" s="14"/>
      <c r="E917" s="14"/>
      <c r="F917" s="14"/>
      <c r="G917" s="14"/>
      <c r="H917" s="14"/>
      <c r="I917" s="14"/>
      <c r="J917" s="14"/>
      <c r="K917" s="14"/>
      <c r="L917" s="14"/>
    </row>
    <row r="918" spans="2:12" ht="12.75" customHeight="1" x14ac:dyDescent="0.2">
      <c r="B918" s="14"/>
      <c r="C918" s="14"/>
      <c r="D918" s="14"/>
      <c r="E918" s="14"/>
      <c r="F918" s="14"/>
      <c r="G918" s="14"/>
      <c r="H918" s="14"/>
      <c r="I918" s="14"/>
      <c r="J918" s="14"/>
      <c r="K918" s="14"/>
      <c r="L918" s="14"/>
    </row>
    <row r="919" spans="2:12" ht="12.75" customHeight="1" x14ac:dyDescent="0.2">
      <c r="B919" s="14"/>
      <c r="C919" s="14"/>
      <c r="D919" s="14"/>
      <c r="E919" s="14"/>
      <c r="F919" s="14"/>
      <c r="G919" s="14"/>
      <c r="H919" s="14"/>
      <c r="I919" s="14"/>
      <c r="J919" s="14"/>
      <c r="K919" s="14"/>
      <c r="L919" s="14"/>
    </row>
    <row r="920" spans="2:12" ht="12.75" customHeight="1" x14ac:dyDescent="0.2">
      <c r="B920" s="14"/>
      <c r="C920" s="14"/>
      <c r="D920" s="14"/>
      <c r="E920" s="14"/>
      <c r="F920" s="14"/>
      <c r="G920" s="14"/>
      <c r="H920" s="14"/>
      <c r="I920" s="14"/>
      <c r="J920" s="14"/>
      <c r="K920" s="14"/>
      <c r="L920" s="14"/>
    </row>
    <row r="921" spans="2:12" ht="12.75" customHeight="1" x14ac:dyDescent="0.2">
      <c r="B921" s="14"/>
      <c r="C921" s="14"/>
      <c r="D921" s="14"/>
      <c r="E921" s="14"/>
      <c r="F921" s="14"/>
      <c r="G921" s="14"/>
      <c r="H921" s="14"/>
      <c r="I921" s="14"/>
      <c r="J921" s="14"/>
      <c r="K921" s="14"/>
      <c r="L921" s="14"/>
    </row>
    <row r="922" spans="2:12" ht="12.75" customHeight="1" x14ac:dyDescent="0.2">
      <c r="B922" s="14"/>
      <c r="C922" s="14"/>
      <c r="D922" s="14"/>
      <c r="E922" s="14"/>
      <c r="F922" s="14"/>
      <c r="G922" s="14"/>
      <c r="H922" s="14"/>
      <c r="I922" s="14"/>
      <c r="J922" s="14"/>
      <c r="K922" s="14"/>
      <c r="L922" s="14"/>
    </row>
    <row r="923" spans="2:12" ht="12.75" customHeight="1" x14ac:dyDescent="0.2">
      <c r="B923" s="14"/>
      <c r="C923" s="14"/>
      <c r="D923" s="14"/>
      <c r="E923" s="14"/>
      <c r="F923" s="14"/>
      <c r="G923" s="14"/>
      <c r="H923" s="14"/>
      <c r="I923" s="14"/>
      <c r="J923" s="14"/>
      <c r="K923" s="14"/>
      <c r="L923" s="14"/>
    </row>
    <row r="924" spans="2:12" ht="12.75" customHeight="1" x14ac:dyDescent="0.2">
      <c r="B924" s="14"/>
      <c r="C924" s="14"/>
      <c r="D924" s="14"/>
      <c r="E924" s="14"/>
      <c r="F924" s="14"/>
      <c r="G924" s="14"/>
      <c r="H924" s="14"/>
      <c r="I924" s="14"/>
      <c r="J924" s="14"/>
      <c r="K924" s="14"/>
      <c r="L924" s="14"/>
    </row>
    <row r="925" spans="2:12" ht="12.75" customHeight="1" x14ac:dyDescent="0.2">
      <c r="B925" s="14"/>
      <c r="C925" s="14"/>
      <c r="D925" s="14"/>
      <c r="E925" s="14"/>
      <c r="F925" s="14"/>
      <c r="G925" s="14"/>
      <c r="H925" s="14"/>
      <c r="I925" s="14"/>
      <c r="J925" s="14"/>
      <c r="K925" s="14"/>
      <c r="L925" s="14"/>
    </row>
    <row r="926" spans="2:12" ht="12.75" customHeight="1" x14ac:dyDescent="0.2">
      <c r="B926" s="14"/>
      <c r="C926" s="14"/>
      <c r="D926" s="14"/>
      <c r="E926" s="14"/>
      <c r="F926" s="14"/>
      <c r="G926" s="14"/>
      <c r="H926" s="14"/>
      <c r="I926" s="14"/>
      <c r="J926" s="14"/>
      <c r="K926" s="14"/>
      <c r="L926" s="14"/>
    </row>
    <row r="927" spans="2:12" ht="12.75" customHeight="1" x14ac:dyDescent="0.2">
      <c r="B927" s="14"/>
      <c r="C927" s="14"/>
      <c r="D927" s="14"/>
      <c r="E927" s="14"/>
      <c r="F927" s="14"/>
      <c r="G927" s="14"/>
      <c r="H927" s="14"/>
      <c r="I927" s="14"/>
      <c r="J927" s="14"/>
      <c r="K927" s="14"/>
      <c r="L927" s="14"/>
    </row>
    <row r="928" spans="2:12" ht="12.75" customHeight="1" x14ac:dyDescent="0.2">
      <c r="B928" s="14"/>
      <c r="C928" s="14"/>
      <c r="D928" s="14"/>
      <c r="E928" s="14"/>
      <c r="F928" s="14"/>
      <c r="G928" s="14"/>
      <c r="H928" s="14"/>
      <c r="I928" s="14"/>
      <c r="J928" s="14"/>
      <c r="K928" s="14"/>
      <c r="L928" s="14"/>
    </row>
    <row r="929" spans="2:12" ht="12.75" customHeight="1" x14ac:dyDescent="0.2">
      <c r="B929" s="14"/>
      <c r="C929" s="14"/>
      <c r="D929" s="14"/>
      <c r="E929" s="14"/>
      <c r="F929" s="14"/>
      <c r="G929" s="14"/>
      <c r="H929" s="14"/>
      <c r="I929" s="14"/>
      <c r="J929" s="14"/>
      <c r="K929" s="14"/>
      <c r="L929" s="14"/>
    </row>
    <row r="930" spans="2:12" ht="12.75" customHeight="1" x14ac:dyDescent="0.2">
      <c r="B930" s="14"/>
      <c r="C930" s="14"/>
      <c r="D930" s="14"/>
      <c r="E930" s="14"/>
      <c r="F930" s="14"/>
      <c r="G930" s="14"/>
      <c r="H930" s="14"/>
      <c r="I930" s="14"/>
      <c r="J930" s="14"/>
      <c r="K930" s="14"/>
      <c r="L930" s="14"/>
    </row>
    <row r="931" spans="2:12" ht="12.75" customHeight="1" x14ac:dyDescent="0.2">
      <c r="B931" s="14"/>
      <c r="C931" s="14"/>
      <c r="D931" s="14"/>
      <c r="E931" s="14"/>
      <c r="F931" s="14"/>
      <c r="G931" s="14"/>
      <c r="H931" s="14"/>
      <c r="I931" s="14"/>
      <c r="J931" s="14"/>
      <c r="K931" s="14"/>
      <c r="L931" s="14"/>
    </row>
    <row r="932" spans="2:12" ht="12.75" customHeight="1" x14ac:dyDescent="0.2">
      <c r="B932" s="14"/>
      <c r="C932" s="14"/>
      <c r="D932" s="14"/>
      <c r="E932" s="14"/>
      <c r="F932" s="14"/>
      <c r="G932" s="14"/>
      <c r="H932" s="14"/>
      <c r="I932" s="14"/>
      <c r="J932" s="14"/>
      <c r="K932" s="14"/>
      <c r="L932" s="14"/>
    </row>
    <row r="933" spans="2:12" ht="12.75" customHeight="1" x14ac:dyDescent="0.2">
      <c r="B933" s="14"/>
      <c r="C933" s="14"/>
      <c r="D933" s="14"/>
      <c r="E933" s="14"/>
      <c r="F933" s="14"/>
      <c r="G933" s="14"/>
      <c r="H933" s="14"/>
      <c r="I933" s="14"/>
      <c r="J933" s="14"/>
      <c r="K933" s="14"/>
      <c r="L933" s="14"/>
    </row>
    <row r="934" spans="2:12" ht="12.75" customHeight="1" x14ac:dyDescent="0.2">
      <c r="B934" s="14"/>
      <c r="C934" s="14"/>
      <c r="D934" s="14"/>
      <c r="E934" s="14"/>
      <c r="F934" s="14"/>
      <c r="G934" s="14"/>
      <c r="H934" s="14"/>
      <c r="I934" s="14"/>
      <c r="J934" s="14"/>
      <c r="K934" s="14"/>
      <c r="L934" s="14"/>
    </row>
    <row r="935" spans="2:12" ht="12.75" customHeight="1" x14ac:dyDescent="0.2">
      <c r="B935" s="14"/>
      <c r="C935" s="14"/>
      <c r="D935" s="14"/>
      <c r="E935" s="14"/>
      <c r="F935" s="14"/>
      <c r="G935" s="14"/>
      <c r="H935" s="14"/>
      <c r="I935" s="14"/>
      <c r="J935" s="14"/>
      <c r="K935" s="14"/>
      <c r="L935" s="14"/>
    </row>
    <row r="936" spans="2:12" ht="12.75" customHeight="1" x14ac:dyDescent="0.2">
      <c r="B936" s="14"/>
      <c r="C936" s="14"/>
      <c r="D936" s="14"/>
      <c r="E936" s="14"/>
      <c r="F936" s="14"/>
      <c r="G936" s="14"/>
      <c r="H936" s="14"/>
      <c r="I936" s="14"/>
      <c r="J936" s="14"/>
      <c r="K936" s="14"/>
      <c r="L936" s="14"/>
    </row>
    <row r="937" spans="2:12" ht="12.75" customHeight="1" x14ac:dyDescent="0.2">
      <c r="B937" s="14"/>
      <c r="C937" s="14"/>
      <c r="D937" s="14"/>
      <c r="E937" s="14"/>
      <c r="F937" s="14"/>
      <c r="G937" s="14"/>
      <c r="H937" s="14"/>
      <c r="I937" s="14"/>
      <c r="J937" s="14"/>
      <c r="K937" s="14"/>
      <c r="L937" s="14"/>
    </row>
    <row r="938" spans="2:12" ht="12.75" customHeight="1" x14ac:dyDescent="0.2">
      <c r="B938" s="14"/>
      <c r="C938" s="14"/>
      <c r="D938" s="14"/>
      <c r="E938" s="14"/>
      <c r="F938" s="14"/>
      <c r="G938" s="14"/>
      <c r="H938" s="14"/>
      <c r="I938" s="14"/>
      <c r="J938" s="14"/>
      <c r="K938" s="14"/>
      <c r="L938" s="14"/>
    </row>
    <row r="939" spans="2:12" ht="12.75" customHeight="1" x14ac:dyDescent="0.2">
      <c r="B939" s="14"/>
      <c r="C939" s="14"/>
      <c r="D939" s="14"/>
      <c r="E939" s="14"/>
      <c r="F939" s="14"/>
      <c r="G939" s="14"/>
      <c r="H939" s="14"/>
      <c r="I939" s="14"/>
      <c r="J939" s="14"/>
      <c r="K939" s="14"/>
      <c r="L939" s="14"/>
    </row>
    <row r="940" spans="2:12" ht="12.75" customHeight="1" x14ac:dyDescent="0.2">
      <c r="B940" s="14"/>
      <c r="C940" s="14"/>
      <c r="D940" s="14"/>
      <c r="E940" s="14"/>
      <c r="F940" s="14"/>
      <c r="G940" s="14"/>
      <c r="H940" s="14"/>
      <c r="I940" s="14"/>
      <c r="J940" s="14"/>
      <c r="K940" s="14"/>
      <c r="L940" s="14"/>
    </row>
    <row r="941" spans="2:12" ht="12.75" customHeight="1" x14ac:dyDescent="0.2">
      <c r="B941" s="14"/>
      <c r="C941" s="14"/>
      <c r="D941" s="14"/>
      <c r="E941" s="14"/>
      <c r="F941" s="14"/>
      <c r="G941" s="14"/>
      <c r="H941" s="14"/>
      <c r="I941" s="14"/>
      <c r="J941" s="14"/>
      <c r="K941" s="14"/>
      <c r="L941" s="14"/>
    </row>
    <row r="942" spans="2:12" ht="12.75" customHeight="1" x14ac:dyDescent="0.2">
      <c r="B942" s="14"/>
      <c r="C942" s="14"/>
      <c r="D942" s="14"/>
      <c r="E942" s="14"/>
      <c r="F942" s="14"/>
      <c r="G942" s="14"/>
      <c r="H942" s="14"/>
      <c r="I942" s="14"/>
      <c r="J942" s="14"/>
      <c r="K942" s="14"/>
      <c r="L942" s="14"/>
    </row>
    <row r="943" spans="2:12" ht="12.75" customHeight="1" x14ac:dyDescent="0.2">
      <c r="B943" s="14"/>
      <c r="C943" s="14"/>
      <c r="D943" s="14"/>
      <c r="E943" s="14"/>
      <c r="F943" s="14"/>
      <c r="G943" s="14"/>
      <c r="H943" s="14"/>
      <c r="I943" s="14"/>
      <c r="J943" s="14"/>
      <c r="K943" s="14"/>
      <c r="L943" s="14"/>
    </row>
    <row r="944" spans="2:12" ht="12.75" customHeight="1" x14ac:dyDescent="0.2">
      <c r="B944" s="14"/>
      <c r="C944" s="14"/>
      <c r="D944" s="14"/>
      <c r="E944" s="14"/>
      <c r="F944" s="14"/>
      <c r="G944" s="14"/>
      <c r="H944" s="14"/>
      <c r="I944" s="14"/>
      <c r="J944" s="14"/>
      <c r="K944" s="14"/>
      <c r="L944" s="14"/>
    </row>
    <row r="945" spans="2:12" ht="12.75" customHeight="1" x14ac:dyDescent="0.2">
      <c r="B945" s="14"/>
      <c r="C945" s="14"/>
      <c r="D945" s="14"/>
      <c r="E945" s="14"/>
      <c r="F945" s="14"/>
      <c r="G945" s="14"/>
      <c r="H945" s="14"/>
      <c r="I945" s="14"/>
      <c r="J945" s="14"/>
      <c r="K945" s="14"/>
      <c r="L945" s="14"/>
    </row>
    <row r="946" spans="2:12" ht="12.75" customHeight="1" x14ac:dyDescent="0.2">
      <c r="B946" s="14"/>
      <c r="C946" s="14"/>
      <c r="D946" s="14"/>
      <c r="E946" s="14"/>
      <c r="F946" s="14"/>
      <c r="G946" s="14"/>
      <c r="H946" s="14"/>
      <c r="I946" s="14"/>
      <c r="J946" s="14"/>
      <c r="K946" s="14"/>
      <c r="L946" s="14"/>
    </row>
    <row r="947" spans="2:12" ht="12.75" customHeight="1" x14ac:dyDescent="0.2">
      <c r="B947" s="14"/>
      <c r="C947" s="14"/>
      <c r="D947" s="14"/>
      <c r="E947" s="14"/>
      <c r="F947" s="14"/>
      <c r="G947" s="14"/>
      <c r="H947" s="14"/>
      <c r="I947" s="14"/>
      <c r="J947" s="14"/>
      <c r="K947" s="14"/>
      <c r="L947" s="14"/>
    </row>
    <row r="948" spans="2:12" ht="12.75" customHeight="1" x14ac:dyDescent="0.2">
      <c r="B948" s="14"/>
      <c r="C948" s="14"/>
      <c r="D948" s="14"/>
      <c r="E948" s="14"/>
      <c r="F948" s="14"/>
      <c r="G948" s="14"/>
      <c r="H948" s="14"/>
      <c r="I948" s="14"/>
      <c r="J948" s="14"/>
      <c r="K948" s="14"/>
      <c r="L948" s="14"/>
    </row>
    <row r="949" spans="2:12" ht="12.75" customHeight="1" x14ac:dyDescent="0.2">
      <c r="B949" s="14"/>
      <c r="C949" s="14"/>
      <c r="D949" s="14"/>
      <c r="E949" s="14"/>
      <c r="F949" s="14"/>
      <c r="G949" s="14"/>
      <c r="H949" s="14"/>
      <c r="I949" s="14"/>
      <c r="J949" s="14"/>
      <c r="K949" s="14"/>
      <c r="L949" s="14"/>
    </row>
    <row r="950" spans="2:12" ht="12.75" customHeight="1" x14ac:dyDescent="0.2">
      <c r="B950" s="14"/>
      <c r="C950" s="14"/>
      <c r="D950" s="14"/>
      <c r="E950" s="14"/>
      <c r="F950" s="14"/>
      <c r="G950" s="14"/>
      <c r="H950" s="14"/>
      <c r="I950" s="14"/>
      <c r="J950" s="14"/>
      <c r="K950" s="14"/>
      <c r="L950" s="14"/>
    </row>
    <row r="951" spans="2:12" ht="12.75" customHeight="1" x14ac:dyDescent="0.2">
      <c r="B951" s="14"/>
      <c r="C951" s="14"/>
      <c r="D951" s="14"/>
      <c r="E951" s="14"/>
      <c r="F951" s="14"/>
      <c r="G951" s="14"/>
      <c r="H951" s="14"/>
      <c r="I951" s="14"/>
      <c r="J951" s="14"/>
      <c r="K951" s="14"/>
      <c r="L951" s="14"/>
    </row>
    <row r="952" spans="2:12" ht="12.75" customHeight="1" x14ac:dyDescent="0.2">
      <c r="B952" s="14"/>
      <c r="C952" s="14"/>
      <c r="D952" s="14"/>
      <c r="E952" s="14"/>
      <c r="F952" s="14"/>
      <c r="G952" s="14"/>
      <c r="H952" s="14"/>
      <c r="I952" s="14"/>
      <c r="J952" s="14"/>
      <c r="K952" s="14"/>
      <c r="L952" s="14"/>
    </row>
    <row r="953" spans="2:12" ht="12.75" customHeight="1" x14ac:dyDescent="0.2">
      <c r="B953" s="14"/>
      <c r="C953" s="14"/>
      <c r="D953" s="14"/>
      <c r="E953" s="14"/>
      <c r="F953" s="14"/>
      <c r="G953" s="14"/>
      <c r="H953" s="14"/>
      <c r="I953" s="14"/>
      <c r="J953" s="14"/>
      <c r="K953" s="14"/>
      <c r="L953" s="14"/>
    </row>
    <row r="954" spans="2:12" ht="12.75" customHeight="1" x14ac:dyDescent="0.2">
      <c r="B954" s="14"/>
      <c r="C954" s="14"/>
      <c r="D954" s="14"/>
      <c r="E954" s="14"/>
      <c r="F954" s="14"/>
      <c r="G954" s="14"/>
      <c r="H954" s="14"/>
      <c r="I954" s="14"/>
      <c r="J954" s="14"/>
      <c r="K954" s="14"/>
      <c r="L954" s="14"/>
    </row>
    <row r="955" spans="2:12" ht="12.75" customHeight="1" x14ac:dyDescent="0.2">
      <c r="B955" s="14"/>
      <c r="C955" s="14"/>
      <c r="D955" s="14"/>
      <c r="E955" s="14"/>
      <c r="F955" s="14"/>
      <c r="G955" s="14"/>
      <c r="H955" s="14"/>
      <c r="I955" s="14"/>
      <c r="J955" s="14"/>
      <c r="K955" s="14"/>
      <c r="L955" s="14"/>
    </row>
    <row r="956" spans="2:12" ht="12.75" customHeight="1" x14ac:dyDescent="0.2">
      <c r="B956" s="14"/>
      <c r="C956" s="14"/>
      <c r="D956" s="14"/>
      <c r="E956" s="14"/>
      <c r="F956" s="14"/>
      <c r="G956" s="14"/>
      <c r="H956" s="14"/>
      <c r="I956" s="14"/>
      <c r="J956" s="14"/>
      <c r="K956" s="14"/>
      <c r="L956" s="14"/>
    </row>
    <row r="957" spans="2:12" ht="12.75" customHeight="1" x14ac:dyDescent="0.2">
      <c r="B957" s="14"/>
      <c r="C957" s="14"/>
      <c r="D957" s="14"/>
      <c r="E957" s="14"/>
      <c r="F957" s="14"/>
      <c r="G957" s="14"/>
      <c r="H957" s="14"/>
      <c r="I957" s="14"/>
      <c r="J957" s="14"/>
      <c r="K957" s="14"/>
      <c r="L957" s="14"/>
    </row>
    <row r="958" spans="2:12" ht="12.75" customHeight="1" x14ac:dyDescent="0.2">
      <c r="B958" s="14"/>
      <c r="C958" s="14"/>
      <c r="D958" s="14"/>
      <c r="E958" s="14"/>
      <c r="F958" s="14"/>
      <c r="G958" s="14"/>
      <c r="H958" s="14"/>
      <c r="I958" s="14"/>
      <c r="J958" s="14"/>
      <c r="K958" s="14"/>
      <c r="L958" s="14"/>
    </row>
    <row r="959" spans="2:12" ht="12.75" customHeight="1" x14ac:dyDescent="0.2">
      <c r="B959" s="14"/>
      <c r="C959" s="14"/>
      <c r="D959" s="14"/>
      <c r="E959" s="14"/>
      <c r="F959" s="14"/>
      <c r="G959" s="14"/>
      <c r="H959" s="14"/>
      <c r="I959" s="14"/>
      <c r="J959" s="14"/>
      <c r="K959" s="14"/>
      <c r="L959" s="14"/>
    </row>
    <row r="960" spans="2:12" ht="12.75" customHeight="1" x14ac:dyDescent="0.2">
      <c r="B960" s="14"/>
      <c r="C960" s="14"/>
      <c r="D960" s="14"/>
      <c r="E960" s="14"/>
      <c r="F960" s="14"/>
      <c r="G960" s="14"/>
      <c r="H960" s="14"/>
      <c r="I960" s="14"/>
      <c r="J960" s="14"/>
      <c r="K960" s="14"/>
      <c r="L960" s="14"/>
    </row>
    <row r="961" spans="2:12" ht="12.75" customHeight="1" x14ac:dyDescent="0.2">
      <c r="B961" s="14"/>
      <c r="C961" s="14"/>
      <c r="D961" s="14"/>
      <c r="E961" s="14"/>
      <c r="F961" s="14"/>
      <c r="G961" s="14"/>
      <c r="H961" s="14"/>
      <c r="I961" s="14"/>
      <c r="J961" s="14"/>
      <c r="K961" s="14"/>
      <c r="L961" s="14"/>
    </row>
    <row r="962" spans="2:12" ht="12.75" customHeight="1" x14ac:dyDescent="0.2">
      <c r="B962" s="14"/>
      <c r="C962" s="14"/>
      <c r="D962" s="14"/>
      <c r="E962" s="14"/>
      <c r="F962" s="14"/>
      <c r="G962" s="14"/>
      <c r="H962" s="14"/>
      <c r="I962" s="14"/>
      <c r="J962" s="14"/>
      <c r="K962" s="14"/>
      <c r="L962" s="14"/>
    </row>
    <row r="963" spans="2:12" ht="12.75" customHeight="1" x14ac:dyDescent="0.2">
      <c r="B963" s="14"/>
      <c r="C963" s="14"/>
      <c r="D963" s="14"/>
      <c r="E963" s="14"/>
      <c r="F963" s="14"/>
      <c r="G963" s="14"/>
      <c r="H963" s="14"/>
      <c r="I963" s="14"/>
      <c r="J963" s="14"/>
      <c r="K963" s="14"/>
      <c r="L963" s="14"/>
    </row>
    <row r="964" spans="2:12" ht="12.75" customHeight="1" x14ac:dyDescent="0.2">
      <c r="B964" s="14"/>
      <c r="C964" s="14"/>
      <c r="D964" s="14"/>
      <c r="E964" s="14"/>
      <c r="F964" s="14"/>
      <c r="G964" s="14"/>
      <c r="H964" s="14"/>
      <c r="I964" s="14"/>
      <c r="J964" s="14"/>
      <c r="K964" s="14"/>
      <c r="L964" s="14"/>
    </row>
    <row r="965" spans="2:12" ht="12.75" customHeight="1" x14ac:dyDescent="0.2">
      <c r="B965" s="14"/>
      <c r="C965" s="14"/>
      <c r="D965" s="14"/>
      <c r="E965" s="14"/>
      <c r="F965" s="14"/>
      <c r="G965" s="14"/>
      <c r="H965" s="14"/>
      <c r="I965" s="14"/>
      <c r="J965" s="14"/>
      <c r="K965" s="14"/>
      <c r="L965" s="14"/>
    </row>
    <row r="966" spans="2:12" ht="12.75" customHeight="1" x14ac:dyDescent="0.2">
      <c r="B966" s="14"/>
      <c r="C966" s="14"/>
      <c r="D966" s="14"/>
      <c r="E966" s="14"/>
      <c r="F966" s="14"/>
      <c r="G966" s="14"/>
      <c r="H966" s="14"/>
      <c r="I966" s="14"/>
      <c r="J966" s="14"/>
      <c r="K966" s="14"/>
      <c r="L966" s="14"/>
    </row>
    <row r="967" spans="2:12" ht="12.75" customHeight="1" x14ac:dyDescent="0.2">
      <c r="B967" s="14"/>
      <c r="C967" s="14"/>
      <c r="D967" s="14"/>
      <c r="E967" s="14"/>
      <c r="F967" s="14"/>
      <c r="G967" s="14"/>
      <c r="H967" s="14"/>
      <c r="I967" s="14"/>
      <c r="J967" s="14"/>
      <c r="K967" s="14"/>
      <c r="L967" s="14"/>
    </row>
    <row r="968" spans="2:12" ht="12.75" customHeight="1" x14ac:dyDescent="0.2">
      <c r="B968" s="14"/>
      <c r="C968" s="14"/>
      <c r="D968" s="14"/>
      <c r="E968" s="14"/>
      <c r="F968" s="14"/>
      <c r="G968" s="14"/>
      <c r="H968" s="14"/>
      <c r="I968" s="14"/>
      <c r="J968" s="14"/>
      <c r="K968" s="14"/>
      <c r="L968" s="14"/>
    </row>
    <row r="969" spans="2:12" ht="12.75" customHeight="1" x14ac:dyDescent="0.2">
      <c r="B969" s="14"/>
      <c r="C969" s="14"/>
      <c r="D969" s="14"/>
      <c r="E969" s="14"/>
      <c r="F969" s="14"/>
      <c r="G969" s="14"/>
      <c r="H969" s="14"/>
      <c r="I969" s="14"/>
      <c r="J969" s="14"/>
      <c r="K969" s="14"/>
      <c r="L969" s="14"/>
    </row>
    <row r="970" spans="2:12" ht="12.75" customHeight="1" x14ac:dyDescent="0.2">
      <c r="B970" s="14"/>
      <c r="C970" s="14"/>
      <c r="D970" s="14"/>
      <c r="E970" s="14"/>
      <c r="F970" s="14"/>
      <c r="G970" s="14"/>
      <c r="H970" s="14"/>
      <c r="I970" s="14"/>
      <c r="J970" s="14"/>
      <c r="K970" s="14"/>
      <c r="L970" s="14"/>
    </row>
    <row r="971" spans="2:12" ht="12.75" customHeight="1" x14ac:dyDescent="0.2">
      <c r="B971" s="14"/>
      <c r="C971" s="14"/>
      <c r="D971" s="14"/>
      <c r="E971" s="14"/>
      <c r="F971" s="14"/>
      <c r="G971" s="14"/>
      <c r="H971" s="14"/>
      <c r="I971" s="14"/>
      <c r="J971" s="14"/>
      <c r="K971" s="14"/>
      <c r="L971" s="14"/>
    </row>
    <row r="972" spans="2:12" ht="12.75" customHeight="1" x14ac:dyDescent="0.2">
      <c r="B972" s="14"/>
      <c r="C972" s="14"/>
      <c r="D972" s="14"/>
      <c r="E972" s="14"/>
      <c r="F972" s="14"/>
      <c r="G972" s="14"/>
      <c r="H972" s="14"/>
      <c r="I972" s="14"/>
      <c r="J972" s="14"/>
      <c r="K972" s="14"/>
      <c r="L972" s="14"/>
    </row>
    <row r="973" spans="2:12" ht="12.75" customHeight="1" x14ac:dyDescent="0.2">
      <c r="B973" s="14"/>
      <c r="C973" s="14"/>
      <c r="D973" s="14"/>
      <c r="E973" s="14"/>
      <c r="F973" s="14"/>
      <c r="G973" s="14"/>
      <c r="H973" s="14"/>
      <c r="I973" s="14"/>
      <c r="J973" s="14"/>
      <c r="K973" s="14"/>
      <c r="L973" s="14"/>
    </row>
    <row r="974" spans="2:12" ht="12.75" customHeight="1" x14ac:dyDescent="0.2">
      <c r="B974" s="14"/>
      <c r="C974" s="14"/>
      <c r="D974" s="14"/>
      <c r="E974" s="14"/>
      <c r="F974" s="14"/>
      <c r="G974" s="14"/>
      <c r="H974" s="14"/>
      <c r="I974" s="14"/>
      <c r="J974" s="14"/>
      <c r="K974" s="14"/>
      <c r="L974" s="14"/>
    </row>
    <row r="975" spans="2:12" ht="12.75" customHeight="1" x14ac:dyDescent="0.2">
      <c r="B975" s="14"/>
      <c r="C975" s="14"/>
      <c r="D975" s="14"/>
      <c r="E975" s="14"/>
      <c r="F975" s="14"/>
      <c r="G975" s="14"/>
      <c r="H975" s="14"/>
      <c r="I975" s="14"/>
      <c r="J975" s="14"/>
      <c r="K975" s="14"/>
      <c r="L975" s="14"/>
    </row>
    <row r="976" spans="2:12" ht="12.75" customHeight="1" x14ac:dyDescent="0.2">
      <c r="B976" s="14"/>
      <c r="C976" s="14"/>
      <c r="D976" s="14"/>
      <c r="E976" s="14"/>
      <c r="F976" s="14"/>
      <c r="G976" s="14"/>
      <c r="H976" s="14"/>
      <c r="I976" s="14"/>
      <c r="J976" s="14"/>
      <c r="K976" s="14"/>
      <c r="L976" s="14"/>
    </row>
    <row r="977" spans="2:12" ht="12.75" customHeight="1" x14ac:dyDescent="0.2">
      <c r="B977" s="14"/>
      <c r="C977" s="14"/>
      <c r="D977" s="14"/>
      <c r="E977" s="14"/>
      <c r="F977" s="14"/>
      <c r="G977" s="14"/>
      <c r="H977" s="14"/>
      <c r="I977" s="14"/>
      <c r="J977" s="14"/>
      <c r="K977" s="14"/>
      <c r="L977" s="14"/>
    </row>
    <row r="978" spans="2:12" ht="12.75" customHeight="1" x14ac:dyDescent="0.2">
      <c r="B978" s="14"/>
      <c r="C978" s="14"/>
      <c r="D978" s="14"/>
      <c r="E978" s="14"/>
      <c r="F978" s="14"/>
      <c r="G978" s="14"/>
      <c r="H978" s="14"/>
      <c r="I978" s="14"/>
      <c r="J978" s="14"/>
      <c r="K978" s="14"/>
      <c r="L978" s="14"/>
    </row>
    <row r="979" spans="2:12" ht="12.75" customHeight="1" x14ac:dyDescent="0.2">
      <c r="B979" s="14"/>
      <c r="C979" s="14"/>
      <c r="D979" s="14"/>
      <c r="E979" s="14"/>
      <c r="F979" s="14"/>
      <c r="G979" s="14"/>
      <c r="H979" s="14"/>
      <c r="I979" s="14"/>
      <c r="J979" s="14"/>
      <c r="K979" s="14"/>
      <c r="L979" s="14"/>
    </row>
    <row r="980" spans="2:12" ht="12.75" customHeight="1" x14ac:dyDescent="0.2">
      <c r="B980" s="14"/>
      <c r="C980" s="14"/>
      <c r="D980" s="14"/>
      <c r="E980" s="14"/>
      <c r="F980" s="14"/>
      <c r="G980" s="14"/>
      <c r="H980" s="14"/>
      <c r="I980" s="14"/>
      <c r="J980" s="14"/>
      <c r="K980" s="14"/>
      <c r="L980" s="14"/>
    </row>
    <row r="981" spans="2:12" ht="12.75" customHeight="1" x14ac:dyDescent="0.2">
      <c r="B981" s="14"/>
      <c r="C981" s="14"/>
      <c r="D981" s="14"/>
      <c r="E981" s="14"/>
      <c r="F981" s="14"/>
      <c r="G981" s="14"/>
      <c r="H981" s="14"/>
      <c r="I981" s="14"/>
      <c r="J981" s="14"/>
      <c r="K981" s="14"/>
      <c r="L981" s="14"/>
    </row>
    <row r="982" spans="2:12" ht="12.75" customHeight="1" x14ac:dyDescent="0.2">
      <c r="B982" s="14"/>
      <c r="C982" s="14"/>
      <c r="D982" s="14"/>
      <c r="E982" s="14"/>
      <c r="F982" s="14"/>
      <c r="G982" s="14"/>
      <c r="H982" s="14"/>
      <c r="I982" s="14"/>
      <c r="J982" s="14"/>
      <c r="K982" s="14"/>
      <c r="L982" s="14"/>
    </row>
    <row r="983" spans="2:12" ht="12.75" customHeight="1" x14ac:dyDescent="0.2">
      <c r="B983" s="14"/>
      <c r="C983" s="14"/>
      <c r="D983" s="14"/>
      <c r="E983" s="14"/>
      <c r="F983" s="14"/>
      <c r="G983" s="14"/>
      <c r="H983" s="14"/>
      <c r="I983" s="14"/>
      <c r="J983" s="14"/>
      <c r="K983" s="14"/>
      <c r="L983" s="14"/>
    </row>
    <row r="984" spans="2:12" ht="12.75" customHeight="1" x14ac:dyDescent="0.2">
      <c r="B984" s="14"/>
      <c r="C984" s="14"/>
      <c r="D984" s="14"/>
      <c r="E984" s="14"/>
      <c r="F984" s="14"/>
      <c r="G984" s="14"/>
      <c r="H984" s="14"/>
      <c r="I984" s="14"/>
      <c r="J984" s="14"/>
      <c r="K984" s="14"/>
      <c r="L984" s="14"/>
    </row>
    <row r="985" spans="2:12" ht="12.75" customHeight="1" x14ac:dyDescent="0.2">
      <c r="B985" s="14"/>
      <c r="C985" s="14"/>
      <c r="D985" s="14"/>
      <c r="E985" s="14"/>
      <c r="F985" s="14"/>
      <c r="G985" s="14"/>
      <c r="H985" s="14"/>
      <c r="I985" s="14"/>
      <c r="J985" s="14"/>
      <c r="K985" s="14"/>
      <c r="L985" s="14"/>
    </row>
    <row r="986" spans="2:12" ht="12.75" customHeight="1" x14ac:dyDescent="0.2">
      <c r="B986" s="14"/>
      <c r="C986" s="14"/>
      <c r="D986" s="14"/>
      <c r="E986" s="14"/>
      <c r="F986" s="14"/>
      <c r="G986" s="14"/>
      <c r="H986" s="14"/>
      <c r="I986" s="14"/>
      <c r="J986" s="14"/>
      <c r="K986" s="14"/>
      <c r="L986" s="14"/>
    </row>
    <row r="987" spans="2:12" ht="12.75" customHeight="1" x14ac:dyDescent="0.2">
      <c r="B987" s="14"/>
      <c r="C987" s="14"/>
      <c r="D987" s="14"/>
      <c r="E987" s="14"/>
      <c r="F987" s="14"/>
      <c r="G987" s="14"/>
      <c r="H987" s="14"/>
      <c r="I987" s="14"/>
      <c r="J987" s="14"/>
      <c r="K987" s="14"/>
      <c r="L987" s="14"/>
    </row>
    <row r="988" spans="2:12" ht="12.75" customHeight="1" x14ac:dyDescent="0.2">
      <c r="B988" s="14"/>
      <c r="C988" s="14"/>
      <c r="D988" s="14"/>
      <c r="E988" s="14"/>
      <c r="F988" s="14"/>
      <c r="G988" s="14"/>
      <c r="H988" s="14"/>
      <c r="I988" s="14"/>
      <c r="J988" s="14"/>
      <c r="K988" s="14"/>
      <c r="L988" s="14"/>
    </row>
    <row r="989" spans="2:12" ht="12.75" customHeight="1" x14ac:dyDescent="0.2">
      <c r="B989" s="14"/>
      <c r="C989" s="14"/>
      <c r="D989" s="14"/>
      <c r="E989" s="14"/>
      <c r="F989" s="14"/>
      <c r="G989" s="14"/>
      <c r="H989" s="14"/>
      <c r="I989" s="14"/>
      <c r="J989" s="14"/>
      <c r="K989" s="14"/>
      <c r="L989" s="14"/>
    </row>
    <row r="990" spans="2:12" ht="12.75" customHeight="1" x14ac:dyDescent="0.2">
      <c r="B990" s="14"/>
      <c r="C990" s="14"/>
      <c r="D990" s="14"/>
      <c r="E990" s="14"/>
      <c r="F990" s="14"/>
      <c r="G990" s="14"/>
      <c r="H990" s="14"/>
      <c r="I990" s="14"/>
      <c r="J990" s="14"/>
      <c r="K990" s="14"/>
      <c r="L990" s="14"/>
    </row>
    <row r="991" spans="2:12" ht="12.75" customHeight="1" x14ac:dyDescent="0.2">
      <c r="B991" s="14"/>
      <c r="C991" s="14"/>
      <c r="D991" s="14"/>
      <c r="E991" s="14"/>
      <c r="F991" s="14"/>
      <c r="G991" s="14"/>
      <c r="H991" s="14"/>
      <c r="I991" s="14"/>
      <c r="J991" s="14"/>
      <c r="K991" s="14"/>
      <c r="L991" s="14"/>
    </row>
    <row r="992" spans="2:12" ht="12.75" customHeight="1" x14ac:dyDescent="0.2">
      <c r="B992" s="14"/>
      <c r="C992" s="14"/>
      <c r="D992" s="14"/>
      <c r="E992" s="14"/>
      <c r="F992" s="14"/>
      <c r="G992" s="14"/>
      <c r="H992" s="14"/>
      <c r="I992" s="14"/>
      <c r="J992" s="14"/>
      <c r="K992" s="14"/>
      <c r="L992" s="14"/>
    </row>
    <row r="993" spans="2:12" ht="12.75" customHeight="1" x14ac:dyDescent="0.2">
      <c r="B993" s="14"/>
      <c r="C993" s="14"/>
      <c r="D993" s="14"/>
      <c r="E993" s="14"/>
      <c r="F993" s="14"/>
      <c r="G993" s="14"/>
      <c r="H993" s="14"/>
      <c r="I993" s="14"/>
      <c r="J993" s="14"/>
      <c r="K993" s="14"/>
      <c r="L993" s="14"/>
    </row>
    <row r="994" spans="2:12" ht="12.75" customHeight="1" x14ac:dyDescent="0.2">
      <c r="B994" s="14"/>
      <c r="C994" s="14"/>
      <c r="D994" s="14"/>
      <c r="E994" s="14"/>
      <c r="F994" s="14"/>
      <c r="G994" s="14"/>
      <c r="H994" s="14"/>
      <c r="I994" s="14"/>
      <c r="J994" s="14"/>
      <c r="K994" s="14"/>
      <c r="L994" s="14"/>
    </row>
    <row r="995" spans="2:12" ht="12.75" customHeight="1" x14ac:dyDescent="0.2">
      <c r="B995" s="14"/>
      <c r="C995" s="14"/>
      <c r="D995" s="14"/>
      <c r="E995" s="14"/>
      <c r="F995" s="14"/>
      <c r="G995" s="14"/>
      <c r="H995" s="14"/>
      <c r="I995" s="14"/>
      <c r="J995" s="14"/>
      <c r="K995" s="14"/>
      <c r="L995" s="14"/>
    </row>
    <row r="996" spans="2:12" ht="12.75" customHeight="1" x14ac:dyDescent="0.2">
      <c r="B996" s="14"/>
      <c r="C996" s="14"/>
      <c r="D996" s="14"/>
      <c r="E996" s="14"/>
      <c r="F996" s="14"/>
      <c r="G996" s="14"/>
      <c r="H996" s="14"/>
      <c r="I996" s="14"/>
      <c r="J996" s="14"/>
      <c r="K996" s="14"/>
      <c r="L996" s="14"/>
    </row>
    <row r="997" spans="2:12" ht="12.75" customHeight="1" x14ac:dyDescent="0.2">
      <c r="B997" s="14"/>
      <c r="C997" s="14"/>
      <c r="D997" s="14"/>
      <c r="E997" s="14"/>
      <c r="F997" s="14"/>
      <c r="G997" s="14"/>
      <c r="H997" s="14"/>
      <c r="I997" s="14"/>
      <c r="J997" s="14"/>
      <c r="K997" s="14"/>
      <c r="L997" s="14"/>
    </row>
    <row r="998" spans="2:12" ht="12.75" customHeight="1" x14ac:dyDescent="0.2">
      <c r="B998" s="14"/>
      <c r="C998" s="14"/>
      <c r="D998" s="14"/>
      <c r="E998" s="14"/>
      <c r="F998" s="14"/>
      <c r="G998" s="14"/>
      <c r="H998" s="14"/>
      <c r="I998" s="14"/>
      <c r="J998" s="14"/>
      <c r="K998" s="14"/>
      <c r="L998" s="14"/>
    </row>
    <row r="999" spans="2:12" ht="12.75" customHeight="1" x14ac:dyDescent="0.2">
      <c r="B999" s="14"/>
      <c r="C999" s="14"/>
      <c r="D999" s="14"/>
      <c r="E999" s="14"/>
      <c r="F999" s="14"/>
      <c r="G999" s="14"/>
      <c r="H999" s="14"/>
      <c r="I999" s="14"/>
      <c r="J999" s="14"/>
      <c r="K999" s="14"/>
      <c r="L999" s="14"/>
    </row>
    <row r="1000" spans="2:12" ht="12.75" customHeight="1" x14ac:dyDescent="0.2">
      <c r="B1000" s="14"/>
      <c r="C1000" s="14"/>
      <c r="D1000" s="14"/>
      <c r="E1000" s="14"/>
      <c r="F1000" s="14"/>
      <c r="G1000" s="14"/>
      <c r="H1000" s="14"/>
      <c r="I1000" s="14"/>
      <c r="J1000" s="14"/>
      <c r="K1000" s="14"/>
      <c r="L1000" s="14"/>
    </row>
    <row r="1001" spans="2:12" ht="12.75" customHeight="1" x14ac:dyDescent="0.2">
      <c r="B1001" s="14"/>
      <c r="C1001" s="14"/>
      <c r="D1001" s="14"/>
      <c r="E1001" s="14"/>
      <c r="F1001" s="14"/>
      <c r="G1001" s="14"/>
      <c r="H1001" s="14"/>
      <c r="I1001" s="14"/>
      <c r="J1001" s="14"/>
      <c r="K1001" s="14"/>
      <c r="L1001" s="14"/>
    </row>
    <row r="1002" spans="2:12" ht="12.75" customHeight="1" x14ac:dyDescent="0.2">
      <c r="B1002" s="14"/>
      <c r="C1002" s="14"/>
      <c r="D1002" s="14"/>
      <c r="E1002" s="14"/>
      <c r="F1002" s="14"/>
      <c r="G1002" s="14"/>
      <c r="H1002" s="14"/>
      <c r="I1002" s="14"/>
      <c r="J1002" s="14"/>
      <c r="K1002" s="14"/>
      <c r="L1002" s="14"/>
    </row>
    <row r="1003" spans="2:12" ht="12.75" customHeight="1" x14ac:dyDescent="0.2">
      <c r="B1003" s="14"/>
      <c r="C1003" s="14"/>
      <c r="D1003" s="14"/>
      <c r="E1003" s="14"/>
      <c r="F1003" s="14"/>
      <c r="G1003" s="14"/>
      <c r="H1003" s="14"/>
      <c r="I1003" s="14"/>
      <c r="J1003" s="14"/>
      <c r="K1003" s="14"/>
      <c r="L1003" s="14"/>
    </row>
    <row r="1004" spans="2:12" ht="12.75" customHeight="1" x14ac:dyDescent="0.2">
      <c r="B1004" s="14"/>
      <c r="C1004" s="14"/>
      <c r="D1004" s="14"/>
      <c r="E1004" s="14"/>
      <c r="F1004" s="14"/>
      <c r="G1004" s="14"/>
      <c r="H1004" s="14"/>
      <c r="I1004" s="14"/>
      <c r="J1004" s="14"/>
      <c r="K1004" s="14"/>
      <c r="L1004" s="14"/>
    </row>
    <row r="1005" spans="2:12" ht="12.75" customHeight="1" x14ac:dyDescent="0.2">
      <c r="B1005" s="14"/>
      <c r="C1005" s="14"/>
      <c r="D1005" s="14"/>
      <c r="E1005" s="14"/>
      <c r="F1005" s="14"/>
      <c r="G1005" s="14"/>
      <c r="H1005" s="14"/>
      <c r="I1005" s="14"/>
      <c r="J1005" s="14"/>
      <c r="K1005" s="14"/>
      <c r="L1005" s="14"/>
    </row>
    <row r="1006" spans="2:12" ht="12.75" customHeight="1" x14ac:dyDescent="0.2">
      <c r="B1006" s="14"/>
      <c r="C1006" s="14"/>
      <c r="D1006" s="14"/>
      <c r="E1006" s="14"/>
      <c r="F1006" s="14"/>
      <c r="G1006" s="14"/>
      <c r="H1006" s="14"/>
      <c r="I1006" s="14"/>
      <c r="J1006" s="14"/>
      <c r="K1006" s="14"/>
      <c r="L1006" s="14"/>
    </row>
    <row r="1007" spans="2:12" ht="12.75" customHeight="1" x14ac:dyDescent="0.2">
      <c r="B1007" s="14"/>
      <c r="C1007" s="14"/>
      <c r="D1007" s="14"/>
      <c r="E1007" s="14"/>
      <c r="F1007" s="14"/>
      <c r="G1007" s="14"/>
      <c r="H1007" s="14"/>
      <c r="I1007" s="14"/>
      <c r="J1007" s="14"/>
      <c r="K1007" s="14"/>
      <c r="L1007" s="14"/>
    </row>
    <row r="1008" spans="2:12" ht="12.75" customHeight="1" x14ac:dyDescent="0.2">
      <c r="B1008" s="14"/>
      <c r="C1008" s="14"/>
      <c r="D1008" s="14"/>
      <c r="E1008" s="14"/>
      <c r="F1008" s="14"/>
      <c r="G1008" s="14"/>
      <c r="H1008" s="14"/>
      <c r="I1008" s="14"/>
      <c r="J1008" s="14"/>
      <c r="K1008" s="14"/>
      <c r="L1008" s="14"/>
    </row>
    <row r="1009" spans="2:12" ht="12.75" customHeight="1" x14ac:dyDescent="0.2">
      <c r="B1009" s="14"/>
      <c r="C1009" s="14"/>
      <c r="D1009" s="14"/>
      <c r="E1009" s="14"/>
      <c r="F1009" s="14"/>
      <c r="G1009" s="14"/>
      <c r="H1009" s="14"/>
      <c r="I1009" s="14"/>
      <c r="J1009" s="14"/>
      <c r="K1009" s="14"/>
      <c r="L1009" s="14"/>
    </row>
    <row r="1010" spans="2:12" ht="12.75" customHeight="1" x14ac:dyDescent="0.2">
      <c r="B1010" s="14"/>
      <c r="C1010" s="14"/>
      <c r="D1010" s="14"/>
      <c r="E1010" s="14"/>
      <c r="F1010" s="14"/>
      <c r="G1010" s="14"/>
      <c r="H1010" s="14"/>
      <c r="I1010" s="14"/>
      <c r="J1010" s="14"/>
      <c r="K1010" s="14"/>
      <c r="L1010" s="14"/>
    </row>
    <row r="1011" spans="2:12" ht="12.75" customHeight="1" x14ac:dyDescent="0.2">
      <c r="B1011" s="14"/>
      <c r="C1011" s="14"/>
      <c r="D1011" s="14"/>
      <c r="E1011" s="14"/>
      <c r="F1011" s="14"/>
      <c r="G1011" s="14"/>
      <c r="H1011" s="14"/>
      <c r="I1011" s="14"/>
      <c r="J1011" s="14"/>
      <c r="K1011" s="14"/>
      <c r="L1011" s="14"/>
    </row>
    <row r="1012" spans="2:12" ht="12.75" customHeight="1" x14ac:dyDescent="0.2">
      <c r="B1012" s="14"/>
      <c r="C1012" s="14"/>
      <c r="D1012" s="14"/>
      <c r="E1012" s="14"/>
      <c r="F1012" s="14"/>
      <c r="G1012" s="14"/>
      <c r="H1012" s="14"/>
      <c r="I1012" s="14"/>
      <c r="J1012" s="14"/>
      <c r="K1012" s="14"/>
      <c r="L1012" s="14"/>
    </row>
    <row r="1013" spans="2:12" ht="12.75" customHeight="1" x14ac:dyDescent="0.2">
      <c r="B1013" s="14"/>
      <c r="C1013" s="14"/>
      <c r="D1013" s="14"/>
      <c r="E1013" s="14"/>
      <c r="F1013" s="14"/>
      <c r="G1013" s="14"/>
      <c r="H1013" s="14"/>
      <c r="I1013" s="14"/>
      <c r="J1013" s="14"/>
      <c r="K1013" s="14"/>
      <c r="L1013" s="14"/>
    </row>
    <row r="1014" spans="2:12" ht="12.75" customHeight="1" x14ac:dyDescent="0.2">
      <c r="B1014" s="14"/>
      <c r="C1014" s="14"/>
      <c r="D1014" s="14"/>
      <c r="E1014" s="14"/>
      <c r="F1014" s="14"/>
      <c r="G1014" s="14"/>
      <c r="H1014" s="14"/>
      <c r="I1014" s="14"/>
      <c r="J1014" s="14"/>
      <c r="K1014" s="14"/>
      <c r="L1014" s="14"/>
    </row>
    <row r="1015" spans="2:12" ht="12.75" customHeight="1" x14ac:dyDescent="0.2">
      <c r="B1015" s="14"/>
      <c r="C1015" s="14"/>
      <c r="D1015" s="14"/>
      <c r="E1015" s="14"/>
      <c r="F1015" s="14"/>
      <c r="G1015" s="14"/>
      <c r="H1015" s="14"/>
      <c r="I1015" s="14"/>
      <c r="J1015" s="14"/>
      <c r="K1015" s="14"/>
      <c r="L1015" s="14"/>
    </row>
    <row r="1016" spans="2:12" ht="12.75" customHeight="1" x14ac:dyDescent="0.2">
      <c r="B1016" s="14"/>
      <c r="C1016" s="14"/>
      <c r="D1016" s="14"/>
      <c r="E1016" s="14"/>
      <c r="F1016" s="14"/>
      <c r="G1016" s="14"/>
      <c r="H1016" s="14"/>
      <c r="I1016" s="14"/>
      <c r="J1016" s="14"/>
      <c r="K1016" s="14"/>
      <c r="L1016" s="14"/>
    </row>
    <row r="1017" spans="2:12" ht="12.75" customHeight="1" x14ac:dyDescent="0.2">
      <c r="B1017" s="14"/>
      <c r="C1017" s="14"/>
      <c r="D1017" s="14"/>
      <c r="E1017" s="14"/>
      <c r="F1017" s="14"/>
      <c r="G1017" s="14"/>
      <c r="H1017" s="14"/>
      <c r="I1017" s="14"/>
      <c r="J1017" s="14"/>
      <c r="K1017" s="14"/>
      <c r="L1017" s="14"/>
    </row>
    <row r="1018" spans="2:12" ht="12.75" customHeight="1" x14ac:dyDescent="0.2">
      <c r="B1018" s="14"/>
      <c r="C1018" s="14"/>
      <c r="D1018" s="14"/>
      <c r="E1018" s="14"/>
      <c r="F1018" s="14"/>
      <c r="G1018" s="14"/>
      <c r="H1018" s="14"/>
      <c r="I1018" s="14"/>
      <c r="J1018" s="14"/>
      <c r="K1018" s="14"/>
      <c r="L1018" s="14"/>
    </row>
    <row r="1019" spans="2:12" ht="12.75" customHeight="1" x14ac:dyDescent="0.2">
      <c r="B1019" s="14"/>
      <c r="C1019" s="14"/>
      <c r="D1019" s="14"/>
      <c r="E1019" s="14"/>
      <c r="F1019" s="14"/>
      <c r="G1019" s="14"/>
      <c r="H1019" s="14"/>
      <c r="I1019" s="14"/>
      <c r="J1019" s="14"/>
      <c r="K1019" s="14"/>
      <c r="L1019" s="14"/>
    </row>
    <row r="1020" spans="2:12" ht="12.75" customHeight="1" x14ac:dyDescent="0.2">
      <c r="B1020" s="14"/>
      <c r="C1020" s="14"/>
      <c r="D1020" s="14"/>
      <c r="E1020" s="14"/>
      <c r="F1020" s="14"/>
      <c r="G1020" s="14"/>
      <c r="H1020" s="14"/>
      <c r="I1020" s="14"/>
      <c r="J1020" s="14"/>
      <c r="K1020" s="14"/>
      <c r="L1020" s="14"/>
    </row>
    <row r="1021" spans="2:12" ht="12.75" customHeight="1" x14ac:dyDescent="0.2">
      <c r="B1021" s="14"/>
      <c r="C1021" s="14"/>
      <c r="D1021" s="14"/>
      <c r="E1021" s="14"/>
      <c r="F1021" s="14"/>
      <c r="G1021" s="14"/>
      <c r="H1021" s="14"/>
      <c r="I1021" s="14"/>
      <c r="J1021" s="14"/>
      <c r="K1021" s="14"/>
      <c r="L1021" s="14"/>
    </row>
    <row r="1022" spans="2:12" ht="12.75" customHeight="1" x14ac:dyDescent="0.2">
      <c r="B1022" s="14"/>
      <c r="C1022" s="14"/>
      <c r="D1022" s="14"/>
      <c r="E1022" s="14"/>
      <c r="F1022" s="14"/>
      <c r="G1022" s="14"/>
      <c r="H1022" s="14"/>
      <c r="I1022" s="14"/>
      <c r="J1022" s="14"/>
      <c r="K1022" s="14"/>
      <c r="L1022" s="14"/>
    </row>
    <row r="1023" spans="2:12" ht="12.75" customHeight="1" x14ac:dyDescent="0.2">
      <c r="B1023" s="14"/>
      <c r="C1023" s="14"/>
      <c r="D1023" s="14"/>
      <c r="E1023" s="14"/>
      <c r="F1023" s="14"/>
      <c r="G1023" s="14"/>
      <c r="H1023" s="14"/>
      <c r="I1023" s="14"/>
      <c r="J1023" s="14"/>
      <c r="K1023" s="14"/>
      <c r="L1023" s="14"/>
    </row>
    <row r="1024" spans="2:12" ht="12.75" customHeight="1" x14ac:dyDescent="0.2">
      <c r="B1024" s="14"/>
      <c r="C1024" s="14"/>
      <c r="D1024" s="14"/>
      <c r="E1024" s="14"/>
      <c r="F1024" s="14"/>
      <c r="G1024" s="14"/>
      <c r="H1024" s="14"/>
      <c r="I1024" s="14"/>
      <c r="J1024" s="14"/>
      <c r="K1024" s="14"/>
      <c r="L1024" s="14"/>
    </row>
    <row r="1025" spans="2:12" ht="12.75" customHeight="1" x14ac:dyDescent="0.2">
      <c r="B1025" s="14"/>
      <c r="C1025" s="14"/>
      <c r="D1025" s="14"/>
      <c r="E1025" s="14"/>
      <c r="F1025" s="14"/>
      <c r="G1025" s="14"/>
      <c r="H1025" s="14"/>
      <c r="I1025" s="14"/>
      <c r="J1025" s="14"/>
      <c r="K1025" s="14"/>
      <c r="L1025" s="14"/>
    </row>
    <row r="1026" spans="2:12" ht="12.75" customHeight="1" x14ac:dyDescent="0.2">
      <c r="B1026" s="14"/>
      <c r="C1026" s="14"/>
      <c r="D1026" s="14"/>
      <c r="E1026" s="14"/>
      <c r="F1026" s="14"/>
      <c r="G1026" s="14"/>
      <c r="H1026" s="14"/>
      <c r="I1026" s="14"/>
      <c r="J1026" s="14"/>
      <c r="K1026" s="14"/>
      <c r="L1026" s="14"/>
    </row>
    <row r="1027" spans="2:12" ht="12.75" customHeight="1" x14ac:dyDescent="0.2">
      <c r="B1027" s="14"/>
      <c r="C1027" s="14"/>
      <c r="D1027" s="14"/>
      <c r="E1027" s="14"/>
      <c r="F1027" s="14"/>
      <c r="G1027" s="14"/>
      <c r="H1027" s="14"/>
      <c r="I1027" s="14"/>
      <c r="J1027" s="14"/>
      <c r="K1027" s="14"/>
      <c r="L1027" s="14"/>
    </row>
    <row r="1028" spans="2:12" ht="12.75" customHeight="1" x14ac:dyDescent="0.2">
      <c r="B1028" s="14"/>
      <c r="C1028" s="14"/>
      <c r="D1028" s="14"/>
      <c r="E1028" s="14"/>
      <c r="F1028" s="14"/>
      <c r="G1028" s="14"/>
      <c r="H1028" s="14"/>
      <c r="I1028" s="14"/>
      <c r="J1028" s="14"/>
      <c r="K1028" s="14"/>
      <c r="L1028" s="14"/>
    </row>
    <row r="1029" spans="2:12" ht="12.75" customHeight="1" x14ac:dyDescent="0.2">
      <c r="B1029" s="14"/>
      <c r="C1029" s="14"/>
      <c r="D1029" s="14"/>
      <c r="E1029" s="14"/>
      <c r="F1029" s="14"/>
      <c r="G1029" s="14"/>
      <c r="H1029" s="14"/>
      <c r="I1029" s="14"/>
      <c r="J1029" s="14"/>
      <c r="K1029" s="14"/>
      <c r="L1029" s="14"/>
    </row>
    <row r="1030" spans="2:12" ht="12.75" customHeight="1" x14ac:dyDescent="0.2">
      <c r="B1030" s="14"/>
      <c r="C1030" s="14"/>
      <c r="D1030" s="14"/>
      <c r="E1030" s="14"/>
      <c r="F1030" s="14"/>
      <c r="G1030" s="14"/>
      <c r="H1030" s="14"/>
      <c r="I1030" s="14"/>
      <c r="J1030" s="14"/>
      <c r="K1030" s="14"/>
      <c r="L1030" s="14"/>
    </row>
    <row r="1031" spans="2:12" ht="12.75" customHeight="1" x14ac:dyDescent="0.2">
      <c r="B1031" s="14"/>
      <c r="C1031" s="14"/>
      <c r="D1031" s="14"/>
      <c r="E1031" s="14"/>
      <c r="F1031" s="14"/>
      <c r="G1031" s="14"/>
      <c r="H1031" s="14"/>
      <c r="I1031" s="14"/>
      <c r="J1031" s="14"/>
      <c r="K1031" s="14"/>
      <c r="L1031" s="14"/>
    </row>
    <row r="1032" spans="2:12" ht="12.75" customHeight="1" x14ac:dyDescent="0.2">
      <c r="B1032" s="14"/>
      <c r="C1032" s="14"/>
      <c r="D1032" s="14"/>
      <c r="E1032" s="14"/>
      <c r="F1032" s="14"/>
      <c r="G1032" s="14"/>
      <c r="H1032" s="14"/>
      <c r="I1032" s="14"/>
      <c r="J1032" s="14"/>
      <c r="K1032" s="14"/>
      <c r="L1032" s="14"/>
    </row>
    <row r="1033" spans="2:12" ht="12.75" customHeight="1" x14ac:dyDescent="0.2">
      <c r="B1033" s="14"/>
      <c r="C1033" s="14"/>
      <c r="D1033" s="14"/>
      <c r="E1033" s="14"/>
      <c r="F1033" s="14"/>
      <c r="G1033" s="14"/>
      <c r="H1033" s="14"/>
      <c r="I1033" s="14"/>
      <c r="J1033" s="14"/>
      <c r="K1033" s="14"/>
      <c r="L1033" s="14"/>
    </row>
    <row r="1034" spans="2:12" ht="12.75" customHeight="1" x14ac:dyDescent="0.2">
      <c r="B1034" s="14"/>
      <c r="C1034" s="14"/>
      <c r="D1034" s="14"/>
      <c r="E1034" s="14"/>
      <c r="F1034" s="14"/>
      <c r="G1034" s="14"/>
      <c r="H1034" s="14"/>
      <c r="I1034" s="14"/>
      <c r="J1034" s="14"/>
      <c r="K1034" s="14"/>
      <c r="L1034" s="14"/>
    </row>
    <row r="1035" spans="2:12" ht="12.75" customHeight="1" x14ac:dyDescent="0.2">
      <c r="B1035" s="14"/>
      <c r="C1035" s="14"/>
      <c r="D1035" s="14"/>
      <c r="E1035" s="14"/>
      <c r="F1035" s="14"/>
      <c r="G1035" s="14"/>
      <c r="H1035" s="14"/>
      <c r="I1035" s="14"/>
      <c r="J1035" s="14"/>
      <c r="K1035" s="14"/>
      <c r="L1035" s="14"/>
    </row>
    <row r="1036" spans="2:12" ht="12.75" customHeight="1" x14ac:dyDescent="0.2">
      <c r="B1036" s="14"/>
      <c r="C1036" s="14"/>
      <c r="D1036" s="14"/>
      <c r="E1036" s="14"/>
      <c r="F1036" s="14"/>
      <c r="G1036" s="14"/>
      <c r="H1036" s="14"/>
      <c r="I1036" s="14"/>
      <c r="J1036" s="14"/>
      <c r="K1036" s="14"/>
      <c r="L1036" s="14"/>
    </row>
    <row r="1037" spans="2:12" ht="12.75" customHeight="1" x14ac:dyDescent="0.2">
      <c r="B1037" s="14"/>
      <c r="C1037" s="14"/>
      <c r="D1037" s="14"/>
      <c r="E1037" s="14"/>
      <c r="F1037" s="14"/>
      <c r="G1037" s="14"/>
      <c r="H1037" s="14"/>
      <c r="I1037" s="14"/>
      <c r="J1037" s="14"/>
      <c r="K1037" s="14"/>
      <c r="L1037" s="14"/>
    </row>
  </sheetData>
  <phoneticPr fontId="73" type="noConversion"/>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71</vt:i4>
      </vt:variant>
    </vt:vector>
  </HeadingPairs>
  <TitlesOfParts>
    <vt:vector size="80" baseType="lpstr">
      <vt:lpstr>About</vt:lpstr>
      <vt:lpstr>Roster</vt:lpstr>
      <vt:lpstr>Games</vt:lpstr>
      <vt:lpstr>Dead &amp; Retired Players</vt:lpstr>
      <vt:lpstr>Mercenaries</vt:lpstr>
      <vt:lpstr>Team Cards</vt:lpstr>
      <vt:lpstr>Team Cards B&amp;W Print</vt:lpstr>
      <vt:lpstr>Teams</vt:lpstr>
      <vt:lpstr>StarPlayers</vt:lpstr>
      <vt:lpstr>Amazon</vt:lpstr>
      <vt:lpstr>BadlandsBrawl</vt:lpstr>
      <vt:lpstr>BadlandsBrawlOldWorldClassic</vt:lpstr>
      <vt:lpstr>BadlandsBrawlUnderworldChallenge</vt:lpstr>
      <vt:lpstr>BlackOrc</vt:lpstr>
      <vt:lpstr>CARNE</vt:lpstr>
      <vt:lpstr>CARTASDEJUEGO</vt:lpstr>
      <vt:lpstr>ChaosChosen</vt:lpstr>
      <vt:lpstr>ChaosDwarf</vt:lpstr>
      <vt:lpstr>ChaosRenegades</vt:lpstr>
      <vt:lpstr>DarkElf</vt:lpstr>
      <vt:lpstr>Dwarf</vt:lpstr>
      <vt:lpstr>ElvenKingdomsLeague</vt:lpstr>
      <vt:lpstr>ElvenUnion</vt:lpstr>
      <vt:lpstr>ENGLISH</vt:lpstr>
      <vt:lpstr>Español</vt:lpstr>
      <vt:lpstr>ESSS</vt:lpstr>
      <vt:lpstr>FavouredOf</vt:lpstr>
      <vt:lpstr>FavouredOfWorldsEdgeSuperleagueBadlandsBrawl</vt:lpstr>
      <vt:lpstr>Goblin</vt:lpstr>
      <vt:lpstr>Halfling</vt:lpstr>
      <vt:lpstr>HalflingThimbleCup</vt:lpstr>
      <vt:lpstr>HalflingThimbleCupOldWorldClassic</vt:lpstr>
      <vt:lpstr>HighElf</vt:lpstr>
      <vt:lpstr>Human</vt:lpstr>
      <vt:lpstr>ImperialNobility</vt:lpstr>
      <vt:lpstr>INCENTIVOS_DE_RAZA</vt:lpstr>
      <vt:lpstr>INCENTIVOSDERAZA</vt:lpstr>
      <vt:lpstr>INFAMOUSSTAFF</vt:lpstr>
      <vt:lpstr>INJURIES</vt:lpstr>
      <vt:lpstr>INJURY</vt:lpstr>
      <vt:lpstr>INJURYs</vt:lpstr>
      <vt:lpstr>LESION</vt:lpstr>
      <vt:lpstr>LESIONes</vt:lpstr>
      <vt:lpstr>LESIONESS</vt:lpstr>
      <vt:lpstr>Lizardman</vt:lpstr>
      <vt:lpstr>LustrianSuperleague</vt:lpstr>
      <vt:lpstr>LustrianSuperleagueOldWorldClassic</vt:lpstr>
      <vt:lpstr>Necromantic</vt:lpstr>
      <vt:lpstr>Norse</vt:lpstr>
      <vt:lpstr>Nurgle</vt:lpstr>
      <vt:lpstr>Ogre</vt:lpstr>
      <vt:lpstr>OldWorldAlliance</vt:lpstr>
      <vt:lpstr>OldWorldClassic</vt:lpstr>
      <vt:lpstr>OldWorldClassicWorldsEdgeSuperleague</vt:lpstr>
      <vt:lpstr>Orc</vt:lpstr>
      <vt:lpstr>PERSONAL_INFAME</vt:lpstr>
      <vt:lpstr>PERSONALINFAME</vt:lpstr>
      <vt:lpstr>RACIAL_INDUCEMENT</vt:lpstr>
      <vt:lpstr>RACIALINDUCEMENT</vt:lpstr>
      <vt:lpstr>ShamblingUndead</vt:lpstr>
      <vt:lpstr>Skaven</vt:lpstr>
      <vt:lpstr>Slann</vt:lpstr>
      <vt:lpstr>Snotling</vt:lpstr>
      <vt:lpstr>SPECIALPLAYCARDS</vt:lpstr>
      <vt:lpstr>SylvanianSpotlight</vt:lpstr>
      <vt:lpstr>TombKing</vt:lpstr>
      <vt:lpstr>UnderworldChallenge</vt:lpstr>
      <vt:lpstr>UnderworldDenizens</vt:lpstr>
      <vt:lpstr>valorequipo</vt:lpstr>
      <vt:lpstr>Vampire</vt:lpstr>
      <vt:lpstr>WoodElf</vt:lpstr>
      <vt:lpstr>WorldsEdgeSuperleague</vt:lpstr>
      <vt:lpstr>'Dead &amp; Retired Players'!Z_000DFA95_C5ED_4E25_B049_8595AFF84C6A_.wvu.PrintArea</vt:lpstr>
      <vt:lpstr>Roster!Z_000DFA95_C5ED_4E25_B049_8595AFF84C6A_.wvu.PrintArea</vt:lpstr>
      <vt:lpstr>'Dead &amp; Retired Players'!Z_321F642C_C9F4_43AA_AD98_F704A19C5B24_.wvu.PrintArea</vt:lpstr>
      <vt:lpstr>Roster!Z_321F642C_C9F4_43AA_AD98_F704A19C5B24_.wvu.PrintArea</vt:lpstr>
      <vt:lpstr>'Dead &amp; Retired Players'!Z_B1FCC566_F3B8_4120_9959_D3488490C2B3_.wvu.PrintArea</vt:lpstr>
      <vt:lpstr>Roster!Z_B1FCC566_F3B8_4120_9959_D3488490C2B3_.wvu.PrintArea</vt:lpstr>
      <vt:lpstr>'Dead &amp; Retired Players'!Z_D9D0E8AE_A23E_48A5_872D_2FD66A335355_.wvu.PrintArea</vt:lpstr>
      <vt:lpstr>Roster!Z_D9D0E8AE_A23E_48A5_872D_2FD66A335355_.wvu.PrintArea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Hugo</dc:creator>
  <cp:lastModifiedBy>Matteo Bonvicino</cp:lastModifiedBy>
  <cp:lastPrinted>2021-12-10T10:01:10Z</cp:lastPrinted>
  <dcterms:created xsi:type="dcterms:W3CDTF">2018-07-19T14:07:05Z</dcterms:created>
  <dcterms:modified xsi:type="dcterms:W3CDTF">2025-03-28T16:25:05Z</dcterms:modified>
</cp:coreProperties>
</file>